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 name="租金明细表" sheetId="78" r:id="rId47"/>
    <sheet name="年期修正系数" sheetId="79" r:id="rId48"/>
  </sheets>
  <externalReferences>
    <externalReference r:id="rId49"/>
  </externalReference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6" i="1" l="1"/>
  <c r="I24" i="78"/>
  <c r="I23" i="78"/>
  <c r="I31" i="78"/>
  <c r="I28" i="78"/>
  <c r="I30" i="78"/>
  <c r="I29" i="78"/>
  <c r="H30" i="78"/>
  <c r="G30" i="78"/>
  <c r="G29" i="78"/>
  <c r="H29" i="78" s="1"/>
  <c r="H28" i="78"/>
  <c r="G28" i="78"/>
  <c r="F30" i="78"/>
  <c r="F29" i="78"/>
  <c r="F28" i="78"/>
  <c r="E30" i="78"/>
  <c r="E29" i="78"/>
  <c r="E28" i="78"/>
  <c r="H24" i="78"/>
  <c r="H25" i="78"/>
  <c r="G25" i="78"/>
  <c r="G24" i="78"/>
  <c r="F25" i="78"/>
  <c r="F24" i="78"/>
  <c r="H23" i="78"/>
  <c r="G23" i="78"/>
  <c r="F23" i="78"/>
  <c r="E25" i="78" l="1"/>
  <c r="E24" i="78"/>
  <c r="E23" i="78"/>
  <c r="J3" i="31" l="1"/>
  <c r="I3" i="31"/>
  <c r="H3" i="31"/>
  <c r="G3" i="31"/>
  <c r="F3" i="31"/>
  <c r="E3" i="31"/>
  <c r="D3" i="31"/>
  <c r="B25" i="31"/>
  <c r="B26" i="31"/>
  <c r="B27" i="31"/>
  <c r="B28" i="31"/>
  <c r="B29" i="31"/>
  <c r="B24" i="31"/>
  <c r="A25" i="31"/>
  <c r="A26" i="31"/>
  <c r="A27" i="31"/>
  <c r="A28" i="31"/>
  <c r="A29" i="31"/>
  <c r="A24" i="31"/>
  <c r="B131" i="80"/>
  <c r="H47" i="80" s="1"/>
  <c r="AB47" i="80" s="1"/>
  <c r="B129" i="80"/>
  <c r="B127" i="80"/>
  <c r="H45" i="80" s="1"/>
  <c r="AB45" i="80" s="1"/>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H32" i="80" s="1"/>
  <c r="AB32" i="80" s="1"/>
  <c r="B97" i="80"/>
  <c r="B95" i="80"/>
  <c r="H30" i="80" s="1"/>
  <c r="AB30" i="80" s="1"/>
  <c r="B93" i="80"/>
  <c r="E92" i="80"/>
  <c r="F92" i="80" s="1"/>
  <c r="G92" i="80" s="1"/>
  <c r="H92" i="80" s="1"/>
  <c r="I92" i="80" s="1"/>
  <c r="J92" i="80" s="1"/>
  <c r="K92" i="80" s="1"/>
  <c r="L92" i="80" s="1"/>
  <c r="M92" i="80" s="1"/>
  <c r="D92" i="80"/>
  <c r="B91" i="80"/>
  <c r="H28" i="80" s="1"/>
  <c r="AB28" i="80" s="1"/>
  <c r="D90" i="80"/>
  <c r="E90" i="80" s="1"/>
  <c r="F90" i="80" s="1"/>
  <c r="G90" i="80" s="1"/>
  <c r="H90" i="80" s="1"/>
  <c r="I90" i="80" s="1"/>
  <c r="J90" i="80" s="1"/>
  <c r="K90" i="80" s="1"/>
  <c r="L90" i="80" s="1"/>
  <c r="M90" i="80" s="1"/>
  <c r="B89" i="80"/>
  <c r="H27" i="80" s="1"/>
  <c r="AB27" i="80" s="1"/>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F47" i="80"/>
  <c r="AA47" i="80" s="1"/>
  <c r="Q46" i="80"/>
  <c r="Z46" i="80" s="1"/>
  <c r="J46" i="80"/>
  <c r="AC46" i="80" s="1"/>
  <c r="H46" i="80"/>
  <c r="AB46" i="80" s="1"/>
  <c r="F46" i="80"/>
  <c r="AA46" i="80" s="1"/>
  <c r="Q45" i="80"/>
  <c r="Z45" i="80" s="1"/>
  <c r="J45" i="80"/>
  <c r="AC45" i="80" s="1"/>
  <c r="F45" i="80"/>
  <c r="AA45" i="80" s="1"/>
  <c r="Q44" i="80"/>
  <c r="Z44" i="80" s="1"/>
  <c r="J44" i="80"/>
  <c r="AC44" i="80" s="1"/>
  <c r="H44" i="80"/>
  <c r="AB44" i="80" s="1"/>
  <c r="F44" i="80"/>
  <c r="AA44" i="80" s="1"/>
  <c r="Q43" i="80"/>
  <c r="Z43" i="80" s="1"/>
  <c r="J43" i="80"/>
  <c r="AC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F32" i="80"/>
  <c r="AA32" i="80" s="1"/>
  <c r="Q31" i="80"/>
  <c r="Z31" i="80" s="1"/>
  <c r="J31" i="80"/>
  <c r="AC31" i="80" s="1"/>
  <c r="H31" i="80"/>
  <c r="AB31" i="80" s="1"/>
  <c r="F31" i="80"/>
  <c r="AA31" i="80" s="1"/>
  <c r="Q30" i="80"/>
  <c r="Z30" i="80" s="1"/>
  <c r="J30" i="80"/>
  <c r="AC30" i="80" s="1"/>
  <c r="F30" i="80"/>
  <c r="AA30" i="80" s="1"/>
  <c r="Q29" i="80"/>
  <c r="Z29" i="80" s="1"/>
  <c r="J29" i="80"/>
  <c r="AC29" i="80" s="1"/>
  <c r="H29" i="80"/>
  <c r="AB29" i="80" s="1"/>
  <c r="F29" i="80"/>
  <c r="AA29" i="80" s="1"/>
  <c r="Q28" i="80"/>
  <c r="Z28" i="80" s="1"/>
  <c r="J28" i="80"/>
  <c r="AC28" i="80" s="1"/>
  <c r="F28" i="80"/>
  <c r="AA28" i="80" s="1"/>
  <c r="Q27" i="80"/>
  <c r="Z27" i="80" s="1"/>
  <c r="J27" i="80"/>
  <c r="AC27" i="80" s="1"/>
  <c r="F27" i="80"/>
  <c r="AA27" i="80" s="1"/>
  <c r="Q25" i="80"/>
  <c r="Z25" i="80" s="1"/>
  <c r="J25" i="80"/>
  <c r="AC25" i="80" s="1"/>
  <c r="F25" i="80"/>
  <c r="AA25" i="80" s="1"/>
  <c r="Q23" i="80"/>
  <c r="Z23" i="80" s="1"/>
  <c r="J23" i="80"/>
  <c r="AC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J11" i="80"/>
  <c r="AC11" i="80" s="1"/>
  <c r="H11" i="80"/>
  <c r="AB11" i="80" s="1"/>
  <c r="F11" i="80"/>
  <c r="AA11" i="80" s="1"/>
  <c r="Q10" i="80"/>
  <c r="Z10" i="80" s="1"/>
  <c r="H10" i="80"/>
  <c r="AB10" i="80" s="1"/>
  <c r="Q9" i="80"/>
  <c r="Z9" i="80" s="1"/>
  <c r="J9" i="80"/>
  <c r="AC9" i="80" s="1"/>
  <c r="H9" i="80"/>
  <c r="AB9" i="80" s="1"/>
  <c r="F9" i="80"/>
  <c r="AA9" i="80" s="1"/>
  <c r="J8" i="80"/>
  <c r="W8" i="80" s="1"/>
  <c r="H8" i="80"/>
  <c r="AB8" i="80" s="1"/>
  <c r="F8" i="80"/>
  <c r="S8" i="80" s="1"/>
  <c r="D14" i="9"/>
  <c r="E4" i="79"/>
  <c r="F10" i="79"/>
  <c r="C13" i="79" s="1"/>
  <c r="F9" i="79"/>
  <c r="K16" i="78"/>
  <c r="H16" i="78"/>
  <c r="G16" i="78"/>
  <c r="I15" i="78"/>
  <c r="I14" i="78"/>
  <c r="I13" i="78"/>
  <c r="I12" i="78"/>
  <c r="I11" i="78"/>
  <c r="I10" i="78"/>
  <c r="I9" i="78"/>
  <c r="I8" i="78"/>
  <c r="I7" i="78"/>
  <c r="D2" i="80"/>
  <c r="U8" i="80" l="1"/>
  <c r="B16" i="79"/>
  <c r="F10" i="80"/>
  <c r="AA10" i="80" s="1"/>
  <c r="J10" i="80"/>
  <c r="AC10" i="80" s="1"/>
  <c r="F13" i="80"/>
  <c r="AA13" i="80" s="1"/>
  <c r="H15" i="80"/>
  <c r="AB15" i="80" s="1"/>
  <c r="H23" i="80"/>
  <c r="AB23" i="80" s="1"/>
  <c r="H25" i="80"/>
  <c r="AB25" i="80" s="1"/>
  <c r="H43" i="80"/>
  <c r="AB43" i="80" s="1"/>
  <c r="AA8" i="80"/>
  <c r="AC8" i="80"/>
  <c r="U9" i="80"/>
  <c r="S10" i="80"/>
  <c r="U11" i="80"/>
  <c r="S12" i="80"/>
  <c r="W12" i="80"/>
  <c r="U13" i="80"/>
  <c r="S14" i="80"/>
  <c r="W14" i="80"/>
  <c r="S15" i="80"/>
  <c r="W15" i="80"/>
  <c r="S17" i="80"/>
  <c r="W17" i="80"/>
  <c r="S19" i="80"/>
  <c r="W19" i="80"/>
  <c r="S21" i="80"/>
  <c r="S9" i="80"/>
  <c r="W9" i="80"/>
  <c r="U10" i="80"/>
  <c r="S11" i="80"/>
  <c r="W11" i="80"/>
  <c r="U12" i="80"/>
  <c r="S13" i="80"/>
  <c r="W13" i="80"/>
  <c r="U14" i="80"/>
  <c r="U15" i="80"/>
  <c r="U17" i="80"/>
  <c r="U19" i="80"/>
  <c r="W21"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C16" i="79"/>
  <c r="B13" i="79"/>
  <c r="I16" i="78"/>
  <c r="U25" i="80" l="1"/>
  <c r="W10" i="80"/>
  <c r="F19" i="6"/>
  <c r="C11" i="4" l="1"/>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3" i="76"/>
  <c r="E11" i="76"/>
  <c r="B8" i="76"/>
  <c r="E8" i="76"/>
  <c r="B9" i="76"/>
  <c r="E12" i="76"/>
  <c r="E10" i="76"/>
  <c r="B11" i="76"/>
  <c r="B7" i="76"/>
  <c r="B10" i="76"/>
  <c r="E7" i="76"/>
  <c r="E13" i="76"/>
  <c r="E9"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3" i="73"/>
  <c r="F5" i="73"/>
  <c r="D6" i="73"/>
  <c r="F6" i="73"/>
  <c r="D3" i="73"/>
  <c r="I1" i="73" l="1"/>
  <c r="B39" i="1" s="1"/>
  <c r="D7"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6" i="71" l="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G10" i="1" s="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1" i="31"/>
  <c r="S195" i="31"/>
  <c r="S179" i="31"/>
  <c r="S163" i="31"/>
  <c r="S147" i="31"/>
  <c r="S142" i="31"/>
  <c r="S140" i="31"/>
  <c r="S138" i="31"/>
  <c r="S136" i="31"/>
  <c r="S134" i="31"/>
  <c r="S132" i="31"/>
  <c r="S130" i="31"/>
  <c r="S128" i="31"/>
  <c r="S126" i="31"/>
  <c r="S124" i="31"/>
  <c r="S487" i="31"/>
  <c r="S471"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AA12" i="35"/>
  <c r="W14" i="37"/>
  <c r="AB28" i="37"/>
  <c r="U33" i="37"/>
  <c r="U39" i="37"/>
  <c r="W26" i="37"/>
  <c r="AC8" i="37"/>
  <c r="U26" i="37"/>
  <c r="W47" i="34"/>
  <c r="AB13" i="34"/>
  <c r="AA13" i="33"/>
  <c r="AC31" i="33"/>
  <c r="AC45" i="33"/>
  <c r="W44" i="33"/>
  <c r="U11" i="33"/>
  <c r="U19" i="21"/>
  <c r="U2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494" i="3"/>
  <c r="AZ502" i="3"/>
  <c r="AZ514" i="3"/>
  <c r="AZ530"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c r="BL116" i="3"/>
  <c r="AZ116" i="3"/>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AZ175" i="3"/>
  <c r="BL176" i="3"/>
  <c r="G177" i="3"/>
  <c r="BA179" i="3"/>
  <c r="AZ179" i="3"/>
  <c r="BL180" i="3"/>
  <c r="G181" i="3"/>
  <c r="BA183" i="3"/>
  <c r="AZ183" i="3" s="1"/>
  <c r="BL184" i="3"/>
  <c r="AZ184" i="3" s="1"/>
  <c r="G185" i="3"/>
  <c r="BA187" i="3"/>
  <c r="BL188" i="3"/>
  <c r="AZ188" i="3" s="1"/>
  <c r="G189" i="3"/>
  <c r="BA191" i="3"/>
  <c r="BL192" i="3"/>
  <c r="G193" i="3"/>
  <c r="BA195" i="3"/>
  <c r="AZ195" i="3" s="1"/>
  <c r="BL196" i="3"/>
  <c r="G197" i="3"/>
  <c r="BA199" i="3"/>
  <c r="AZ199" i="3" s="1"/>
  <c r="BL200" i="3"/>
  <c r="G201" i="3"/>
  <c r="BA203" i="3"/>
  <c r="AZ203" i="3" s="1"/>
  <c r="BL204" i="3"/>
  <c r="AZ43" i="3"/>
  <c r="AZ47" i="3"/>
  <c r="AZ79" i="3"/>
  <c r="AZ83" i="3"/>
  <c r="AZ152" i="3"/>
  <c r="AZ85" i="3"/>
  <c r="AZ89"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AZ356" i="3" s="1"/>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AZ150" i="3"/>
  <c r="AZ166" i="3"/>
  <c r="AZ182" i="3"/>
  <c r="BA16" i="3"/>
  <c r="AZ16" i="3" s="1"/>
  <c r="BL303" i="3"/>
  <c r="G304" i="3"/>
  <c r="BA306" i="3"/>
  <c r="AZ306" i="3"/>
  <c r="BL307" i="3"/>
  <c r="AZ307" i="3"/>
  <c r="G308" i="3"/>
  <c r="BA310" i="3"/>
  <c r="AZ310" i="3" s="1"/>
  <c r="BL311" i="3"/>
  <c r="G312" i="3"/>
  <c r="BA314" i="3"/>
  <c r="BL315" i="3"/>
  <c r="G316" i="3"/>
  <c r="BA318" i="3"/>
  <c r="AZ318" i="3" s="1"/>
  <c r="BL319" i="3"/>
  <c r="AZ319" i="3" s="1"/>
  <c r="G320" i="3"/>
  <c r="BA322" i="3"/>
  <c r="BL323" i="3"/>
  <c r="AZ323" i="3" s="1"/>
  <c r="G324" i="3"/>
  <c r="BA326" i="3"/>
  <c r="BL327" i="3"/>
  <c r="AZ327" i="3" s="1"/>
  <c r="G328" i="3"/>
  <c r="BA330" i="3"/>
  <c r="BL331" i="3"/>
  <c r="AZ331" i="3" s="1"/>
  <c r="G332" i="3"/>
  <c r="BA334" i="3"/>
  <c r="AZ334" i="3" s="1"/>
  <c r="BL335" i="3"/>
  <c r="G336" i="3"/>
  <c r="BA338" i="3"/>
  <c r="AZ338" i="3" s="1"/>
  <c r="BL339" i="3"/>
  <c r="G340" i="3"/>
  <c r="BL343" i="3"/>
  <c r="G344" i="3"/>
  <c r="G348" i="3"/>
  <c r="G355" i="3"/>
  <c r="AZ214" i="3"/>
  <c r="AZ222" i="3"/>
  <c r="AZ303"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AZ374" i="3" s="1"/>
  <c r="G375" i="3"/>
  <c r="BA377" i="3"/>
  <c r="AZ377" i="3" s="1"/>
  <c r="AZ257" i="3"/>
  <c r="AZ261" i="3"/>
  <c r="AZ265"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AC5" i="3"/>
  <c r="AZ506" i="3"/>
  <c r="AZ496" i="3"/>
  <c r="G548" i="3"/>
  <c r="G538" i="3"/>
  <c r="G520" i="3"/>
  <c r="G502" i="3"/>
  <c r="BS5" i="3"/>
  <c r="BP5" i="3"/>
  <c r="BN5" i="3"/>
  <c r="AZ343" i="3"/>
  <c r="BK5" i="3"/>
  <c r="BI5" i="3"/>
  <c r="BG5" i="3"/>
  <c r="BE5" i="3"/>
  <c r="BC5" i="3"/>
  <c r="G17" i="3"/>
  <c r="BA17" i="3"/>
  <c r="BT5" i="3"/>
  <c r="AZ352" i="3"/>
  <c r="AZ360" i="3"/>
  <c r="AZ368" i="3"/>
  <c r="BA15" i="3"/>
  <c r="BB5" i="3"/>
  <c r="BR5" i="3"/>
  <c r="AZ380" i="3"/>
  <c r="AZ384" i="3"/>
  <c r="AZ394" i="3"/>
  <c r="E8" i="6"/>
  <c r="F27" i="6" s="1"/>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F48" i="9"/>
  <c r="O52" i="9" s="1"/>
  <c r="AC11" i="39"/>
  <c r="W37" i="37"/>
  <c r="W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56" i="3"/>
  <c r="AZ259" i="3"/>
  <c r="AZ280" i="3"/>
  <c r="AZ296" i="3"/>
  <c r="AZ114" i="3"/>
  <c r="AZ29"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U44" i="39" l="1"/>
  <c r="AB44" i="39"/>
  <c r="AC31" i="40"/>
  <c r="W31" i="40"/>
  <c r="W33" i="40"/>
  <c r="AC33" i="40"/>
  <c r="AA38" i="40"/>
  <c r="S38" i="40"/>
  <c r="W40" i="40"/>
  <c r="AC40" i="40"/>
  <c r="AC43" i="39"/>
  <c r="W43" i="39"/>
  <c r="U45" i="39"/>
  <c r="AB45" i="39"/>
  <c r="AC32" i="40"/>
  <c r="W32" i="40"/>
  <c r="H87" i="43"/>
  <c r="H86" i="43"/>
  <c r="H49" i="43"/>
  <c r="H74" i="43"/>
  <c r="BQ5" i="3"/>
  <c r="AZ373" i="3"/>
  <c r="AZ322" i="3"/>
  <c r="AZ371" i="3"/>
  <c r="AZ342" i="3"/>
  <c r="AZ329" i="3"/>
  <c r="AZ321" i="3"/>
  <c r="AZ378" i="3"/>
  <c r="AC13" i="40"/>
  <c r="AC46" i="21"/>
  <c r="W44" i="21"/>
  <c r="U35" i="35"/>
  <c r="U43" i="33"/>
  <c r="AZ497" i="3"/>
  <c r="AZ501" i="3"/>
  <c r="AZ555" i="3"/>
  <c r="AZ565" i="3"/>
  <c r="AZ566" i="3"/>
  <c r="AZ574" i="3"/>
  <c r="U13" i="33"/>
  <c r="AB45" i="33"/>
  <c r="AA14" i="34"/>
  <c r="AB46" i="34"/>
  <c r="W11" i="36"/>
  <c r="AA14" i="33"/>
  <c r="U31" i="34"/>
  <c r="AA29" i="35"/>
  <c r="U33" i="35"/>
  <c r="AC11" i="40"/>
  <c r="J12" i="21"/>
  <c r="AC12" i="21" s="1"/>
  <c r="BL585" i="3"/>
  <c r="H12" i="33"/>
  <c r="F9" i="34"/>
  <c r="AA9" i="34" s="1"/>
  <c r="J23" i="35"/>
  <c r="F9" i="36"/>
  <c r="AA9" i="36" s="1"/>
  <c r="H38" i="40"/>
  <c r="F40" i="40"/>
  <c r="G582" i="3"/>
  <c r="G556" i="3"/>
  <c r="G552" i="3"/>
  <c r="G551"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BA491" i="3"/>
  <c r="BL491" i="3"/>
  <c r="BA492" i="3"/>
  <c r="AZ492" i="3" s="1"/>
  <c r="BL308" i="3"/>
  <c r="AZ308" i="3" s="1"/>
  <c r="G311" i="3"/>
  <c r="BL312" i="3"/>
  <c r="AZ312" i="3" s="1"/>
  <c r="G313" i="3"/>
  <c r="BL314" i="3"/>
  <c r="AZ314" i="3" s="1"/>
  <c r="G315" i="3"/>
  <c r="BA317" i="3"/>
  <c r="AZ317" i="3" s="1"/>
  <c r="G323" i="3"/>
  <c r="BL324" i="3"/>
  <c r="AZ324" i="3" s="1"/>
  <c r="G327" i="3"/>
  <c r="BL328" i="3"/>
  <c r="AZ328" i="3" s="1"/>
  <c r="G329" i="3"/>
  <c r="BL330" i="3"/>
  <c r="AZ330" i="3" s="1"/>
  <c r="G374" i="3"/>
  <c r="BL375" i="3"/>
  <c r="AZ375" i="3" s="1"/>
  <c r="G378" i="3"/>
  <c r="G387" i="3"/>
  <c r="BA388" i="3"/>
  <c r="AZ388" i="3" s="1"/>
  <c r="BA392" i="3"/>
  <c r="AZ392" i="3" s="1"/>
  <c r="G395" i="3"/>
  <c r="G397" i="3"/>
  <c r="BA208" i="3"/>
  <c r="BL208" i="3"/>
  <c r="BL210" i="3"/>
  <c r="G211" i="3"/>
  <c r="BA333" i="3"/>
  <c r="BL333" i="3"/>
  <c r="G334" i="3"/>
  <c r="BA335" i="3"/>
  <c r="AZ335" i="3" s="1"/>
  <c r="BA339" i="3"/>
  <c r="AZ339" i="3" s="1"/>
  <c r="G347" i="3"/>
  <c r="BA348" i="3"/>
  <c r="AZ348" i="3" s="1"/>
  <c r="BA349" i="3"/>
  <c r="AZ349" i="3" s="1"/>
  <c r="BL359" i="3"/>
  <c r="AZ359" i="3" s="1"/>
  <c r="G362" i="3"/>
  <c r="BA370" i="3"/>
  <c r="AZ370" i="3" s="1"/>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G244" i="3"/>
  <c r="BL245" i="3"/>
  <c r="G246"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89" i="3"/>
  <c r="BL189" i="3"/>
  <c r="BL191" i="3"/>
  <c r="AZ191" i="3" s="1"/>
  <c r="G192" i="3"/>
  <c r="BA194" i="3"/>
  <c r="AZ194" i="3" s="1"/>
  <c r="BL194" i="3"/>
  <c r="BA196" i="3"/>
  <c r="AZ196" i="3" s="1"/>
  <c r="G199" i="3"/>
  <c r="BA200" i="3"/>
  <c r="AZ200" i="3" s="1"/>
  <c r="G203" i="3"/>
  <c r="G205" i="3"/>
  <c r="BL206" i="3"/>
  <c r="G207" i="3"/>
  <c r="BA18" i="3"/>
  <c r="AZ18" i="3" s="1"/>
  <c r="BA20" i="3"/>
  <c r="AZ20" i="3" s="1"/>
  <c r="BL20" i="3"/>
  <c r="BL22" i="3"/>
  <c r="G23" i="3"/>
  <c r="G25" i="3"/>
  <c r="B1" i="79"/>
  <c r="C7" i="80"/>
  <c r="C59" i="80" s="1"/>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258" i="3"/>
  <c r="AZ262"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9" i="67"/>
  <c r="F16" i="67"/>
  <c r="F9" i="67"/>
  <c r="F8" i="15"/>
  <c r="F7" i="67"/>
  <c r="G1" i="73"/>
  <c r="F13" i="67"/>
  <c r="M9" i="15"/>
  <c r="F9" i="15"/>
  <c r="M23" i="15"/>
  <c r="M24" i="15"/>
  <c r="F7" i="15"/>
  <c r="F16" i="15"/>
  <c r="M9" i="67"/>
  <c r="F37" i="15"/>
  <c r="F40" i="67"/>
  <c r="M22" i="67"/>
  <c r="M24" i="67"/>
  <c r="F42" i="15"/>
  <c r="F37" i="67"/>
  <c r="F36" i="15"/>
  <c r="L47" i="67"/>
  <c r="M26" i="67"/>
  <c r="F40" i="15"/>
  <c r="C76" i="67"/>
  <c r="M29" i="15"/>
  <c r="L48" i="67"/>
  <c r="L48" i="15"/>
  <c r="J15" i="15"/>
  <c r="F38" i="15"/>
  <c r="F43" i="67"/>
  <c r="F8" i="67"/>
  <c r="F43" i="15"/>
  <c r="F38" i="67"/>
  <c r="M28" i="67"/>
  <c r="M8" i="67"/>
  <c r="F6" i="67"/>
  <c r="J15" i="67"/>
  <c r="F26" i="15"/>
  <c r="F36" i="67"/>
  <c r="F13" i="15"/>
  <c r="M26" i="15"/>
  <c r="F6" i="15"/>
  <c r="M8" i="15"/>
  <c r="M22" i="15"/>
  <c r="F26" i="67"/>
  <c r="F42" i="67"/>
  <c r="L47" i="15"/>
  <c r="C76" i="15"/>
  <c r="M28" i="15"/>
  <c r="M23" i="67"/>
  <c r="F49" i="67" l="1"/>
  <c r="D59" i="80"/>
  <c r="E59" i="80" s="1"/>
  <c r="F59" i="80" s="1"/>
  <c r="G59" i="80" s="1"/>
  <c r="H59" i="80" s="1"/>
  <c r="I59" i="80" s="1"/>
  <c r="J59" i="80" s="1"/>
  <c r="K59" i="80" s="1"/>
  <c r="L59" i="80" s="1"/>
  <c r="M59" i="80" s="1"/>
  <c r="N59" i="80" s="1"/>
  <c r="O59" i="80" s="1"/>
  <c r="F7" i="80"/>
  <c r="H7" i="80"/>
  <c r="J7" i="80"/>
  <c r="AA40" i="40"/>
  <c r="S40" i="40"/>
  <c r="AZ63" i="3"/>
  <c r="AZ59" i="3"/>
  <c r="AZ57" i="3"/>
  <c r="C4" i="79"/>
  <c r="C5" i="79"/>
  <c r="D5" i="79" s="1"/>
  <c r="C3" i="79"/>
  <c r="D3" i="79" s="1"/>
  <c r="AZ174" i="3"/>
  <c r="AZ169" i="3"/>
  <c r="AZ125" i="3"/>
  <c r="AZ274" i="3"/>
  <c r="AZ270" i="3"/>
  <c r="AZ230" i="3"/>
  <c r="AZ226" i="3"/>
  <c r="AZ333" i="3"/>
  <c r="AZ208" i="3"/>
  <c r="AZ491" i="3"/>
  <c r="AZ461" i="3"/>
  <c r="AZ415" i="3"/>
  <c r="AB38" i="40"/>
  <c r="U38" i="40"/>
  <c r="AC23" i="35"/>
  <c r="W23" i="35"/>
  <c r="U12" i="33"/>
  <c r="AB12" i="33"/>
  <c r="F70" i="15"/>
  <c r="F52" i="15"/>
  <c r="F49" i="15"/>
  <c r="E65" i="39"/>
  <c r="E56" i="40"/>
  <c r="T10" i="1"/>
  <c r="E4" i="4"/>
  <c r="K4" i="4" s="1"/>
  <c r="B46" i="48" s="1"/>
  <c r="B4"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6" i="6"/>
  <c r="S22" i="6"/>
  <c r="M20" i="6"/>
  <c r="I20" i="6" s="1"/>
  <c r="G16" i="1"/>
  <c r="H10" i="40" s="1"/>
  <c r="U10" i="40" s="1"/>
  <c r="C27" i="67"/>
  <c r="L56" i="67"/>
  <c r="J57" i="67"/>
  <c r="J55" i="67" s="1"/>
  <c r="J58" i="67" s="1"/>
  <c r="Q50" i="67" s="1"/>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59" i="67"/>
  <c r="F31" i="67"/>
  <c r="M17" i="15"/>
  <c r="M17" i="67"/>
  <c r="F31" i="15"/>
  <c r="F59" i="15"/>
  <c r="C16" i="15"/>
  <c r="C16" i="67"/>
  <c r="C17" i="15"/>
  <c r="D4" i="79" l="1"/>
  <c r="AF6" i="1"/>
  <c r="AC7" i="80"/>
  <c r="V49" i="80" s="1"/>
  <c r="I49" i="80" s="1"/>
  <c r="W7" i="80"/>
  <c r="AA7" i="80"/>
  <c r="R49" i="80" s="1"/>
  <c r="S7" i="80"/>
  <c r="U7" i="80"/>
  <c r="AB7" i="80"/>
  <c r="T49" i="80" s="1"/>
  <c r="G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C53" i="67"/>
  <c r="C5" i="67"/>
  <c r="C32" i="67" s="1"/>
  <c r="F10" i="40"/>
  <c r="AA10" i="40" s="1"/>
  <c r="S20" i="6"/>
  <c r="I19" i="6"/>
  <c r="L18" i="9" s="1"/>
  <c r="M27" i="6"/>
  <c r="H10" i="39"/>
  <c r="J10" i="39"/>
  <c r="C49" i="15"/>
  <c r="Q60" i="15"/>
  <c r="M16" i="1"/>
  <c r="N16" i="1" s="1"/>
  <c r="Q60" i="67"/>
  <c r="Q73" i="67"/>
  <c r="F27" i="11"/>
  <c r="Q61" i="67"/>
  <c r="Q74" i="67"/>
  <c r="C49" i="67"/>
  <c r="F1" i="67"/>
  <c r="Q52" i="67"/>
  <c r="G54" i="80" l="1"/>
  <c r="H54" i="80" s="1"/>
  <c r="G53" i="80"/>
  <c r="H53" i="80" s="1"/>
  <c r="E49" i="80"/>
  <c r="R50" i="80"/>
  <c r="I54" i="80"/>
  <c r="J54" i="80" s="1"/>
  <c r="I53" i="80"/>
  <c r="J53" i="80" s="1"/>
  <c r="Q61" i="15"/>
  <c r="E37" i="43"/>
  <c r="AA7" i="36"/>
  <c r="R36" i="36" s="1"/>
  <c r="E36" i="36" s="1"/>
  <c r="E40" i="36" s="1"/>
  <c r="F40" i="36" s="1"/>
  <c r="AC11" i="37"/>
  <c r="W11" i="37"/>
  <c r="AB7" i="37"/>
  <c r="T42" i="37" s="1"/>
  <c r="G42" i="37" s="1"/>
  <c r="G46" i="37" s="1"/>
  <c r="H46" i="37" s="1"/>
  <c r="W11" i="34"/>
  <c r="AC11" i="34"/>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50" i="80" l="1"/>
  <c r="Z6" i="1" s="1"/>
  <c r="C49" i="80"/>
  <c r="E54" i="80"/>
  <c r="F54" i="80" s="1"/>
  <c r="E53" i="80"/>
  <c r="F53" i="80" s="1"/>
  <c r="AA7" i="34"/>
  <c r="R49" i="34" s="1"/>
  <c r="E49" i="34" s="1"/>
  <c r="C34" i="11"/>
  <c r="R20" i="6"/>
  <c r="R7" i="1" s="1"/>
  <c r="C36" i="11"/>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M6" i="15"/>
  <c r="M6" i="67"/>
  <c r="E6" i="76"/>
  <c r="J6" i="67" l="1"/>
  <c r="J10" i="67"/>
  <c r="J6" i="15"/>
  <c r="J10" i="15"/>
  <c r="B3" i="80"/>
  <c r="B2"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F35" i="67"/>
  <c r="F35" i="15"/>
  <c r="M21" i="67"/>
  <c r="J5" i="15" l="1"/>
  <c r="J18" i="15" s="1"/>
  <c r="J5" i="67"/>
  <c r="J24" i="15"/>
  <c r="J24" i="67"/>
  <c r="J18" i="6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B8" i="70" l="1"/>
  <c r="B7" i="70"/>
  <c r="B6" i="70"/>
  <c r="C46" i="15"/>
  <c r="B2" i="69"/>
  <c r="B3" i="69" s="1"/>
  <c r="B2" i="68"/>
  <c r="B3" i="67"/>
  <c r="D2" i="36"/>
  <c r="D2" i="34"/>
  <c r="D2" i="33"/>
  <c r="D2" i="35"/>
  <c r="D2" i="21"/>
  <c r="D2" i="37"/>
  <c r="F20" i="31"/>
  <c r="E2" i="68"/>
  <c r="B2" i="36" l="1"/>
  <c r="B3" i="36" s="1"/>
  <c r="B2" i="35"/>
  <c r="B3" i="35" s="1"/>
  <c r="B2" i="37"/>
  <c r="B3" i="37" s="1"/>
  <c r="B2" i="34"/>
  <c r="B2" i="21"/>
  <c r="B3" i="21" s="1"/>
  <c r="B2" i="70"/>
  <c r="B3" i="70" s="1"/>
  <c r="B3" i="68"/>
  <c r="C19" i="9"/>
  <c r="D20" i="9"/>
  <c r="D19" i="9"/>
  <c r="C21" i="9" l="1"/>
  <c r="C102" i="9"/>
  <c r="B3" i="34"/>
  <c r="G19" i="9"/>
  <c r="D102" i="9"/>
  <c r="D22" i="9"/>
  <c r="D21" i="9"/>
  <c r="D103" i="9"/>
  <c r="C20" i="9"/>
  <c r="C103" i="9" l="1"/>
  <c r="G20" i="9"/>
  <c r="R24" i="31" s="1"/>
  <c r="C32" i="9"/>
  <c r="G21" i="9"/>
  <c r="D34" i="9"/>
  <c r="S24" i="31" l="1"/>
  <c r="R32" i="31"/>
  <c r="S32" i="31" s="1"/>
  <c r="R28" i="31"/>
  <c r="S28" i="31" s="1"/>
  <c r="R31" i="31"/>
  <c r="S31" i="31" s="1"/>
  <c r="R27" i="31"/>
  <c r="S27" i="31" s="1"/>
  <c r="R30" i="31"/>
  <c r="S30" i="31" s="1"/>
  <c r="R26" i="31"/>
  <c r="S26" i="31" s="1"/>
  <c r="R29" i="31"/>
  <c r="S29" i="31" s="1"/>
  <c r="R25" i="31"/>
  <c r="S25" i="31" s="1"/>
  <c r="H109" i="9"/>
  <c r="S22" i="31" l="1"/>
  <c r="H110" i="9"/>
  <c r="D18" i="53" s="1"/>
  <c r="B35" i="72" s="1"/>
  <c r="D124" i="9"/>
  <c r="D16" i="53"/>
  <c r="B34" i="72" s="1"/>
  <c r="R22" i="31" l="1"/>
  <c r="B21" i="31" s="1"/>
  <c r="B20" i="3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李楠</author>
    <author>张芳向 Netboy</author>
  </authors>
  <commentList>
    <comment ref="C13" authorId="0">
      <text>
        <r>
          <rPr>
            <sz val="9"/>
            <color indexed="81"/>
            <rFont val="宋体"/>
            <family val="3"/>
            <charset val="134"/>
          </rPr>
          <t xml:space="preserve">原名称：北京优胜辉煌教育科技有限公司
</t>
        </r>
      </text>
    </comment>
    <comment ref="I13" authorId="1">
      <text>
        <r>
          <rPr>
            <sz val="9"/>
            <color indexed="81"/>
            <rFont val="Tahoma"/>
            <family val="2"/>
          </rPr>
          <t>2015.11.20-2017.11.19</t>
        </r>
        <r>
          <rPr>
            <sz val="9"/>
            <color indexed="81"/>
            <rFont val="宋体"/>
            <family val="3"/>
            <charset val="134"/>
          </rPr>
          <t>单价为</t>
        </r>
        <r>
          <rPr>
            <sz val="9"/>
            <color indexed="81"/>
            <rFont val="Tahoma"/>
            <family val="2"/>
          </rPr>
          <t>6.06</t>
        </r>
        <r>
          <rPr>
            <sz val="9"/>
            <color indexed="81"/>
            <rFont val="宋体"/>
            <family val="3"/>
            <charset val="134"/>
          </rPr>
          <t>；</t>
        </r>
        <r>
          <rPr>
            <sz val="9"/>
            <color indexed="81"/>
            <rFont val="Tahoma"/>
            <family val="2"/>
          </rPr>
          <t>2017.11.20-2019.11.19</t>
        </r>
        <r>
          <rPr>
            <sz val="9"/>
            <color indexed="81"/>
            <rFont val="宋体"/>
            <family val="3"/>
            <charset val="134"/>
          </rPr>
          <t>单价为</t>
        </r>
        <r>
          <rPr>
            <sz val="9"/>
            <color indexed="81"/>
            <rFont val="Tahoma"/>
            <family val="2"/>
          </rPr>
          <t>6.36</t>
        </r>
      </text>
    </comment>
    <comment ref="H14" authorId="2">
      <text>
        <r>
          <rPr>
            <sz val="9"/>
            <rFont val="宋体"/>
            <family val="3"/>
            <charset val="134"/>
          </rPr>
          <t>2016.5.1-2018.4.30年租金4347820.14元，月租金362318.35元；2018.5.1-2020.4.30年租金4561647.36元，月租金380137.28元；（含物业费19.8元/平米月）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<sst xmlns="http://schemas.openxmlformats.org/spreadsheetml/2006/main" count="7867" uniqueCount="3216">
  <si>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</si>
  <si>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</si>
  <si>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</si>
  <si>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</si>
  <si>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</si>
  <si>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</si>
  <si>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</si>
  <si>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</si>
  <si>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</si>
  <si>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</si>
  <si>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</si>
  <si>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</si>
  <si>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</si>
  <si>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</si>
  <si>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</si>
  <si>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</si>
  <si>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</si>
  <si>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</si>
  <si>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</si>
  <si>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</si>
  <si>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</si>
  <si>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</si>
  <si>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</si>
  <si>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</si>
  <si>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</si>
  <si>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</si>
  <si>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</si>
  <si>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</si>
  <si>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</si>
  <si>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</si>
  <si>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</si>
  <si>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</si>
  <si>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</si>
  <si>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</si>
  <si>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</si>
  <si>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</si>
  <si>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</si>
  <si>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</si>
  <si>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</si>
  <si>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</si>
  <si>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</si>
  <si>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</si>
  <si>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</si>
  <si>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</si>
  <si>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</si>
  <si>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</si>
  <si>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</si>
  <si>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</si>
  <si>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</si>
  <si>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</si>
  <si>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</si>
  <si>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</si>
  <si>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</si>
  <si>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</si>
  <si>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</si>
  <si>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</si>
  <si>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</si>
  <si>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</si>
  <si>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</si>
  <si>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</si>
  <si>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</si>
  <si>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</si>
  <si>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</si>
  <si>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</si>
  <si>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</si>
  <si>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</si>
  <si>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</si>
  <si>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</si>
  <si>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</si>
  <si>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</si>
  <si>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</si>
  <si>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</si>
  <si>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</si>
  <si>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</si>
  <si>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</si>
  <si>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</si>
  <si>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</si>
  <si>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</si>
  <si>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</si>
  <si>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</si>
  <si>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</si>
  <si>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</si>
  <si>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</si>
  <si>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</si>
  <si>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</si>
  <si>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</si>
  <si>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</si>
  <si>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</si>
  <si>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</si>
  <si>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</si>
  <si>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</si>
  <si>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</si>
  <si>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</si>
  <si>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</si>
  <si>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</si>
  <si>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</si>
  <si>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</si>
  <si>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</si>
  <si>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</si>
  <si>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</si>
  <si>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</si>
  <si>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</si>
  <si>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</si>
  <si>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</si>
  <si>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</si>
  <si>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</si>
  <si>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</si>
  <si>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</si>
  <si>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</si>
  <si>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</si>
  <si>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</si>
  <si>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</si>
  <si>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</si>
  <si>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</si>
  <si>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</si>
  <si>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</si>
  <si>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</si>
  <si>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</si>
  <si>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</si>
  <si>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</si>
  <si>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</si>
  <si>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</si>
  <si>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</si>
  <si>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</si>
  <si>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</si>
  <si>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</si>
  <si>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</si>
  <si>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</si>
  <si>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</si>
  <si>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</si>
  <si>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</si>
  <si>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</si>
  <si>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</si>
  <si>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</si>
  <si>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</si>
  <si>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</si>
  <si>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</si>
  <si>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</si>
  <si>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</si>
  <si>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</si>
  <si>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</si>
  <si>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</si>
  <si>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</si>
  <si>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</si>
  <si>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</si>
  <si>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</si>
  <si>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</si>
  <si>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</si>
  <si>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</si>
  <si>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</si>
  <si>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</si>
  <si>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</si>
  <si>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</si>
  <si>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</si>
  <si>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</si>
  <si>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</si>
  <si>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</si>
  <si>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</si>
  <si>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</si>
  <si>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</si>
  <si>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</si>
  <si>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</si>
  <si>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</si>
  <si>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</si>
  <si>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</si>
  <si>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</si>
  <si>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</si>
  <si>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</si>
  <si>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</si>
  <si>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</si>
  <si>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</si>
  <si>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</si>
  <si>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</si>
  <si>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</si>
  <si>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</si>
  <si>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</si>
  <si>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</si>
  <si>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</si>
  <si>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</si>
  <si>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</si>
  <si>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</si>
  <si>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</si>
  <si>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</si>
  <si>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</si>
  <si>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</si>
  <si>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</si>
  <si>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</si>
  <si>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</si>
  <si>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</si>
  <si>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</si>
  <si>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</si>
  <si>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</si>
  <si>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</si>
  <si>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</si>
  <si>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</si>
  <si>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</si>
  <si>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</si>
  <si>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</si>
  <si>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</si>
  <si>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</si>
  <si>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</si>
  <si>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</si>
  <si>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</si>
  <si>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</si>
  <si>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</si>
  <si>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</si>
  <si>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</si>
  <si>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</si>
  <si>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</si>
  <si>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</si>
  <si>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</si>
  <si>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</si>
  <si>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</si>
  <si>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</si>
  <si>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</si>
  <si>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</si>
  <si>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</si>
  <si>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</si>
  <si>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</si>
  <si>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</si>
  <si>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</si>
  <si>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</si>
  <si>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</si>
  <si>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</si>
  <si>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</si>
  <si>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</si>
  <si>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</si>
  <si>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</si>
  <si>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</si>
  <si>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</si>
  <si>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</si>
  <si>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</si>
  <si>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</si>
  <si>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</si>
  <si>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</si>
  <si>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</si>
  <si>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</si>
  <si>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</si>
  <si>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</si>
  <si>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</si>
  <si>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</si>
  <si>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</si>
  <si>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</si>
  <si>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</si>
  <si>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</si>
  <si>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</si>
  <si>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</si>
  <si>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</si>
  <si>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</si>
  <si>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</si>
  <si>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</si>
  <si>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</si>
  <si>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</si>
  <si>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</si>
  <si>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</si>
  <si>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</si>
  <si>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</si>
  <si>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</si>
  <si>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</si>
  <si>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</si>
  <si>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</si>
  <si>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</si>
  <si>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</si>
  <si>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</si>
  <si>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</si>
  <si>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</si>
  <si>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</si>
  <si>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</si>
  <si>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</si>
  <si>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</si>
  <si>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</si>
  <si>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</si>
  <si>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</si>
  <si>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</si>
  <si>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</si>
  <si>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</si>
  <si>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</si>
  <si>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</si>
  <si>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</si>
  <si>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</si>
  <si>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</si>
  <si>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</si>
  <si>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</si>
  <si>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</si>
  <si>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</si>
  <si>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</si>
  <si>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</si>
  <si>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</si>
  <si>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</si>
  <si>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</si>
  <si>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</si>
  <si>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</si>
  <si>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</si>
  <si>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</si>
  <si>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</si>
  <si>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</si>
  <si>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</si>
  <si>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</si>
  <si>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</si>
  <si>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</si>
  <si>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</si>
  <si>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</si>
  <si>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</si>
  <si>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</si>
  <si>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</si>
  <si>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</si>
  <si>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</si>
  <si>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</si>
  <si>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</si>
  <si>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</si>
  <si>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</si>
  <si>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</si>
  <si>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</si>
  <si>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</si>
  <si>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</si>
  <si>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</si>
  <si>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</si>
  <si>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</si>
  <si>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</si>
  <si>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</si>
  <si>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</si>
  <si>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</si>
  <si>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</si>
  <si>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</si>
  <si>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</si>
  <si>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</si>
  <si>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</si>
  <si>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</si>
  <si>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</si>
  <si>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</si>
  <si>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</si>
  <si>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</si>
  <si>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</si>
  <si>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</si>
  <si>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</si>
  <si>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</si>
  <si>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</si>
  <si>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</si>
  <si>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</si>
  <si>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</si>
  <si>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</si>
  <si>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</si>
  <si>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</si>
  <si>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</si>
  <si>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</si>
  <si>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</si>
  <si>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</si>
  <si>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</si>
  <si>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</si>
  <si>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</si>
  <si>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</si>
  <si>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</si>
  <si>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</si>
  <si>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</si>
  <si>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</si>
  <si>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</si>
  <si>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</si>
  <si>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</si>
  <si>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</si>
  <si>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</si>
  <si>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</si>
  <si>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</si>
  <si>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</si>
  <si>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</si>
  <si>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</si>
  <si>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</si>
  <si>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</si>
  <si>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</si>
  <si>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</si>
  <si>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</si>
  <si>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</si>
  <si>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</si>
  <si>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</si>
  <si>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</si>
  <si>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</si>
  <si>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</si>
  <si>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</si>
  <si>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</si>
  <si>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</si>
  <si>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</si>
  <si>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</si>
  <si>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</si>
  <si>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</si>
  <si>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</si>
  <si>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</si>
  <si>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</si>
  <si>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</si>
  <si>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</si>
  <si>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</si>
  <si>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</si>
  <si>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</si>
  <si>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</si>
  <si>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</si>
  <si>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</si>
  <si>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</si>
  <si>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</si>
  <si>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</si>
  <si>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</si>
  <si>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</si>
  <si>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</si>
  <si>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</si>
  <si>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</si>
  <si>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</si>
  <si>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</si>
  <si>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</si>
  <si>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</si>
  <si>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</si>
  <si>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</si>
  <si>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</si>
  <si>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</si>
  <si>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</si>
  <si>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</si>
  <si>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</si>
  <si>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</si>
  <si>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</si>
  <si>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</si>
  <si>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</si>
  <si>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</si>
  <si>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</si>
  <si>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</si>
  <si>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</si>
  <si>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</si>
  <si>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</si>
  <si>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</si>
  <si>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</si>
  <si>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</si>
  <si>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</si>
  <si>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</si>
  <si>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</si>
  <si>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</si>
  <si>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</si>
  <si>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</si>
  <si>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</si>
  <si>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</si>
  <si>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</si>
  <si>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</si>
  <si>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</si>
  <si>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</si>
  <si>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</si>
  <si>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</si>
  <si>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</si>
  <si>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</si>
  <si>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</si>
  <si>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</si>
  <si>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</si>
  <si>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</si>
  <si>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</si>
  <si>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</si>
  <si>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</si>
  <si>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</si>
  <si>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</si>
  <si>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</si>
  <si>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</si>
  <si>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</si>
  <si>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</si>
  <si>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</si>
  <si>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</si>
  <si>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</si>
  <si>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</si>
  <si>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</si>
  <si>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</si>
  <si>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</si>
  <si>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</si>
  <si>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</si>
  <si>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</si>
  <si>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</si>
  <si>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</si>
  <si>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</si>
  <si>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</si>
  <si>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</si>
  <si>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</si>
  <si>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</si>
  <si>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</si>
  <si>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</si>
  <si>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</si>
  <si>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</si>
  <si>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</si>
  <si>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</si>
  <si>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</si>
  <si>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</si>
  <si>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</si>
  <si>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</si>
  <si>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</si>
  <si>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</si>
  <si>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</si>
  <si>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</si>
  <si>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</si>
  <si>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</si>
  <si>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</si>
  <si>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</si>
  <si>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</si>
  <si>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</si>
  <si>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</si>
  <si>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</si>
  <si>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</si>
  <si>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</si>
  <si>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</si>
  <si>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</si>
  <si>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</si>
  <si>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</si>
  <si>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</si>
  <si>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</si>
  <si>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</si>
  <si>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</si>
  <si>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</si>
  <si>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</si>
  <si>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</si>
  <si>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</si>
  <si>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</si>
  <si>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</si>
  <si>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</si>
  <si>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</si>
  <si>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</si>
  <si>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</si>
  <si>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</si>
  <si>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</si>
  <si>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</si>
  <si>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</si>
  <si>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</si>
  <si>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</si>
  <si>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</si>
  <si>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</si>
  <si>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</si>
  <si>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</si>
  <si>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</si>
  <si>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</si>
  <si>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</si>
  <si>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</si>
  <si>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</si>
  <si>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</si>
  <si>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</si>
  <si>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</si>
  <si>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</si>
  <si>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</si>
  <si>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</si>
  <si>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</si>
  <si>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</si>
  <si>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</si>
  <si>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</si>
  <si>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</si>
  <si>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</si>
  <si>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</si>
  <si>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</si>
  <si>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</si>
  <si>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</si>
  <si>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</si>
  <si>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</si>
  <si>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</si>
  <si>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</si>
  <si>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</si>
  <si>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</si>
  <si>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</si>
  <si>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</si>
  <si>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</si>
  <si>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</si>
  <si>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</si>
  <si>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</si>
  <si>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</si>
  <si>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</si>
  <si>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</si>
  <si>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</si>
  <si>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</si>
  <si>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</si>
  <si>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</si>
  <si>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</si>
  <si>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</si>
  <si>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</si>
  <si>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</si>
  <si>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</si>
  <si>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</si>
  <si>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</si>
  <si>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</si>
  <si>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</si>
  <si>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</si>
  <si>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</si>
  <si>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</si>
  <si>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</si>
  <si>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</si>
  <si>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</si>
  <si>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</si>
  <si>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</si>
  <si>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</si>
  <si>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</si>
  <si>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</si>
  <si>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</si>
  <si>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</si>
  <si>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</si>
  <si>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</si>
  <si>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</si>
  <si>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</si>
  <si>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</si>
  <si>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</si>
  <si>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</si>
  <si>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</si>
  <si>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</si>
  <si>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</si>
  <si>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</si>
  <si>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</si>
  <si>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</si>
  <si>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</si>
  <si>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</si>
  <si>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</si>
  <si>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</si>
  <si>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</si>
  <si>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</si>
  <si>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</si>
  <si>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</si>
  <si>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</si>
  <si>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</si>
  <si>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</si>
  <si>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</si>
  <si>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</si>
  <si>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</si>
  <si>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</si>
  <si>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</si>
  <si>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</si>
  <si>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</si>
  <si>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</si>
  <si>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</si>
  <si>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</si>
  <si>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</si>
  <si>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</si>
  <si>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</si>
  <si>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</si>
  <si>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</si>
  <si>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</si>
  <si>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</si>
  <si>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</si>
  <si>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</si>
  <si>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</si>
  <si>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</si>
  <si>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</si>
  <si>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</si>
  <si>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</si>
  <si>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</si>
  <si>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</si>
  <si>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</si>
  <si>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</si>
  <si>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</si>
  <si>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</si>
  <si>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</si>
  <si>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</si>
  <si>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</si>
  <si>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</si>
  <si>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</si>
  <si>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</si>
  <si>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</si>
  <si>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</si>
  <si>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</si>
  <si>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</si>
  <si>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</si>
  <si>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</si>
  <si>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</si>
  <si>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</si>
  <si>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</si>
  <si>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</si>
  <si>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</si>
  <si>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</si>
  <si>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</si>
  <si>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</si>
  <si>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</si>
  <si>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</si>
  <si>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</si>
  <si>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</si>
  <si>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</si>
  <si>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</si>
  <si>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</si>
  <si>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</si>
  <si>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</si>
  <si>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</si>
  <si>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</si>
  <si>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</si>
  <si>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</si>
  <si>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</si>
  <si>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</si>
  <si>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</si>
  <si>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</si>
  <si>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</si>
  <si>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</si>
  <si>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</si>
  <si>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</si>
  <si>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</si>
  <si>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</si>
  <si>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</si>
  <si>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</si>
  <si>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</si>
  <si>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</si>
  <si>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</si>
  <si>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</si>
  <si>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</si>
  <si>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</si>
  <si>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</si>
  <si>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</si>
  <si>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</si>
  <si>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</si>
  <si>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</si>
  <si>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</si>
  <si>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</si>
  <si>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</si>
  <si>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</si>
  <si>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</si>
  <si>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</si>
  <si>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</si>
  <si>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</si>
  <si>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</si>
  <si>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</si>
  <si>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</si>
  <si>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</si>
  <si>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</si>
  <si>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</si>
  <si>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</si>
  <si>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</si>
  <si>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</si>
  <si>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</si>
  <si>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</si>
  <si>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</si>
  <si>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</si>
  <si>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</si>
  <si>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</si>
  <si>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</si>
  <si>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</si>
  <si>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</si>
  <si>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</si>
  <si>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</si>
  <si>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</si>
  <si>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</si>
  <si>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</si>
  <si>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</si>
  <si>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</si>
  <si>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</si>
  <si>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</si>
  <si>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</si>
  <si>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</si>
  <si>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</si>
  <si>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</si>
  <si>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</si>
  <si>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</si>
  <si>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</si>
  <si>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</si>
  <si>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</si>
  <si>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</si>
  <si>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</si>
  <si>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</si>
  <si>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</si>
  <si>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</si>
  <si>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</si>
  <si>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</si>
  <si>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</si>
  <si>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</si>
  <si>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</si>
  <si>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</si>
  <si>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</si>
  <si>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</si>
  <si>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</si>
  <si>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</si>
  <si>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</si>
  <si>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</si>
  <si>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</si>
  <si>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</si>
  <si>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</si>
  <si>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</si>
  <si>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</si>
  <si>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</si>
  <si>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</si>
  <si>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</si>
  <si>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</si>
  <si>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</si>
  <si>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</si>
  <si>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</si>
  <si>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</si>
  <si>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</si>
  <si>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</si>
  <si>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</si>
  <si>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</si>
  <si>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</si>
  <si>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</si>
  <si>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</si>
  <si>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</si>
  <si>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</si>
  <si>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</si>
  <si>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</si>
  <si>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</si>
  <si>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</si>
  <si>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</si>
  <si>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</si>
  <si>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</si>
  <si>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</si>
  <si>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</si>
  <si>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</si>
  <si>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</si>
  <si>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</si>
  <si>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</si>
  <si>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</si>
  <si>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</si>
  <si>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</si>
  <si>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</si>
  <si>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</si>
  <si>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</si>
  <si>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</si>
  <si>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</si>
  <si>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</si>
  <si>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</si>
  <si>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</si>
  <si>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</si>
  <si>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</si>
  <si>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</si>
  <si>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</si>
  <si>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</si>
  <si>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</si>
  <si>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</si>
  <si>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</si>
  <si>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</si>
  <si>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</si>
  <si>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</si>
  <si>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</si>
  <si>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</si>
  <si>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</si>
  <si>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</si>
  <si>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</si>
  <si>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</si>
  <si>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</si>
  <si>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</si>
  <si>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</si>
  <si>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</si>
  <si>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</si>
  <si>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</si>
  <si>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</si>
  <si>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</si>
  <si>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</si>
  <si>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</si>
  <si>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</si>
  <si>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</si>
  <si>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</si>
  <si>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</si>
  <si>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</si>
  <si>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</si>
  <si>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</si>
  <si>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</si>
  <si>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</si>
  <si>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</si>
  <si>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</si>
  <si>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</si>
  <si>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</si>
  <si>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</si>
  <si>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</si>
  <si>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</si>
  <si>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</si>
  <si>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</si>
  <si>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</si>
  <si>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</si>
  <si>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</si>
  <si>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</si>
  <si>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</si>
  <si>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</si>
  <si>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</si>
  <si>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</si>
  <si>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</si>
  <si>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</si>
  <si>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</si>
  <si>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</si>
  <si>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</si>
  <si>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</si>
  <si>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</si>
  <si>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</si>
  <si>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</si>
  <si>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</si>
  <si>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</si>
  <si>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</si>
  <si>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</si>
  <si>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</si>
  <si>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</si>
  <si>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</si>
  <si>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</si>
  <si>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</si>
  <si>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</si>
  <si>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</si>
  <si>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</si>
  <si>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</si>
  <si>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</si>
  <si>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</si>
  <si>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</si>
  <si>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</si>
  <si>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</si>
  <si>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</si>
  <si>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</si>
  <si>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</si>
  <si>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</si>
  <si>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</si>
  <si>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</si>
  <si>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</si>
  <si>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</si>
  <si>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</si>
  <si>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</si>
  <si>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</si>
  <si>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</si>
  <si>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</si>
  <si>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</si>
  <si>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</si>
  <si>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</si>
  <si>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</si>
  <si>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</si>
  <si>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</si>
  <si>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</si>
  <si>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</si>
  <si>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</si>
  <si>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</si>
  <si>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</si>
  <si>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</si>
  <si>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</si>
  <si>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</si>
  <si>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</si>
  <si>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</si>
  <si>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</si>
  <si>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</si>
  <si>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</si>
  <si>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</si>
  <si>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</si>
  <si>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</si>
  <si>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</si>
  <si>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</si>
  <si>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</si>
  <si>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</si>
  <si>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</si>
  <si>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</si>
  <si>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</si>
  <si>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</si>
  <si>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</si>
  <si>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</si>
  <si>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</si>
  <si>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</si>
  <si>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</si>
  <si>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</si>
  <si>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</si>
  <si>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</si>
  <si>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</si>
  <si>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</si>
  <si>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</si>
  <si>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</si>
  <si>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</si>
  <si>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</si>
  <si>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</si>
  <si>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</si>
  <si>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</si>
  <si>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</si>
  <si>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</si>
  <si>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</si>
  <si>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</si>
  <si>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</si>
  <si>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</si>
  <si>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</si>
  <si>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</si>
  <si>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</si>
  <si>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</si>
  <si>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</si>
  <si>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</si>
  <si>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</si>
  <si>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</si>
  <si>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</si>
  <si>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</si>
  <si>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</si>
  <si>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</si>
  <si>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</si>
  <si>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</si>
  <si>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</si>
  <si>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</si>
  <si>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</si>
  <si>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</si>
  <si>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</si>
  <si>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</si>
  <si>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</si>
  <si>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</si>
  <si>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</si>
  <si>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</si>
  <si>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</si>
  <si>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</si>
  <si>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</si>
  <si>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</si>
  <si>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</si>
  <si>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</si>
  <si>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</si>
  <si>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</si>
  <si>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</si>
  <si>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</si>
  <si>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</si>
  <si>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</si>
  <si>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</si>
  <si>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</si>
  <si>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</si>
  <si>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</si>
  <si>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</si>
  <si>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</si>
  <si>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</si>
  <si>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</si>
  <si>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</si>
  <si>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</si>
  <si>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</si>
  <si>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</si>
  <si>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</si>
  <si>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</si>
  <si>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</si>
  <si>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</si>
  <si>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</si>
  <si>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</si>
  <si>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</si>
  <si>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</si>
  <si>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</si>
  <si>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</si>
  <si>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</si>
  <si>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</si>
  <si>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</si>
  <si>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</si>
  <si>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</si>
  <si>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</si>
  <si>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</si>
  <si>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</si>
  <si>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</si>
  <si>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</si>
  <si>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</si>
  <si>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</si>
  <si>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</si>
  <si>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</si>
  <si>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</si>
  <si>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</si>
  <si>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</si>
  <si>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</si>
  <si>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</si>
  <si>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</si>
  <si>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</si>
  <si>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</si>
  <si>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</si>
  <si>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</si>
  <si>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</si>
  <si>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</si>
  <si>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</si>
  <si>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</si>
  <si>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</si>
  <si>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</si>
  <si>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</si>
  <si>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</si>
  <si>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</si>
  <si>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</si>
  <si>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</si>
  <si>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</si>
  <si>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</si>
  <si>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</si>
  <si>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</si>
  <si>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</si>
  <si>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</si>
  <si>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</si>
  <si>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</si>
  <si>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</si>
  <si>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</si>
  <si>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</si>
  <si>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</si>
  <si>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</si>
  <si>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</si>
  <si>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</si>
  <si>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</si>
  <si>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</si>
  <si>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</si>
  <si>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</si>
  <si>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</si>
  <si>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</si>
  <si>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</si>
  <si>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</si>
  <si>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</si>
  <si>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</si>
  <si>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</si>
  <si>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</si>
  <si>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</si>
  <si>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</si>
  <si>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</si>
  <si>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</si>
  <si>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</si>
  <si>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</si>
  <si>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</si>
  <si>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</si>
  <si>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</si>
  <si>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</si>
  <si>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</si>
  <si>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</si>
  <si>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</si>
  <si>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</si>
  <si>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</si>
  <si>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</si>
  <si>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</si>
  <si>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</si>
  <si>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</si>
  <si>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</si>
  <si>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</si>
  <si>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</si>
  <si>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</si>
  <si>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</si>
  <si>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</si>
  <si>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</si>
  <si>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</si>
  <si>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</si>
  <si>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</si>
  <si>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</si>
  <si>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</si>
  <si>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</si>
  <si>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</si>
  <si>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</si>
  <si>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</si>
  <si>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</si>
  <si>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</si>
  <si>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</si>
  <si>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</si>
  <si>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</si>
  <si>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</si>
  <si>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</si>
  <si>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</si>
  <si>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</si>
  <si>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</si>
  <si>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</si>
  <si>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</si>
  <si>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</si>
  <si>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</si>
  <si>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</si>
  <si>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</si>
  <si>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</si>
  <si>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</si>
  <si>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</si>
  <si>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</si>
  <si>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</si>
  <si>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</si>
  <si>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</si>
  <si>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</si>
  <si>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</si>
  <si>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</si>
  <si>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</si>
  <si>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</si>
  <si>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</si>
  <si>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</si>
  <si>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</si>
  <si>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</si>
  <si>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</si>
  <si>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</si>
  <si>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</si>
  <si>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</si>
  <si>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</si>
  <si>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</si>
  <si>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</si>
  <si>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</si>
  <si>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</si>
  <si>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</si>
  <si>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</si>
  <si>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</si>
  <si>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</si>
  <si>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</si>
  <si>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</si>
  <si>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</si>
  <si>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</si>
  <si>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</si>
  <si>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</si>
  <si>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</si>
  <si>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</si>
  <si>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</si>
  <si>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</si>
  <si>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</si>
  <si>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</si>
  <si>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</si>
  <si>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</si>
  <si>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</si>
  <si>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</si>
  <si>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</si>
  <si>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</si>
  <si>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</si>
  <si>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</si>
  <si>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</si>
  <si>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</si>
  <si>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</si>
  <si>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</si>
  <si>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</si>
  <si>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</si>
  <si>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</si>
  <si>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</si>
  <si>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</si>
  <si>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</si>
  <si>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</si>
  <si>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</si>
  <si>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</si>
  <si>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</si>
  <si>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</si>
  <si>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</si>
  <si>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</si>
  <si>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</si>
  <si>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</si>
  <si>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</si>
  <si>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</si>
  <si>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</si>
  <si>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</si>
  <si>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</si>
  <si>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</si>
  <si>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</si>
  <si>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</si>
  <si>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</si>
  <si>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</si>
  <si>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</si>
  <si>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</si>
  <si>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</si>
  <si>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</si>
  <si>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</si>
  <si>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</si>
  <si>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</si>
  <si>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</si>
  <si>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</si>
  <si>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</si>
  <si>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</si>
  <si>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</si>
  <si>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</si>
  <si>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</si>
  <si>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</si>
  <si>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</si>
  <si>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</si>
  <si>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</si>
  <si>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</si>
  <si>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</si>
  <si>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</si>
  <si>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</si>
  <si>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</si>
  <si>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</si>
  <si>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</si>
  <si>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</si>
  <si>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</si>
  <si>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</si>
  <si>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</si>
  <si>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</si>
  <si>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</si>
  <si>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</si>
  <si>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</si>
  <si>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</si>
  <si>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</si>
  <si>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</si>
  <si>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</si>
  <si>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</si>
  <si>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</si>
  <si>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</si>
  <si>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</si>
  <si>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</si>
  <si>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</si>
  <si>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</si>
  <si>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</si>
  <si>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</si>
  <si>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</si>
  <si>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</si>
  <si>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</si>
  <si>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</si>
  <si>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</si>
  <si>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</si>
  <si>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</si>
  <si>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</si>
  <si>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</si>
  <si>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</si>
  <si>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</si>
  <si>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</si>
  <si>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</si>
  <si>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</si>
  <si>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</si>
  <si>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</si>
  <si>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</si>
  <si>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</si>
  <si>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</si>
  <si>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</si>
  <si>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</si>
  <si>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</si>
  <si>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</si>
  <si>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</si>
  <si>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</si>
  <si>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</si>
  <si>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</si>
  <si>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</si>
  <si>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</si>
  <si>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</si>
  <si>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</si>
  <si>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</si>
  <si>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</si>
  <si>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</si>
  <si>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</si>
  <si>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</si>
  <si>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</si>
  <si>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</si>
  <si>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</si>
  <si>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</si>
  <si>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</si>
  <si>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</si>
  <si>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</si>
  <si>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</si>
  <si>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</si>
  <si>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</si>
  <si>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</si>
  <si>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</si>
  <si>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</si>
  <si>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</si>
  <si>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</si>
  <si>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</si>
  <si>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</si>
  <si>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</si>
  <si>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</si>
  <si>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</si>
  <si>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</si>
  <si>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</si>
  <si>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</si>
  <si>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</si>
  <si>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</si>
  <si>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</si>
  <si>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</si>
  <si>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</si>
  <si>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</si>
  <si>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</si>
  <si>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</si>
  <si>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</si>
  <si>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</si>
  <si>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</si>
  <si>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</si>
  <si>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</si>
  <si>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</si>
  <si>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</si>
  <si>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</si>
  <si>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</si>
  <si>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</si>
  <si>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</si>
  <si>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</si>
  <si>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</si>
  <si>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</si>
  <si>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</si>
  <si>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</si>
  <si>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</si>
  <si>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</si>
  <si>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</si>
  <si>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</si>
  <si>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</si>
  <si>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</si>
  <si>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</si>
  <si>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</si>
  <si>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</si>
  <si>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</si>
  <si>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</si>
  <si>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</si>
  <si>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</si>
  <si>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</si>
  <si>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</si>
  <si>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</si>
  <si>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</si>
  <si>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</si>
  <si>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</si>
  <si>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</si>
  <si>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</si>
  <si>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</si>
  <si>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</si>
  <si>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</si>
  <si>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</si>
  <si>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</si>
  <si>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</si>
  <si>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</si>
  <si>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</si>
  <si>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</si>
  <si>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</si>
  <si>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</si>
  <si>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</si>
  <si>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</si>
  <si>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</si>
  <si>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</si>
  <si>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</si>
  <si>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</si>
  <si>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</si>
  <si>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</si>
  <si>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</si>
  <si>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</si>
  <si>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</si>
  <si>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</si>
  <si>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</si>
  <si>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</si>
  <si>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</si>
  <si>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</si>
  <si>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</si>
  <si>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</si>
  <si>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</si>
  <si>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</si>
  <si>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</si>
  <si>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</si>
  <si>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</si>
  <si>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</si>
  <si>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</si>
  <si>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</si>
  <si>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</si>
  <si>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</si>
  <si>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</si>
  <si>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</si>
  <si>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</si>
  <si>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</si>
  <si>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</si>
  <si>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</si>
  <si>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</si>
  <si>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</si>
  <si>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</si>
  <si>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</si>
  <si>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</si>
  <si>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</si>
  <si>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</si>
  <si>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</si>
  <si>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</si>
  <si>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</si>
  <si>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</si>
  <si>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</si>
  <si>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</si>
  <si>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</si>
  <si>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</si>
  <si>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</si>
  <si>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</si>
  <si>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</si>
  <si>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</si>
  <si>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</si>
  <si>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</si>
  <si>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</si>
  <si>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</si>
  <si>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</si>
  <si>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</si>
  <si>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</si>
  <si>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</si>
  <si>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</si>
  <si>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</si>
  <si>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</si>
  <si>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</si>
  <si>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</si>
  <si>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</si>
  <si>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</si>
  <si>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</si>
  <si>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</si>
  <si>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</si>
  <si>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</si>
  <si>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</si>
  <si>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</si>
  <si>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</si>
  <si>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</si>
  <si>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</si>
  <si>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</si>
  <si>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</si>
  <si>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</si>
  <si>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</si>
  <si>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</si>
  <si>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</si>
  <si>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</si>
  <si>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</si>
  <si>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</si>
  <si>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</si>
  <si>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</si>
  <si>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</si>
  <si>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</si>
  <si>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</si>
  <si>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</si>
  <si>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</si>
  <si>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</si>
  <si>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</si>
  <si>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</si>
  <si>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</si>
  <si>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</si>
  <si>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</si>
  <si>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</si>
  <si>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</si>
  <si>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</si>
  <si>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</si>
  <si>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</si>
  <si>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</si>
  <si>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</si>
  <si>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</si>
  <si>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</si>
  <si>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</si>
  <si>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</si>
  <si>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</si>
  <si>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</si>
  <si>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</si>
  <si>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</si>
  <si>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</si>
  <si>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</si>
  <si>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</si>
  <si>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</si>
  <si>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</si>
  <si>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</si>
  <si>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</si>
  <si>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</si>
  <si>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</si>
  <si>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</si>
  <si>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</si>
  <si>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</si>
  <si>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</si>
  <si>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</si>
  <si>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</si>
  <si>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</si>
  <si>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</si>
  <si>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</si>
  <si>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</si>
  <si>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</si>
  <si>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</si>
  <si>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</si>
  <si>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</si>
  <si>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</si>
  <si>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</si>
  <si>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</si>
  <si>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</si>
  <si>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</si>
  <si>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</si>
  <si>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</si>
  <si>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</si>
  <si>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</si>
  <si>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</si>
  <si>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</si>
  <si>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</si>
  <si>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</si>
  <si>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</si>
  <si>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</si>
  <si>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</si>
  <si>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</si>
  <si>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</si>
  <si>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</si>
  <si>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</si>
  <si>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</si>
  <si>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</si>
  <si>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</si>
  <si>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</si>
  <si>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</si>
  <si>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</si>
  <si>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</si>
  <si>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</si>
  <si>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</si>
  <si>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</si>
  <si>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</si>
  <si>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</si>
  <si>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</si>
  <si>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</si>
  <si>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</si>
  <si>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</si>
  <si>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</si>
  <si>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</si>
  <si>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</si>
  <si>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</si>
  <si>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</si>
  <si>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</si>
  <si>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</si>
  <si>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</si>
  <si>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</si>
  <si>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</si>
  <si>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</si>
  <si>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</si>
  <si>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</si>
  <si>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</si>
  <si>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</si>
  <si>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</si>
  <si>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</si>
  <si>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</si>
  <si>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</si>
  <si>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</si>
  <si>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</si>
  <si>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</si>
  <si>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</si>
  <si>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</si>
  <si>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</si>
  <si>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</si>
  <si>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</si>
  <si>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</si>
  <si>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</si>
  <si>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</si>
  <si>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</si>
  <si>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</si>
  <si>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</si>
  <si>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</si>
  <si>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</si>
  <si>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</si>
  <si>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</si>
  <si>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</si>
  <si>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</si>
  <si>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</si>
  <si>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</si>
  <si>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</si>
  <si>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</si>
  <si>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</si>
  <si>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</si>
  <si>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</si>
  <si>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</si>
  <si>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</si>
  <si>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</si>
  <si>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</si>
  <si>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</si>
  <si>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</si>
  <si>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</si>
  <si>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</si>
  <si>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</si>
  <si>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</si>
  <si>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</si>
  <si>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</si>
  <si>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</si>
  <si>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</si>
  <si>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</si>
  <si>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</si>
  <si>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</si>
  <si>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</si>
  <si>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</si>
  <si>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</si>
  <si>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</si>
  <si>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</si>
  <si>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</si>
  <si>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</si>
  <si>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</si>
  <si>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</si>
  <si>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</si>
  <si>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</si>
  <si>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</si>
  <si>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</si>
  <si>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</si>
  <si>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</si>
  <si>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</si>
  <si>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</si>
  <si>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</si>
  <si>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</si>
  <si>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</si>
  <si>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</si>
  <si>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</si>
  <si>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</si>
  <si>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</si>
  <si>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</si>
  <si>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</si>
  <si>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</si>
  <si>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</si>
  <si>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</si>
  <si>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</si>
  <si>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</si>
  <si>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</si>
  <si>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</si>
  <si>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</si>
  <si>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</si>
  <si>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</si>
  <si>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</si>
  <si>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</si>
  <si>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</si>
  <si>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</si>
  <si>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</si>
  <si>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</si>
  <si>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</si>
  <si>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</si>
  <si>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</si>
  <si>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</si>
  <si>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</si>
  <si>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</si>
  <si>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</si>
  <si>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</si>
  <si>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</si>
  <si>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</si>
  <si>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</si>
  <si>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</si>
  <si>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</si>
  <si>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</si>
  <si>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</si>
  <si>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</si>
  <si>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</si>
  <si>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</si>
  <si>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</si>
  <si>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</si>
  <si>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</si>
  <si>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</si>
  <si>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</si>
  <si>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</si>
  <si>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</si>
  <si>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</si>
  <si>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</si>
  <si>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</si>
  <si>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</si>
  <si>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</si>
  <si>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</si>
  <si>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</si>
  <si>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</si>
  <si>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</si>
  <si>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</si>
  <si>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</si>
  <si>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</si>
  <si>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</si>
  <si>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</si>
  <si>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</si>
  <si>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</si>
  <si>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</si>
  <si>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</si>
  <si>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</si>
  <si>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</si>
  <si>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</si>
  <si>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</si>
  <si>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</si>
  <si>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</si>
  <si>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</si>
  <si>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</si>
  <si>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</si>
  <si>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</si>
  <si>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</si>
  <si>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</si>
  <si>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</si>
  <si>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</si>
  <si>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</si>
  <si>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</si>
  <si>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</si>
  <si>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</si>
  <si>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</si>
  <si>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</si>
  <si>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</si>
  <si>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</si>
  <si>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</si>
  <si>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</si>
  <si>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</si>
  <si>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</si>
  <si>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</si>
  <si>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</si>
  <si>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</si>
  <si>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</si>
  <si>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</si>
  <si>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</si>
  <si>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</si>
  <si>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</si>
  <si>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</si>
  <si>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</si>
  <si>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</si>
  <si>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</si>
  <si>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</si>
  <si>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</si>
  <si>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</si>
  <si>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</si>
  <si>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</si>
  <si>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</si>
  <si>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</si>
  <si>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</si>
  <si>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</si>
  <si>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</si>
  <si>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</si>
  <si>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</si>
  <si>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</si>
  <si>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</si>
  <si>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</si>
  <si>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</si>
  <si>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</si>
  <si>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</si>
  <si>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</si>
  <si>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</si>
  <si>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</si>
  <si>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</si>
  <si>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</si>
  <si>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</si>
  <si>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</si>
  <si>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</si>
  <si>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</si>
  <si>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</si>
  <si>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</si>
  <si>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</si>
  <si>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</si>
  <si>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</si>
  <si>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</si>
  <si>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</si>
  <si>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</si>
  <si>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</si>
  <si>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</si>
  <si>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</si>
  <si>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</si>
  <si>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</si>
  <si>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</si>
  <si>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</si>
  <si>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</si>
  <si>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</si>
  <si>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</si>
  <si>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</si>
  <si>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</si>
  <si>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</si>
  <si>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</si>
  <si>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</si>
  <si>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</si>
  <si>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</si>
  <si>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</si>
  <si>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</si>
  <si>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</si>
  <si>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</si>
  <si>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</si>
  <si>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</si>
  <si>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</si>
  <si>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</si>
  <si>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</si>
  <si>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</si>
  <si>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</si>
  <si>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</si>
  <si>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</si>
  <si>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</si>
  <si>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</si>
  <si>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</si>
  <si>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</si>
  <si>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</si>
  <si>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</si>
  <si>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</si>
  <si>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</si>
  <si>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</si>
  <si>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</si>
  <si>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</si>
  <si>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</si>
  <si>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</si>
  <si>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</si>
  <si>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</si>
  <si>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</si>
  <si>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</si>
  <si>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</si>
  <si>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</si>
  <si>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</si>
  <si>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</si>
  <si>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</si>
  <si>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</si>
  <si>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</si>
  <si>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</si>
  <si>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</si>
  <si>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</si>
  <si>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</si>
  <si>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</si>
  <si>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</si>
  <si>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</si>
  <si>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</si>
  <si>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</si>
  <si>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</si>
  <si>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</si>
  <si>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</si>
  <si>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</si>
  <si>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</si>
  <si>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</si>
  <si>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</si>
  <si>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</si>
  <si>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</si>
  <si>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</si>
  <si>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</si>
  <si>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</si>
  <si>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</si>
  <si>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</si>
  <si>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</si>
  <si>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</si>
  <si>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</si>
  <si>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</si>
  <si>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</si>
  <si>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</si>
  <si>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</si>
  <si>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</si>
  <si>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</si>
  <si>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</si>
  <si>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</si>
  <si>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</si>
  <si>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</si>
  <si>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</si>
  <si>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</si>
  <si>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</si>
  <si>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</si>
  <si>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</si>
  <si>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</si>
  <si>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</si>
  <si>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</si>
  <si>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</si>
  <si>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</si>
  <si>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</si>
  <si>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</si>
  <si>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</si>
  <si>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</si>
  <si>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</si>
  <si>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</si>
  <si>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</si>
  <si>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</si>
  <si>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</si>
  <si>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</si>
  <si>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</si>
  <si>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</si>
  <si>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</si>
  <si>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</si>
  <si>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</si>
  <si>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</si>
  <si>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</si>
  <si>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</si>
  <si>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</si>
  <si>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</si>
  <si>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</si>
  <si>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</si>
  <si>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</si>
  <si>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</si>
  <si>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</si>
  <si>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</si>
  <si>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</si>
  <si>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</si>
  <si>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</si>
  <si>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</si>
  <si>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</si>
  <si>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</si>
  <si>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</si>
  <si>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</si>
  <si>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</si>
  <si>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</si>
  <si>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</si>
  <si>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</si>
  <si>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</si>
  <si>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</si>
  <si>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</si>
  <si>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</si>
  <si>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</si>
  <si>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</si>
  <si>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</si>
  <si>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</si>
  <si>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</si>
  <si>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</si>
  <si>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</si>
  <si>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</si>
  <si>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</si>
  <si>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</si>
  <si>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</si>
  <si>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</si>
  <si>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</si>
  <si>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</si>
  <si>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</si>
  <si>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</si>
  <si>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</si>
  <si>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</si>
  <si>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</si>
  <si>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</si>
  <si>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</si>
  <si>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</si>
  <si>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</si>
  <si>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</si>
  <si>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</si>
  <si>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</si>
  <si>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</si>
  <si>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</si>
  <si>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</si>
  <si>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</si>
  <si>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</si>
  <si>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</si>
  <si>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</si>
  <si>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</si>
  <si>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</si>
  <si>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</si>
  <si>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</si>
  <si>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</si>
  <si>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</si>
  <si>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</si>
  <si>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</si>
  <si>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</si>
  <si>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</si>
  <si>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</si>
  <si>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</si>
  <si>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</si>
  <si>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</si>
  <si>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</si>
  <si>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</si>
  <si>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</si>
  <si>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</si>
  <si>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</si>
  <si>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</si>
  <si>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</si>
  <si>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</si>
  <si>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</si>
  <si>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</si>
  <si>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</si>
  <si>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</si>
  <si>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</si>
  <si>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</si>
  <si>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</si>
  <si>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</si>
  <si>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</si>
  <si>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</si>
  <si>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</si>
  <si>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</si>
  <si>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</si>
  <si>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</si>
  <si>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</si>
  <si>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</si>
  <si>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</si>
  <si>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</si>
  <si>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</si>
  <si>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</si>
  <si>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</si>
  <si>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</si>
  <si>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</si>
  <si>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</si>
  <si>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</si>
  <si>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</si>
  <si>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</si>
  <si>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</si>
  <si>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</si>
  <si>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</si>
  <si>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</si>
  <si>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</si>
  <si>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</si>
  <si>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</si>
  <si>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</si>
  <si>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</si>
  <si>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</si>
  <si>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</si>
  <si>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</si>
  <si>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</si>
  <si>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</si>
  <si>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</si>
  <si>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</si>
  <si>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</si>
  <si>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</si>
  <si>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</si>
  <si>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</si>
  <si>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</si>
  <si>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</si>
  <si>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</si>
  <si>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</si>
  <si>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</si>
  <si>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</si>
  <si>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</si>
  <si>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</si>
  <si>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</si>
  <si>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</si>
  <si>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</si>
  <si>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</si>
  <si>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</si>
  <si>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</si>
  <si>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</si>
  <si>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</si>
  <si>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</si>
  <si>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</si>
  <si>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</si>
  <si>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</si>
  <si>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</si>
  <si>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</si>
  <si>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</si>
  <si>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</si>
  <si>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</si>
  <si>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</si>
  <si>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</si>
  <si>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</si>
  <si>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</si>
  <si>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</si>
  <si>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</si>
  <si>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</si>
  <si>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</si>
  <si>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</si>
  <si>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</si>
  <si>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</si>
  <si>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</si>
  <si>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</si>
  <si>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</si>
  <si>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</si>
  <si>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</si>
  <si>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</si>
  <si>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</si>
  <si>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</si>
  <si>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</si>
  <si>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</si>
  <si>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</si>
  <si>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</si>
  <si>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</si>
  <si>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</si>
  <si>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</si>
  <si>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</si>
  <si>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</si>
  <si>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</si>
  <si>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</si>
  <si>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</si>
  <si>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</si>
  <si>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</si>
  <si>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</si>
  <si>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</si>
  <si>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</si>
  <si>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</si>
  <si>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</si>
  <si>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</si>
  <si>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</si>
  <si>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</si>
  <si>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</si>
  <si>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</si>
  <si>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</si>
  <si>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</si>
  <si>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</si>
  <si>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</si>
  <si>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</si>
  <si>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</si>
  <si>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</si>
  <si>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</si>
  <si>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</si>
  <si>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</si>
  <si>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</si>
  <si>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</si>
  <si>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</si>
  <si>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</si>
  <si>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</si>
  <si>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</si>
  <si>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</si>
  <si>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</si>
  <si>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</si>
  <si>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</si>
  <si>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</si>
  <si>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</si>
  <si>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</si>
  <si>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</si>
  <si>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</si>
  <si>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</si>
  <si>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</si>
  <si>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</si>
  <si>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</si>
  <si>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</si>
  <si>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</si>
  <si>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</si>
  <si>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</si>
  <si>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</si>
  <si>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</si>
  <si>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</si>
  <si>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</si>
  <si>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</si>
  <si>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</si>
  <si>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</si>
  <si>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</si>
  <si>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</si>
  <si>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</si>
  <si>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</si>
  <si>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</si>
  <si>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</si>
  <si>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</si>
  <si>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</si>
  <si>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</si>
  <si>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</si>
  <si>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</si>
  <si>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</si>
  <si>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</si>
  <si>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</si>
  <si>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</si>
  <si>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</si>
  <si>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</si>
  <si>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</si>
  <si>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</si>
  <si>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</si>
  <si>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</si>
  <si>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</si>
  <si>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</si>
  <si>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</si>
  <si>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</si>
  <si>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</si>
  <si>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</si>
  <si>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</si>
  <si>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</si>
  <si>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</si>
  <si>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</si>
  <si>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</si>
  <si>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</si>
  <si>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</si>
  <si>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</si>
  <si>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</si>
  <si>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</si>
  <si>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</si>
  <si>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</si>
  <si>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</si>
  <si>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</si>
  <si>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</si>
  <si>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</si>
  <si>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</si>
  <si>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</si>
  <si>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</si>
  <si>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</si>
  <si>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</si>
  <si>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</si>
  <si>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</si>
  <si>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</si>
  <si>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</si>
  <si>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</si>
  <si>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</si>
  <si>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</si>
  <si>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</si>
  <si>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</si>
  <si>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</si>
  <si>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</si>
  <si>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</si>
  <si>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</si>
  <si>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</si>
  <si>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</si>
  <si>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</si>
  <si>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</si>
  <si>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</si>
  <si>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</si>
  <si>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</si>
  <si>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</si>
  <si>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</si>
  <si>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</si>
  <si>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</si>
  <si>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</si>
  <si>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</si>
  <si>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</si>
  <si>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</si>
  <si>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</si>
  <si>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</si>
  <si>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</si>
  <si>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</si>
  <si>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</si>
  <si>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</si>
  <si>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</si>
  <si>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</si>
  <si>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</si>
  <si>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</si>
  <si>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</si>
  <si>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</si>
  <si>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</si>
  <si>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</si>
  <si>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</si>
  <si>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</si>
  <si>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</si>
  <si>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</si>
  <si>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</si>
  <si>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</si>
  <si>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</si>
  <si>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</si>
  <si>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</si>
  <si>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</si>
  <si>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</si>
  <si>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</si>
  <si>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</si>
  <si>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</si>
  <si>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</si>
  <si>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</si>
  <si>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</si>
  <si>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</si>
  <si>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</si>
  <si>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</si>
  <si>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</si>
  <si>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</si>
  <si>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</si>
  <si>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</si>
  <si>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</si>
  <si>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</si>
  <si>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</si>
  <si>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</si>
  <si>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</si>
  <si>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</si>
  <si>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</si>
  <si>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</si>
  <si>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</si>
  <si>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</si>
  <si>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</si>
  <si>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</si>
  <si>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</si>
  <si>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</si>
  <si>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</si>
  <si>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</si>
  <si>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</si>
  <si>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</si>
  <si>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</si>
  <si>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</si>
  <si>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</si>
  <si>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</si>
  <si>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</si>
  <si>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</si>
  <si>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</si>
  <si>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</si>
  <si>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</si>
  <si>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</si>
  <si>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</si>
  <si>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</si>
  <si>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</si>
  <si>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</si>
  <si>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</si>
  <si>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</si>
  <si>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</si>
  <si>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</si>
  <si>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</si>
  <si>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</si>
  <si>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</si>
  <si>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</si>
  <si>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</si>
  <si>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</si>
  <si>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</si>
  <si>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</si>
  <si>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</si>
  <si>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</si>
  <si>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</si>
  <si>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</si>
  <si>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</si>
  <si>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</si>
  <si>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</si>
  <si>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</si>
  <si>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</si>
  <si>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</si>
  <si>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</si>
  <si>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</si>
  <si>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</si>
  <si>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</si>
  <si>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</si>
  <si>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</si>
  <si>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</si>
  <si>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</si>
  <si>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</si>
  <si>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</si>
  <si>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</si>
  <si>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</si>
  <si>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</si>
  <si>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</si>
  <si>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</si>
  <si>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</si>
  <si>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</si>
  <si>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</si>
  <si>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</si>
  <si>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</si>
  <si>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</si>
  <si>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</si>
  <si>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</si>
  <si>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</si>
  <si>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</si>
  <si>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</si>
  <si>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</si>
  <si>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</si>
  <si>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</si>
  <si>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</si>
  <si>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</si>
  <si>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</si>
  <si>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</si>
  <si>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</si>
  <si>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</si>
  <si>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</si>
  <si>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</si>
  <si>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</si>
  <si>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</si>
  <si>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</si>
  <si>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</si>
  <si>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</si>
  <si>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</si>
  <si>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</si>
  <si>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</si>
  <si>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</si>
  <si>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</si>
  <si>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</si>
  <si>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</si>
  <si>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</si>
  <si>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</si>
  <si>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</si>
  <si>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</si>
  <si>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</si>
  <si>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</si>
  <si>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</si>
  <si>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</si>
  <si>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</si>
  <si>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</si>
  <si>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</si>
  <si>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</si>
  <si>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</si>
  <si>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</si>
  <si>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</si>
  <si>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</si>
  <si>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</si>
  <si>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</si>
  <si>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</si>
  <si>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</si>
  <si>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</si>
  <si>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</si>
  <si>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</si>
  <si>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</si>
  <si>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</si>
  <si>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</si>
  <si>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</si>
  <si>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</si>
  <si>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</si>
  <si>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</si>
  <si>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</si>
  <si>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</si>
  <si>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</si>
  <si>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</si>
  <si>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</si>
  <si>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</si>
  <si>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</si>
  <si>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</si>
  <si>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</si>
  <si>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</si>
  <si>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</si>
  <si>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</si>
  <si>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</si>
  <si>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</si>
  <si>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</si>
  <si>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</si>
  <si>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</si>
  <si>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</si>
  <si>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</si>
  <si>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</si>
  <si>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</si>
  <si>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</si>
  <si>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</si>
  <si>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</si>
  <si>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</si>
  <si>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</si>
  <si>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</si>
  <si>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</si>
  <si>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</si>
  <si>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</si>
  <si>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</si>
  <si>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</si>
  <si>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</si>
  <si>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</si>
  <si>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</si>
  <si>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</si>
  <si>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</si>
  <si>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</si>
  <si>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</si>
  <si>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</si>
  <si>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</si>
  <si>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</si>
  <si>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</si>
  <si>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</si>
  <si>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</si>
  <si>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</si>
  <si>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</si>
  <si>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</si>
  <si>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</si>
  <si>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</si>
  <si>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</si>
  <si>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</si>
  <si>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</si>
  <si>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</si>
  <si>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</si>
  <si>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</si>
  <si>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</si>
  <si>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</si>
  <si>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</si>
  <si>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</si>
  <si>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</si>
  <si>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</si>
  <si>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</si>
  <si>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</si>
  <si>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</si>
  <si>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</si>
  <si>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</si>
  <si>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</si>
  <si>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</si>
  <si>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</si>
  <si>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</si>
  <si>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</si>
  <si>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</si>
  <si>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</si>
  <si>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</si>
  <si>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</si>
  <si>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</si>
  <si>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</si>
  <si>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</si>
  <si>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</si>
  <si>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</si>
  <si>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</si>
  <si>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</si>
  <si>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</si>
  <si>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</si>
  <si>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</si>
  <si>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</si>
  <si>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</si>
  <si>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</si>
  <si>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</si>
  <si>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</si>
  <si>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</si>
  <si>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</si>
  <si>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</si>
  <si>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</si>
  <si>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</si>
  <si>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</si>
  <si>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</si>
  <si>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</si>
  <si>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</si>
  <si>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</si>
  <si>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</si>
  <si>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</si>
  <si>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</si>
  <si>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</si>
  <si>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</si>
  <si>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</si>
  <si>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</si>
  <si>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</si>
  <si>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</si>
  <si>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</si>
  <si>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</si>
  <si>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</si>
  <si>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</si>
  <si>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</si>
  <si>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</si>
  <si>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</si>
  <si>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</si>
  <si>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</si>
  <si>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</si>
  <si>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</si>
  <si>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</si>
  <si>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</si>
  <si>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</si>
  <si>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</si>
  <si>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</si>
  <si>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</si>
  <si>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</si>
  <si>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</si>
  <si>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</si>
  <si>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</si>
  <si>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</si>
  <si>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</si>
  <si>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</si>
  <si>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</si>
  <si>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</si>
  <si>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</si>
  <si>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</si>
  <si>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</si>
  <si>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</si>
  <si>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</si>
  <si>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</si>
  <si>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</si>
  <si>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</si>
  <si>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</si>
  <si>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</si>
  <si>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</si>
  <si>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</si>
  <si>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</si>
  <si>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</si>
  <si>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</si>
  <si>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</si>
  <si>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</si>
  <si>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</si>
  <si>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</si>
  <si>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</si>
  <si>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</si>
  <si>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</si>
  <si>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</si>
  <si>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</si>
  <si>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</si>
  <si>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</si>
  <si>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</si>
  <si>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</si>
  <si>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</si>
  <si>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</si>
  <si>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</si>
  <si>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</si>
  <si>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</si>
  <si>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</si>
  <si>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</si>
  <si>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</si>
  <si>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</si>
  <si>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</si>
  <si>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</si>
  <si>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</si>
  <si>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</si>
  <si>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</si>
  <si>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</si>
  <si>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</si>
  <si>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</si>
  <si>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</si>
  <si>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</si>
  <si>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</si>
  <si>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</si>
  <si>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</si>
  <si>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</si>
  <si>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</si>
  <si>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</si>
  <si>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</si>
  <si>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</si>
  <si>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</si>
  <si>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</si>
  <si>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</si>
  <si>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</si>
  <si>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</si>
  <si>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</si>
  <si>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</si>
  <si>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</si>
  <si>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</si>
  <si>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</si>
  <si>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</si>
  <si>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</si>
  <si>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</si>
  <si>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</si>
  <si>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</si>
  <si>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</si>
  <si>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</si>
  <si>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</si>
  <si>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</si>
  <si>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</si>
  <si>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</si>
  <si>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</si>
  <si>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</si>
  <si>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</si>
  <si>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</si>
  <si>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</si>
  <si>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</si>
  <si>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</si>
  <si>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</si>
  <si>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</si>
  <si>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</si>
  <si>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</si>
  <si>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</si>
  <si>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</si>
  <si>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</si>
  <si>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</si>
  <si>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</si>
  <si>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</si>
  <si>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</si>
  <si>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</si>
  <si>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</si>
  <si>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</si>
  <si>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</si>
  <si>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</si>
  <si>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</si>
  <si>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</si>
  <si>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</si>
  <si>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</si>
  <si>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</si>
  <si>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</si>
  <si>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</si>
  <si>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</si>
  <si>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</si>
  <si>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</si>
  <si>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</si>
  <si>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</si>
  <si>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</si>
  <si>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</si>
  <si>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</si>
  <si>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</si>
  <si>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</si>
  <si>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</si>
  <si>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</si>
  <si>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</si>
  <si>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</si>
  <si>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</si>
  <si>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</si>
  <si>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</si>
  <si>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</si>
  <si>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</si>
  <si>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</si>
  <si>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</si>
  <si>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</si>
  <si>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</si>
  <si>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</si>
  <si>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</si>
  <si>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</si>
  <si>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</si>
  <si>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</si>
  <si>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</si>
  <si>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</si>
  <si>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</si>
  <si>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</si>
  <si>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</si>
  <si>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</si>
  <si>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</si>
  <si>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</si>
  <si>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</si>
  <si>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</si>
  <si>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</si>
  <si>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</si>
  <si>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</si>
  <si>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</si>
  <si>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</si>
  <si>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</si>
  <si>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</si>
  <si>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</si>
  <si>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</si>
  <si>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</si>
  <si>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</si>
  <si>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</si>
  <si>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</si>
  <si>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</si>
  <si>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</si>
  <si>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</si>
  <si>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</si>
  <si>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</si>
  <si>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</si>
  <si>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</si>
  <si>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</si>
  <si>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</si>
  <si>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</si>
  <si>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</si>
  <si>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</si>
  <si>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</si>
  <si>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</si>
  <si>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</si>
  <si>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</si>
  <si>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</si>
  <si>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</si>
  <si>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</si>
  <si>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</si>
  <si>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</si>
  <si>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</si>
  <si>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</si>
  <si>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</si>
  <si>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</si>
  <si>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</si>
  <si>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</si>
  <si>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</si>
  <si>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</si>
  <si>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</si>
  <si>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</si>
  <si>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</si>
  <si>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</si>
  <si>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</si>
  <si>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</si>
  <si>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</si>
  <si>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</si>
  <si>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</si>
  <si>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</si>
  <si>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</si>
  <si>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</si>
  <si>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</si>
  <si>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</si>
  <si>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</si>
  <si>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</si>
  <si>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</si>
  <si>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</si>
  <si>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</si>
  <si>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</si>
  <si>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</si>
  <si>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</si>
  <si>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</si>
  <si>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</si>
  <si>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</si>
  <si>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</si>
  <si>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</si>
  <si>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</si>
  <si>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</si>
  <si>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</si>
  <si>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</si>
  <si>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</si>
  <si>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</si>
  <si>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</si>
  <si>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</si>
  <si>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</si>
  <si>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</si>
  <si>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</si>
  <si>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</si>
  <si>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</si>
  <si>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</si>
  <si>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</si>
  <si>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</si>
  <si>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</si>
  <si>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</si>
  <si>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</si>
  <si>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</si>
  <si>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</si>
  <si>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</si>
  <si>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</si>
  <si>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</si>
  <si>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</si>
  <si>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</si>
  <si>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</si>
  <si>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</si>
  <si>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</si>
  <si>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</si>
  <si>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</si>
  <si>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</si>
  <si>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</si>
  <si>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</si>
  <si>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</si>
  <si>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</si>
  <si>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</si>
  <si>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</si>
  <si>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</si>
  <si>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</si>
  <si>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</si>
  <si>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</si>
  <si>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</si>
  <si>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</si>
  <si>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</si>
  <si>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</si>
  <si>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</si>
  <si>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</si>
  <si>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</si>
  <si>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</si>
  <si>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</si>
  <si>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</si>
  <si>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</si>
  <si>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</si>
  <si>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</si>
  <si>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</si>
  <si>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</si>
  <si>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</si>
  <si>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</si>
  <si>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</si>
  <si>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</si>
  <si>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</si>
  <si>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</si>
  <si>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</si>
  <si>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</si>
  <si>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</si>
  <si>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</si>
  <si>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</si>
  <si>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</si>
  <si>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</si>
  <si>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</si>
  <si>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</si>
  <si>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</si>
  <si>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</si>
  <si>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</si>
  <si>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</si>
  <si>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</si>
  <si>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</si>
  <si>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</si>
  <si>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</si>
  <si>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</si>
  <si>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</si>
  <si>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</si>
  <si>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</si>
  <si>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</si>
  <si>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</si>
  <si>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</si>
  <si>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</si>
  <si>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</si>
  <si>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</si>
  <si>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</si>
  <si>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</si>
  <si>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</si>
  <si>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</si>
  <si>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</si>
  <si>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</si>
  <si>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</si>
  <si>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</si>
  <si>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</si>
  <si>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</si>
  <si>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</si>
  <si>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</si>
  <si>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</si>
  <si>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</si>
  <si>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</si>
  <si>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</si>
  <si>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</si>
  <si>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</si>
  <si>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</si>
  <si>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</si>
  <si>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</si>
  <si>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</si>
  <si>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</si>
  <si>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</si>
  <si>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</si>
  <si>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</si>
  <si>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</si>
  <si>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</si>
  <si>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</si>
  <si>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</si>
  <si>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</si>
  <si>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</si>
  <si>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</si>
  <si>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</si>
  <si>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</si>
  <si>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</si>
  <si>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</si>
  <si>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</si>
  <si>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</si>
  <si>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</si>
  <si>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</si>
  <si>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</si>
  <si>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</si>
  <si>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</si>
  <si>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</si>
  <si>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</si>
  <si>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</si>
  <si>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</si>
  <si>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</si>
  <si>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</si>
  <si>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</si>
  <si>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</si>
  <si>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</si>
  <si>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</si>
  <si>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</si>
  <si>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</si>
  <si>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</si>
  <si>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</si>
  <si>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</si>
  <si>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</si>
  <si>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</si>
  <si>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</si>
  <si>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</si>
  <si>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</si>
  <si>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</si>
  <si>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</si>
  <si>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</si>
  <si>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</si>
  <si>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</si>
  <si>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</si>
  <si>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</si>
  <si>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</si>
  <si>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</si>
  <si>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</si>
  <si>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</si>
  <si>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</si>
  <si>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</si>
  <si>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</si>
  <si>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</si>
  <si>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</si>
  <si>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</si>
  <si>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</si>
  <si>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</si>
  <si>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</si>
  <si>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</si>
  <si>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</si>
  <si>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</si>
  <si>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</si>
  <si>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</si>
  <si>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</si>
  <si>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</si>
  <si>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</si>
  <si>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</si>
  <si>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</si>
  <si>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</si>
  <si>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</si>
  <si>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</si>
  <si>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</si>
  <si>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</si>
  <si>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</si>
  <si>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</si>
  <si>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</si>
  <si>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</si>
  <si>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</si>
  <si>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</si>
  <si>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</si>
  <si>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</si>
  <si>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</si>
  <si>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</si>
  <si>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</si>
  <si>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</si>
  <si>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</si>
  <si>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</si>
  <si>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</si>
  <si>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</si>
  <si>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</si>
  <si>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</si>
  <si>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</si>
  <si>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</si>
  <si>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</si>
  <si>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</si>
  <si>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</si>
  <si>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</si>
  <si>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</si>
  <si>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</si>
  <si>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</si>
  <si>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</si>
  <si>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</si>
  <si>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</si>
  <si>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</si>
  <si>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</si>
  <si>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</si>
  <si>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</si>
  <si>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</si>
  <si>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</si>
  <si>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</si>
  <si>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</si>
  <si>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</si>
  <si>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</si>
  <si>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</si>
  <si>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</si>
  <si>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</si>
  <si>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</si>
  <si>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</si>
  <si>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</si>
  <si>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</si>
  <si>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</si>
  <si>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</si>
  <si>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</si>
  <si>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</si>
  <si>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</si>
  <si>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</si>
  <si>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</si>
  <si>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</si>
  <si>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</si>
  <si>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</si>
  <si>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</si>
  <si>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</si>
  <si>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</si>
  <si>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</si>
  <si>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</si>
  <si>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</si>
  <si>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</si>
  <si>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</si>
  <si>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</si>
  <si>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</si>
  <si>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</si>
  <si>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</si>
  <si>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</si>
  <si>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</si>
  <si>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</si>
  <si>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</si>
  <si>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</si>
  <si>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</si>
  <si>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</si>
  <si>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</si>
  <si>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</si>
  <si>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</si>
  <si>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</si>
  <si>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</si>
  <si>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</si>
  <si>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</si>
  <si>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</si>
  <si>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</si>
  <si>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</si>
  <si>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</si>
  <si>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</si>
  <si>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</si>
  <si>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</si>
  <si>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</si>
  <si>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</si>
  <si>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</si>
  <si>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</si>
  <si>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</si>
  <si>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</si>
  <si>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</si>
  <si>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</si>
  <si>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</si>
  <si>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</si>
  <si>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</si>
  <si>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</si>
  <si>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</si>
  <si>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</si>
  <si>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</si>
  <si>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</si>
  <si>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</si>
  <si>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</si>
  <si>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</si>
  <si>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</si>
  <si>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</si>
  <si>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</si>
  <si>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</si>
  <si>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</si>
  <si>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</si>
  <si>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</si>
  <si>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</si>
  <si>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</si>
  <si>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</si>
  <si>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</si>
  <si>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</si>
  <si>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</si>
  <si>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</si>
  <si>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</si>
  <si>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</si>
  <si>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</si>
  <si>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</si>
  <si>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</si>
  <si>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</si>
  <si>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</si>
  <si>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</si>
  <si>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</si>
  <si>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</si>
  <si>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</si>
  <si>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</si>
  <si>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</si>
  <si>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</si>
  <si>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</si>
  <si>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</si>
  <si>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</si>
  <si>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</si>
  <si>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</si>
  <si>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</si>
  <si>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</si>
  <si>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</si>
  <si>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</si>
  <si>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</si>
  <si>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</si>
  <si>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</si>
  <si>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</si>
  <si>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</si>
  <si>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</si>
  <si>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刘梅</t>
  </si>
  <si>
    <t>吴薇</t>
  </si>
  <si>
    <t>北京京城机电资产管理有限责任公司</t>
    <phoneticPr fontId="7" type="noConversion"/>
  </si>
  <si>
    <t>中信银行</t>
    <phoneticPr fontId="7" type="noConversion"/>
  </si>
  <si>
    <t>核定资产</t>
  </si>
  <si>
    <t>房地产抵押价值</t>
  </si>
  <si>
    <t>北京市</t>
  </si>
  <si>
    <t>企业</t>
  </si>
  <si>
    <r>
      <rPr>
        <sz val="12"/>
        <color theme="9" tint="-0.249977111117893"/>
        <rFont val="宋体"/>
        <family val="3"/>
        <charset val="134"/>
      </rPr>
      <t>西城区广安门外大街</t>
    </r>
    <r>
      <rPr>
        <sz val="12"/>
        <color theme="9" tint="-0.249977111117893"/>
        <rFont val="Arial"/>
        <family val="2"/>
      </rPr>
      <t>168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层</t>
    </r>
    <r>
      <rPr>
        <sz val="12"/>
        <color theme="9" tint="-0.249977111117893"/>
        <rFont val="Arial"/>
        <family val="2"/>
      </rPr>
      <t>1-301</t>
    </r>
    <r>
      <rPr>
        <sz val="12"/>
        <color theme="9" tint="-0.249977111117893"/>
        <rFont val="宋体"/>
        <family val="3"/>
        <charset val="134"/>
      </rPr>
      <t>等六套办公用房房地产</t>
    </r>
    <phoneticPr fontId="7" type="noConversion"/>
  </si>
  <si>
    <t>出让</t>
  </si>
  <si>
    <t>办公用房</t>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</si>
  <si>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095650</t>
    </r>
    <r>
      <rPr>
        <sz val="12"/>
        <color theme="9" tint="-0.249977111117893"/>
        <rFont val="宋体"/>
        <family val="3"/>
        <charset val="134"/>
      </rPr>
      <t>号等</t>
    </r>
    <r>
      <rPr>
        <sz val="12"/>
        <color theme="9" tint="-0.249977111117893"/>
        <rFont val="Arial"/>
        <family val="2"/>
      </rPr>
      <t>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7" type="noConversion"/>
  </si>
  <si>
    <t>办公39年</t>
    <phoneticPr fontId="7" type="noConversion"/>
  </si>
  <si>
    <t>否</t>
  </si>
  <si>
    <t>复印件</t>
  </si>
  <si>
    <t>办公项目</t>
  </si>
  <si>
    <t>无</t>
  </si>
  <si>
    <t>现房</t>
  </si>
  <si>
    <t>通路</t>
  </si>
  <si>
    <t>通电</t>
  </si>
  <si>
    <t>通讯</t>
  </si>
  <si>
    <t>通上水</t>
  </si>
  <si>
    <t>通下水</t>
  </si>
  <si>
    <t>通热</t>
  </si>
  <si>
    <t>燃气</t>
  </si>
  <si>
    <r>
      <t>X</t>
    </r>
    <r>
      <rPr>
        <sz val="10"/>
        <color indexed="8"/>
        <rFont val="宋体"/>
        <family val="3"/>
        <charset val="134"/>
      </rPr>
      <t>京房权证西字第</t>
    </r>
    <r>
      <rPr>
        <sz val="10"/>
        <color indexed="8"/>
        <rFont val="Arial"/>
        <family val="2"/>
      </rPr>
      <t>095650</t>
    </r>
    <r>
      <rPr>
        <sz val="10"/>
        <color indexed="8"/>
        <rFont val="宋体"/>
        <family val="3"/>
        <charset val="134"/>
      </rPr>
      <t>号</t>
    </r>
    <phoneticPr fontId="4" type="noConversion"/>
  </si>
  <si>
    <t>1-301</t>
    <phoneticPr fontId="4" type="noConversion"/>
  </si>
  <si>
    <t>是</t>
  </si>
  <si>
    <t>地上</t>
  </si>
  <si>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1-301</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</si>
  <si>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4</t>
    </r>
    <r>
      <rPr>
        <sz val="10"/>
        <color indexed="8"/>
        <rFont val="宋体"/>
        <family val="3"/>
        <charset val="134"/>
      </rPr>
      <t>层</t>
    </r>
    <r>
      <rPr>
        <sz val="10"/>
        <color indexed="8"/>
        <rFont val="Arial"/>
        <family val="2"/>
      </rPr>
      <t>1-501</t>
    </r>
    <phoneticPr fontId="4" type="noConversion"/>
  </si>
  <si>
    <r>
      <t>X</t>
    </r>
    <r>
      <rPr>
        <sz val="10"/>
        <color indexed="8"/>
        <rFont val="宋体"/>
        <family val="3"/>
        <charset val="134"/>
      </rPr>
      <t>京房权证西字第</t>
    </r>
    <r>
      <rPr>
        <sz val="10"/>
        <color indexed="8"/>
        <rFont val="Arial"/>
        <family val="2"/>
      </rPr>
      <t>095663</t>
    </r>
    <r>
      <rPr>
        <sz val="10"/>
        <color indexed="8"/>
        <rFont val="宋体"/>
        <family val="3"/>
        <charset val="134"/>
      </rPr>
      <t>号</t>
    </r>
    <phoneticPr fontId="4" type="noConversion"/>
  </si>
  <si>
    <t>1-501</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</si>
  <si>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1-601</t>
    </r>
    <phoneticPr fontId="4" type="noConversion"/>
  </si>
  <si>
    <t>1-601</t>
    <phoneticPr fontId="4" type="noConversion"/>
  </si>
  <si>
    <r>
      <t>X</t>
    </r>
    <r>
      <rPr>
        <sz val="10"/>
        <color indexed="8"/>
        <rFont val="宋体"/>
        <family val="3"/>
        <charset val="134"/>
      </rPr>
      <t>京房权证西字第</t>
    </r>
    <r>
      <rPr>
        <sz val="10"/>
        <color indexed="8"/>
        <rFont val="Arial"/>
        <family val="2"/>
      </rPr>
      <t>095669</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</si>
  <si>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1-602</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</si>
  <si>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095670号</t>
    </r>
    <r>
      <rPr>
        <sz val="10"/>
        <color indexed="8"/>
        <rFont val="宋体"/>
        <family val="3"/>
        <charset val="134"/>
      </rPr>
      <t/>
    </r>
  </si>
  <si>
    <t>1-602</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</si>
  <si>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1-603</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</si>
  <si>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095673</t>
    </r>
    <r>
      <rPr>
        <sz val="10"/>
        <color indexed="8"/>
        <rFont val="宋体"/>
        <family val="3"/>
        <charset val="134"/>
      </rPr>
      <t>号</t>
    </r>
    <phoneticPr fontId="4" type="noConversion"/>
  </si>
  <si>
    <t>1-603</t>
    <phoneticPr fontId="4" type="noConversion"/>
  </si>
  <si>
    <r>
      <t>X</t>
    </r>
    <r>
      <rPr>
        <sz val="10"/>
        <color indexed="8"/>
        <rFont val="宋体"/>
        <family val="3"/>
        <charset val="134"/>
      </rPr>
      <t>京房权证西字第</t>
    </r>
    <r>
      <rPr>
        <sz val="10"/>
        <color indexed="8"/>
        <rFont val="Arial"/>
        <family val="2"/>
      </rPr>
      <t>095671</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</si>
  <si>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1-605</t>
    </r>
    <phoneticPr fontId="4" type="noConversion"/>
  </si>
  <si>
    <t>1-605</t>
    <phoneticPr fontId="4" type="noConversion"/>
  </si>
  <si>
    <t>办公</t>
    <phoneticPr fontId="8" type="noConversion"/>
  </si>
  <si>
    <t>成新度</t>
  </si>
  <si>
    <t>收益法</t>
  </si>
  <si>
    <t>较一致</t>
    <phoneticPr fontId="26" type="noConversion"/>
  </si>
  <si>
    <t>单面临街</t>
  </si>
  <si>
    <t>钢混</t>
  </si>
  <si>
    <t>钢混</t>
    <phoneticPr fontId="33" type="noConversion"/>
  </si>
  <si>
    <t>精装</t>
    <phoneticPr fontId="33" type="noConversion"/>
  </si>
  <si>
    <t>普装</t>
  </si>
  <si>
    <t>普装</t>
    <phoneticPr fontId="33" type="noConversion"/>
  </si>
  <si>
    <t>简装</t>
    <phoneticPr fontId="33" type="noConversion"/>
  </si>
  <si>
    <t>毛坯</t>
    <phoneticPr fontId="33" type="noConversion"/>
  </si>
  <si>
    <t>甲级</t>
  </si>
  <si>
    <t>甲级</t>
    <phoneticPr fontId="33" type="noConversion"/>
  </si>
  <si>
    <t>乙级</t>
    <phoneticPr fontId="33" type="noConversion"/>
  </si>
  <si>
    <t>专业</t>
    <phoneticPr fontId="33" type="noConversion"/>
  </si>
  <si>
    <t>普通</t>
  </si>
  <si>
    <t>普通</t>
    <phoneticPr fontId="33" type="noConversion"/>
  </si>
  <si>
    <t>七通</t>
  </si>
  <si>
    <t>七通</t>
    <phoneticPr fontId="33" type="noConversion"/>
  </si>
  <si>
    <t>超高</t>
    <phoneticPr fontId="33" type="noConversion"/>
  </si>
  <si>
    <t>高速路</t>
    <phoneticPr fontId="33" type="noConversion"/>
  </si>
  <si>
    <t>城市快速路</t>
  </si>
  <si>
    <t>城市快速路</t>
    <phoneticPr fontId="33" type="noConversion"/>
  </si>
  <si>
    <t>城市主干道</t>
    <phoneticPr fontId="33" type="noConversion"/>
  </si>
  <si>
    <t>城市次干道</t>
    <phoneticPr fontId="33" type="noConversion"/>
  </si>
  <si>
    <t>城市支路</t>
    <phoneticPr fontId="33" type="noConversion"/>
  </si>
  <si>
    <t>高区</t>
    <phoneticPr fontId="33" type="noConversion"/>
  </si>
  <si>
    <t>中区</t>
  </si>
  <si>
    <t>中区</t>
    <phoneticPr fontId="33" type="noConversion"/>
  </si>
  <si>
    <t>低区</t>
  </si>
  <si>
    <t>低区</t>
    <phoneticPr fontId="33" type="noConversion"/>
  </si>
  <si>
    <t>正常</t>
  </si>
  <si>
    <t>办公</t>
    <phoneticPr fontId="3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</si>
  <si>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</si>
  <si>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贵都国际大厦</t>
    <phoneticPr fontId="4" type="noConversion"/>
  </si>
  <si>
    <t>华天大厦</t>
    <phoneticPr fontId="4" type="noConversion"/>
  </si>
  <si>
    <t>首科大厦</t>
    <phoneticPr fontId="4" type="noConversion"/>
  </si>
  <si>
    <t>30-40（含）</t>
  </si>
  <si>
    <t>40-50（含）</t>
  </si>
  <si>
    <t>较好</t>
  </si>
  <si>
    <t>好</t>
  </si>
  <si>
    <t>城市快速路——西二环路</t>
    <phoneticPr fontId="33" type="noConversion"/>
  </si>
  <si>
    <r>
      <rPr>
        <sz val="11"/>
        <rFont val="宋体"/>
        <family val="3"/>
        <charset val="134"/>
      </rPr>
      <t>城市快速路</t>
    </r>
    <r>
      <rPr>
        <sz val="11"/>
        <rFont val="Arial"/>
        <family val="2"/>
      </rPr>
      <t>——</t>
    </r>
    <r>
      <rPr>
        <sz val="11"/>
        <rFont val="宋体"/>
        <family val="3"/>
        <charset val="134"/>
      </rPr>
      <t>西二环路</t>
    </r>
    <phoneticPr fontId="33" type="noConversion"/>
  </si>
  <si>
    <r>
      <rPr>
        <sz val="11"/>
        <rFont val="宋体"/>
        <family val="3"/>
        <charset val="134"/>
      </rPr>
      <t>城市快速路</t>
    </r>
    <r>
      <rPr>
        <sz val="11"/>
        <rFont val="Arial"/>
        <family val="2"/>
      </rPr>
      <t>——</t>
    </r>
    <r>
      <rPr>
        <sz val="11"/>
        <rFont val="宋体"/>
        <family val="3"/>
        <charset val="134"/>
      </rPr>
      <t>西三环路</t>
    </r>
    <phoneticPr fontId="33" type="noConversion"/>
  </si>
  <si>
    <t>标准写字楼</t>
  </si>
  <si>
    <t>标准写字楼</t>
    <phoneticPr fontId="33" type="noConversion"/>
  </si>
  <si>
    <t>标准</t>
  </si>
  <si>
    <t>标准</t>
    <phoneticPr fontId="33" type="noConversion"/>
  </si>
  <si>
    <t>非生产用房</t>
  </si>
  <si>
    <t>序号</t>
  </si>
  <si>
    <t>房产名称</t>
  </si>
  <si>
    <t>租户全称</t>
  </si>
  <si>
    <t>租期（年）</t>
  </si>
  <si>
    <t>起始日期</t>
  </si>
  <si>
    <t>到期日期</t>
  </si>
  <si>
    <t>建筑面积 （㎡）</t>
  </si>
  <si>
    <t>年租金</t>
  </si>
  <si>
    <t>单位租金   （元/㎡/天）</t>
    <phoneticPr fontId="4" type="noConversion"/>
  </si>
  <si>
    <t>递增</t>
  </si>
  <si>
    <t>租赁     保证金</t>
  </si>
  <si>
    <t>备注</t>
    <phoneticPr fontId="4" type="noConversion"/>
  </si>
  <si>
    <t>朗琴</t>
    <phoneticPr fontId="4" type="noConversion"/>
  </si>
  <si>
    <t>5层</t>
    <phoneticPr fontId="4" type="noConversion"/>
  </si>
  <si>
    <t>中电联（北京）科技发展有限公司</t>
    <phoneticPr fontId="4" type="noConversion"/>
  </si>
  <si>
    <t>2017.7.1</t>
    <phoneticPr fontId="4" type="noConversion"/>
  </si>
  <si>
    <t>2018.6.30</t>
    <phoneticPr fontId="4" type="noConversion"/>
  </si>
  <si>
    <t>ZCZL-2017-015</t>
    <phoneticPr fontId="4" type="noConversion"/>
  </si>
  <si>
    <t>5层</t>
    <phoneticPr fontId="4" type="noConversion"/>
  </si>
  <si>
    <t>中国电力企业联合会科技开发服务中心</t>
    <phoneticPr fontId="4" type="noConversion"/>
  </si>
  <si>
    <t>2017.7.1</t>
    <phoneticPr fontId="4" type="noConversion"/>
  </si>
  <si>
    <t>2018.6.30</t>
    <phoneticPr fontId="4" type="noConversion"/>
  </si>
  <si>
    <t>ZCZL-2017-016</t>
  </si>
  <si>
    <t>中电联（北京）认证中心有限责任公司</t>
    <phoneticPr fontId="4" type="noConversion"/>
  </si>
  <si>
    <t>ZCZL-2017-017</t>
  </si>
  <si>
    <t>中电联（北京）信用评价有限公司</t>
    <phoneticPr fontId="4" type="noConversion"/>
  </si>
  <si>
    <t>ZCZL-2017-018</t>
  </si>
  <si>
    <t>中国电力技术市场协会</t>
    <phoneticPr fontId="4" type="noConversion"/>
  </si>
  <si>
    <t>ZCZL-2017-019</t>
  </si>
  <si>
    <t>中国电力发展促进会</t>
    <phoneticPr fontId="4" type="noConversion"/>
  </si>
  <si>
    <t>ZCZL-2017-020</t>
  </si>
  <si>
    <t>北京优壹博学教育科技有限公司</t>
    <phoneticPr fontId="4" type="noConversion"/>
  </si>
  <si>
    <t>2015.11.20</t>
    <phoneticPr fontId="4" type="noConversion"/>
  </si>
  <si>
    <t>2019.11.19</t>
    <phoneticPr fontId="4" type="noConversion"/>
  </si>
  <si>
    <t>F、S：6.06；                 T、F：6.36</t>
    <phoneticPr fontId="4" type="noConversion"/>
  </si>
  <si>
    <t>3层</t>
  </si>
  <si>
    <t>中融国际信托有限公司</t>
  </si>
  <si>
    <t>2016.5.1</t>
    <phoneticPr fontId="4" type="noConversion"/>
  </si>
  <si>
    <t>2020.4.30</t>
    <phoneticPr fontId="4" type="noConversion"/>
  </si>
  <si>
    <t xml:space="preserve">F、S：6.1；    T、F：6.4；  </t>
    <phoneticPr fontId="4" type="noConversion"/>
  </si>
  <si>
    <t>602、603</t>
    <phoneticPr fontId="4" type="noConversion"/>
  </si>
  <si>
    <t>东方一画文化传媒（北京）有限公司</t>
    <phoneticPr fontId="4" type="noConversion"/>
  </si>
  <si>
    <t>2017.4.17</t>
    <phoneticPr fontId="4" type="noConversion"/>
  </si>
  <si>
    <t>2019.4.16</t>
    <phoneticPr fontId="4" type="noConversion"/>
  </si>
  <si>
    <t>ZCZL-2017-011</t>
    <phoneticPr fontId="4" type="noConversion"/>
  </si>
  <si>
    <t>小   计</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</si>
  <si>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</si>
  <si>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</si>
  <si>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</si>
  <si>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</si>
  <si>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</si>
  <si>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</si>
  <si>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</si>
  <si>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</si>
  <si>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</si>
  <si>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</si>
  <si>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</si>
  <si>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</si>
  <si>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</si>
  <si>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</si>
  <si>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</si>
  <si>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</si>
  <si>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</si>
  <si>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</si>
  <si>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</si>
  <si>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</si>
  <si>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押一</t>
  </si>
  <si>
    <t>项目局部</t>
  </si>
  <si>
    <t>比较法-办公</t>
  </si>
  <si>
    <t>售价</t>
  </si>
  <si>
    <t>深圳大厦</t>
    <phoneticPr fontId="4" type="noConversion"/>
  </si>
  <si>
    <t>乐凯大厦</t>
    <phoneticPr fontId="4" type="noConversion"/>
  </si>
  <si>
    <t>港中旅大厦</t>
    <phoneticPr fontId="4" type="noConversion"/>
  </si>
  <si>
    <t>租金</t>
  </si>
  <si>
    <r>
      <rPr>
        <sz val="11"/>
        <rFont val="宋体"/>
        <family val="3"/>
        <charset val="134"/>
      </rPr>
      <t>城市快速路</t>
    </r>
    <r>
      <rPr>
        <sz val="11"/>
        <rFont val="Arial"/>
        <family val="2"/>
      </rPr>
      <t>——</t>
    </r>
    <r>
      <rPr>
        <sz val="11"/>
        <rFont val="宋体"/>
        <family val="3"/>
        <charset val="134"/>
      </rPr>
      <t>西二环路</t>
    </r>
    <phoneticPr fontId="33" type="noConversion"/>
  </si>
  <si>
    <t>收益比率</t>
  </si>
  <si>
    <t>面积</t>
    <phoneticPr fontId="144" type="noConversion"/>
  </si>
  <si>
    <t>收益法 (元)</t>
  </si>
  <si>
    <t>平均租金</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</si>
</sst>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b/>
      <sz val="16"/>
      <name val="仿宋"/>
      <family val="3"/>
      <charset val="134"/>
    </font>
    <font>
      <sz val="10"/>
      <name val="仿宋"/>
      <family val="3"/>
      <charset val="134"/>
    </font>
    <font>
      <b/>
      <sz val="12"/>
      <name val="仿宋"/>
      <family val="3"/>
      <charset val="134"/>
    </font>
    <font>
      <b/>
      <sz val="10"/>
      <name val="仿宋"/>
      <family val="3"/>
      <charset val="134"/>
    </font>
    <font>
      <b/>
      <i/>
      <sz val="12"/>
      <name val="仿宋"/>
      <family val="3"/>
      <charset val="134"/>
    </font>
    <font>
      <sz val="10"/>
      <color indexed="10"/>
      <name val="仿宋"/>
      <family val="3"/>
      <charset val="134"/>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6" fillId="0" borderId="0" xfId="0" applyFont="1" applyFill="1" applyBorder="1">
      <alignment vertical="center"/>
    </xf>
    <xf numFmtId="0" fontId="256"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6" fillId="0" borderId="1" xfId="0" applyFont="1" applyFill="1" applyBorder="1">
      <alignment vertical="center"/>
    </xf>
    <xf numFmtId="0" fontId="83" fillId="0" borderId="1" xfId="0" applyFont="1" applyFill="1" applyBorder="1" applyAlignment="1">
      <alignment horizontal="center" vertical="center" wrapText="1"/>
    </xf>
    <xf numFmtId="0" fontId="83" fillId="0" borderId="1" xfId="0" applyFont="1" applyFill="1" applyBorder="1" applyAlignment="1">
      <alignment horizontal="left" vertical="center" wrapText="1"/>
    </xf>
    <xf numFmtId="179" fontId="258"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xf>
    <xf numFmtId="0" fontId="261" fillId="0" borderId="0" xfId="0" applyFont="1" applyFill="1" applyBorder="1">
      <alignment vertical="center"/>
    </xf>
    <xf numFmtId="0" fontId="258" fillId="0" borderId="1" xfId="0" applyFont="1" applyFill="1" applyBorder="1" applyAlignment="1">
      <alignment horizontal="center" vertical="center"/>
    </xf>
    <xf numFmtId="0" fontId="258" fillId="0" borderId="3" xfId="0" applyFont="1" applyFill="1" applyBorder="1" applyAlignment="1">
      <alignment horizontal="center" vertical="center"/>
    </xf>
    <xf numFmtId="0" fontId="262" fillId="0" borderId="1" xfId="0" applyFont="1" applyFill="1" applyBorder="1" applyAlignment="1">
      <alignment horizontal="center" vertical="center"/>
    </xf>
    <xf numFmtId="0" fontId="260" fillId="0" borderId="1" xfId="0" applyFont="1" applyFill="1" applyBorder="1" applyAlignment="1">
      <alignment horizontal="center" vertical="center"/>
    </xf>
    <xf numFmtId="179" fontId="260" fillId="0" borderId="1" xfId="0" applyNumberFormat="1" applyFont="1" applyFill="1" applyBorder="1" applyAlignment="1">
      <alignment horizontal="center" vertical="center"/>
    </xf>
    <xf numFmtId="177" fontId="258" fillId="0" borderId="1" xfId="0" applyNumberFormat="1" applyFont="1" applyFill="1" applyBorder="1" applyAlignment="1">
      <alignment horizontal="center" vertical="center" wrapText="1"/>
    </xf>
    <xf numFmtId="179" fontId="256" fillId="0" borderId="0" xfId="0" applyNumberFormat="1" applyFont="1" applyFill="1" applyBorder="1">
      <alignment vertical="center"/>
    </xf>
    <xf numFmtId="0" fontId="258" fillId="0" borderId="0" xfId="0" applyFont="1" applyFill="1" applyBorder="1">
      <alignment vertical="center"/>
    </xf>
    <xf numFmtId="0" fontId="256" fillId="0" borderId="0" xfId="0" applyFont="1" applyFill="1" applyBorder="1" applyAlignment="1">
      <alignment vertical="center" wrapText="1"/>
    </xf>
    <xf numFmtId="0" fontId="83" fillId="5" borderId="1" xfId="0" applyFont="1" applyFill="1" applyBorder="1" applyAlignment="1">
      <alignment horizontal="center" vertical="center" readingOrder="1"/>
    </xf>
    <xf numFmtId="0" fontId="83" fillId="5" borderId="1" xfId="0" applyFont="1" applyFill="1" applyBorder="1" applyAlignment="1">
      <alignment vertical="center" wrapText="1"/>
    </xf>
    <xf numFmtId="0" fontId="258"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179" fontId="258" fillId="5" borderId="1" xfId="0" applyNumberFormat="1" applyFont="1" applyFill="1" applyBorder="1" applyAlignment="1">
      <alignment horizontal="center" vertical="center"/>
    </xf>
    <xf numFmtId="0" fontId="258" fillId="5" borderId="1" xfId="0" applyFont="1" applyFill="1" applyBorder="1" applyAlignment="1">
      <alignment horizontal="left" vertical="center" wrapText="1"/>
    </xf>
    <xf numFmtId="0" fontId="256" fillId="5" borderId="0" xfId="0" applyFont="1" applyFill="1" applyBorder="1">
      <alignment vertical="center"/>
    </xf>
    <xf numFmtId="179" fontId="258" fillId="5" borderId="1" xfId="0" applyNumberFormat="1" applyFont="1" applyFill="1" applyBorder="1" applyAlignment="1">
      <alignment horizontal="center" vertical="center" wrapText="1"/>
    </xf>
    <xf numFmtId="0" fontId="119" fillId="6" borderId="26" xfId="2" applyFont="1" applyFill="1" applyBorder="1"/>
    <xf numFmtId="184" fontId="264" fillId="0" borderId="67" xfId="2" applyNumberFormat="1" applyFont="1" applyFill="1" applyBorder="1" applyAlignment="1" applyProtection="1">
      <alignment horizontal="center" vertical="center"/>
      <protection locked="0"/>
    </xf>
    <xf numFmtId="0" fontId="119" fillId="0" borderId="0" xfId="2" applyFont="1"/>
    <xf numFmtId="180" fontId="265" fillId="6" borderId="6" xfId="1" applyNumberFormat="1" applyFont="1" applyFill="1" applyBorder="1" applyAlignment="1" applyProtection="1">
      <alignment horizontal="center" vertical="center" wrapText="1"/>
    </xf>
    <xf numFmtId="0" fontId="266" fillId="6" borderId="9" xfId="2" applyFont="1" applyFill="1" applyBorder="1" applyAlignment="1" applyProtection="1">
      <alignment horizontal="center" vertical="center" wrapText="1"/>
    </xf>
    <xf numFmtId="179" fontId="266" fillId="6" borderId="9" xfId="2" applyNumberFormat="1" applyFont="1" applyFill="1" applyBorder="1" applyAlignment="1" applyProtection="1">
      <alignment horizontal="center" vertical="center" wrapText="1"/>
    </xf>
    <xf numFmtId="0" fontId="266" fillId="6" borderId="10" xfId="2"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2"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5" fillId="0" borderId="24" xfId="2"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2"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5" fillId="0" borderId="49" xfId="2" applyNumberFormat="1" applyFont="1" applyFill="1" applyBorder="1" applyAlignment="1" applyProtection="1">
      <alignment horizontal="center" vertical="center"/>
      <protection locked="0"/>
    </xf>
    <xf numFmtId="0" fontId="268" fillId="6" borderId="16" xfId="2" applyFont="1" applyFill="1" applyBorder="1" applyAlignment="1">
      <alignment vertical="center"/>
    </xf>
    <xf numFmtId="0" fontId="119" fillId="6" borderId="31" xfId="2" applyFont="1" applyFill="1" applyBorder="1" applyAlignment="1">
      <alignment vertical="center"/>
    </xf>
    <xf numFmtId="0" fontId="119" fillId="0" borderId="0" xfId="2" applyFont="1" applyAlignment="1">
      <alignment vertical="center"/>
    </xf>
    <xf numFmtId="0" fontId="119" fillId="6" borderId="63" xfId="2" applyFont="1" applyFill="1" applyBorder="1"/>
    <xf numFmtId="0" fontId="265" fillId="6" borderId="64" xfId="2" applyFont="1" applyFill="1" applyBorder="1" applyAlignment="1">
      <alignment horizontal="right" vertical="center"/>
    </xf>
    <xf numFmtId="0" fontId="265" fillId="6" borderId="65" xfId="2" applyFont="1" applyFill="1" applyBorder="1" applyAlignment="1">
      <alignment horizontal="right" vertical="center"/>
    </xf>
    <xf numFmtId="0" fontId="267" fillId="6" borderId="6" xfId="2" applyFont="1" applyFill="1" applyBorder="1" applyAlignment="1">
      <alignment horizontal="center"/>
    </xf>
    <xf numFmtId="0" fontId="105" fillId="0" borderId="9" xfId="2" applyFont="1" applyBorder="1" applyAlignment="1" applyProtection="1">
      <alignment horizontal="center"/>
      <protection locked="0"/>
    </xf>
    <xf numFmtId="0" fontId="267" fillId="6" borderId="9" xfId="2" applyFont="1" applyFill="1" applyBorder="1" applyAlignment="1">
      <alignment horizontal="center"/>
    </xf>
    <xf numFmtId="9" fontId="105" fillId="0" borderId="9" xfId="2" applyNumberFormat="1" applyFont="1" applyBorder="1" applyAlignment="1" applyProtection="1">
      <alignment horizontal="center"/>
      <protection locked="0"/>
    </xf>
    <xf numFmtId="0" fontId="267" fillId="6" borderId="10" xfId="2" applyFont="1" applyFill="1" applyBorder="1"/>
    <xf numFmtId="0" fontId="267" fillId="6" borderId="25" xfId="2" applyFont="1" applyFill="1" applyBorder="1" applyAlignment="1">
      <alignment horizontal="center"/>
    </xf>
    <xf numFmtId="0" fontId="105" fillId="0" borderId="32" xfId="2" applyFont="1" applyBorder="1" applyAlignment="1" applyProtection="1">
      <alignment horizontal="center"/>
      <protection locked="0"/>
    </xf>
    <xf numFmtId="0" fontId="267" fillId="6" borderId="32" xfId="2" applyFont="1" applyFill="1" applyBorder="1" applyAlignment="1">
      <alignment horizontal="center"/>
    </xf>
    <xf numFmtId="9" fontId="105" fillId="0" borderId="32" xfId="2" applyNumberFormat="1" applyFont="1" applyBorder="1" applyAlignment="1" applyProtection="1">
      <alignment horizontal="center"/>
      <protection locked="0"/>
    </xf>
    <xf numFmtId="0" fontId="267" fillId="6" borderId="49" xfId="2" applyFont="1" applyFill="1" applyBorder="1"/>
    <xf numFmtId="0" fontId="99" fillId="6" borderId="0" xfId="2" applyFont="1" applyFill="1" applyBorder="1" applyAlignment="1">
      <alignment horizontal="left"/>
    </xf>
    <xf numFmtId="0" fontId="267" fillId="6" borderId="0" xfId="2" applyFont="1" applyFill="1" applyBorder="1" applyAlignment="1">
      <alignment horizontal="center"/>
    </xf>
    <xf numFmtId="0" fontId="105" fillId="0" borderId="9" xfId="2" applyFont="1" applyFill="1" applyBorder="1" applyAlignment="1" applyProtection="1">
      <alignment horizontal="center"/>
      <protection locked="0"/>
    </xf>
    <xf numFmtId="0" fontId="105" fillId="0" borderId="0" xfId="2" applyFont="1"/>
    <xf numFmtId="0" fontId="105" fillId="6" borderId="32" xfId="2" applyFont="1" applyFill="1" applyBorder="1" applyAlignment="1">
      <alignment horizontal="center"/>
    </xf>
    <xf numFmtId="0" fontId="105" fillId="6" borderId="0" xfId="2" applyFont="1" applyFill="1"/>
    <xf numFmtId="0" fontId="119" fillId="6" borderId="0" xfId="2" applyFont="1" applyFill="1"/>
    <xf numFmtId="0" fontId="105" fillId="0" borderId="10" xfId="2" applyFont="1" applyFill="1" applyBorder="1" applyAlignment="1" applyProtection="1">
      <alignment horizontal="center"/>
      <protection locked="0"/>
    </xf>
    <xf numFmtId="0" fontId="105" fillId="6" borderId="49" xfId="2" applyFont="1" applyFill="1" applyBorder="1" applyAlignment="1">
      <alignment horizontal="center"/>
    </xf>
    <xf numFmtId="0" fontId="62" fillId="9" borderId="3" xfId="0" applyNumberFormat="1" applyFont="1" applyFill="1" applyBorder="1" applyAlignment="1" applyProtection="1">
      <alignment horizontal="center" vertical="center" wrapText="1"/>
      <protection locked="0"/>
    </xf>
    <xf numFmtId="0" fontId="48" fillId="9" borderId="5" xfId="0" applyFont="1" applyFill="1" applyBorder="1" applyAlignment="1" applyProtection="1">
      <alignment horizontal="center" vertical="center" wrapText="1"/>
    </xf>
    <xf numFmtId="0" fontId="48" fillId="9" borderId="23" xfId="0" applyFont="1" applyFill="1" applyBorder="1" applyAlignment="1" applyProtection="1">
      <alignment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26"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7"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22" xfId="0" applyFont="1" applyFill="1" applyBorder="1" applyAlignment="1">
      <alignment horizontal="center" vertical="center" wrapText="1"/>
    </xf>
    <xf numFmtId="0" fontId="258" fillId="0" borderId="7" xfId="0" applyFont="1" applyFill="1" applyBorder="1" applyAlignment="1">
      <alignment horizontal="center" vertical="center" wrapText="1"/>
    </xf>
    <xf numFmtId="0" fontId="258" fillId="0" borderId="46" xfId="0" applyFont="1" applyFill="1" applyBorder="1" applyAlignment="1">
      <alignment horizontal="center" vertical="center" wrapText="1"/>
    </xf>
    <xf numFmtId="0" fontId="258" fillId="0" borderId="4" xfId="0" applyFont="1" applyFill="1" applyBorder="1" applyAlignment="1">
      <alignment horizontal="center" vertical="center" wrapText="1"/>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260" fillId="0" borderId="5" xfId="0" applyFont="1" applyFill="1" applyBorder="1" applyAlignment="1">
      <alignment horizontal="center" vertical="center" wrapText="1"/>
    </xf>
    <xf numFmtId="0" fontId="260" fillId="0" borderId="3"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9" fillId="0" borderId="54" xfId="0" applyFont="1" applyFill="1" applyBorder="1" applyAlignment="1">
      <alignment horizontal="center" vertical="center" wrapText="1"/>
    </xf>
    <xf numFmtId="0" fontId="259" fillId="0" borderId="3" xfId="0" applyFont="1" applyFill="1" applyBorder="1" applyAlignment="1">
      <alignment horizontal="center" vertical="center" wrapText="1"/>
    </xf>
    <xf numFmtId="0" fontId="260" fillId="0" borderId="3" xfId="0" applyFont="1" applyFill="1" applyBorder="1" applyAlignment="1">
      <alignment horizontal="center" vertical="center"/>
    </xf>
    <xf numFmtId="0" fontId="260" fillId="0" borderId="1" xfId="0" applyFont="1" applyFill="1" applyBorder="1" applyAlignment="1">
      <alignment horizontal="center" vertical="center"/>
    </xf>
    <xf numFmtId="0" fontId="265" fillId="6" borderId="63" xfId="2" applyFont="1" applyFill="1" applyBorder="1" applyAlignment="1">
      <alignment horizontal="center"/>
    </xf>
    <xf numFmtId="0" fontId="265" fillId="6" borderId="64" xfId="2" applyFont="1" applyFill="1" applyBorder="1" applyAlignment="1">
      <alignment horizontal="center"/>
    </xf>
    <xf numFmtId="0" fontId="48" fillId="0" borderId="3" xfId="0" applyFont="1" applyFill="1" applyBorder="1" applyAlignment="1" applyProtection="1">
      <alignment vertical="center"/>
      <protection locked="0"/>
    </xf>
    <xf numFmtId="181" fontId="48" fillId="0" borderId="5" xfId="0" applyNumberFormat="1" applyFont="1" applyFill="1" applyBorder="1" applyAlignment="1" applyProtection="1">
      <alignment vertical="center"/>
      <protection locked="0"/>
    </xf>
    <xf numFmtId="0" fontId="256" fillId="0" borderId="1" xfId="0" applyFont="1" applyFill="1" applyBorder="1" applyAlignment="1">
      <alignment horizontal="center" vertical="center"/>
    </xf>
    <xf numFmtId="0" fontId="256" fillId="8" borderId="1"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200025</xdr:colOff>
      <xdr:row>14</xdr:row>
      <xdr:rowOff>133350</xdr:rowOff>
    </xdr:from>
    <xdr:to>
      <xdr:col>14</xdr:col>
      <xdr:colOff>523874</xdr:colOff>
      <xdr:row>38</xdr:row>
      <xdr:rowOff>41692</xdr:rowOff>
    </xdr:to>
    <xdr:pic>
      <xdr:nvPicPr>
        <xdr:cNvPr id="2" name="图片 1"/>
        <xdr:cNvPicPr>
          <a:picLocks noChangeAspect="1"/>
        </xdr:cNvPicPr>
      </xdr:nvPicPr>
      <xdr:blipFill>
        <a:blip xmlns:r="http://schemas.openxmlformats.org/officeDocument/2006/relationships" r:embed="rId1"/>
        <a:stretch>
          <a:fillRect/>
        </a:stretch>
      </xdr:blipFill>
      <xdr:spPr>
        <a:xfrm>
          <a:off x="5000625" y="2533650"/>
          <a:ext cx="5124449" cy="4023142"/>
        </a:xfrm>
        <a:prstGeom prst="rect">
          <a:avLst/>
        </a:prstGeom>
      </xdr:spPr>
    </xdr:pic>
    <xdr:clientData/>
  </xdr:twoCellAnchor>
  <xdr:twoCellAnchor editAs="oneCell">
    <xdr:from>
      <xdr:col>0</xdr:col>
      <xdr:colOff>0</xdr:colOff>
      <xdr:row>0</xdr:row>
      <xdr:rowOff>1</xdr:rowOff>
    </xdr:from>
    <xdr:to>
      <xdr:col>7</xdr:col>
      <xdr:colOff>198582</xdr:colOff>
      <xdr:row>14</xdr:row>
      <xdr:rowOff>76201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
          <a:ext cx="4999182" cy="2476500"/>
        </a:xfrm>
        <a:prstGeom prst="rect">
          <a:avLst/>
        </a:prstGeom>
      </xdr:spPr>
    </xdr:pic>
    <xdr:clientData/>
  </xdr:twoCellAnchor>
  <xdr:twoCellAnchor editAs="oneCell">
    <xdr:from>
      <xdr:col>7</xdr:col>
      <xdr:colOff>111169</xdr:colOff>
      <xdr:row>0</xdr:row>
      <xdr:rowOff>19050</xdr:rowOff>
    </xdr:from>
    <xdr:to>
      <xdr:col>14</xdr:col>
      <xdr:colOff>570453</xdr:colOff>
      <xdr:row>14</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4911769" y="19050"/>
          <a:ext cx="5259884" cy="2543175"/>
        </a:xfrm>
        <a:prstGeom prst="rect">
          <a:avLst/>
        </a:prstGeom>
      </xdr:spPr>
    </xdr:pic>
    <xdr:clientData/>
  </xdr:twoCellAnchor>
  <xdr:twoCellAnchor editAs="oneCell">
    <xdr:from>
      <xdr:col>0</xdr:col>
      <xdr:colOff>1</xdr:colOff>
      <xdr:row>14</xdr:row>
      <xdr:rowOff>1</xdr:rowOff>
    </xdr:from>
    <xdr:to>
      <xdr:col>7</xdr:col>
      <xdr:colOff>152401</xdr:colOff>
      <xdr:row>27</xdr:row>
      <xdr:rowOff>142207</xdr:rowOff>
    </xdr:to>
    <xdr:pic>
      <xdr:nvPicPr>
        <xdr:cNvPr id="5" name="图片 4"/>
        <xdr:cNvPicPr>
          <a:picLocks noChangeAspect="1"/>
        </xdr:cNvPicPr>
      </xdr:nvPicPr>
      <xdr:blipFill>
        <a:blip xmlns:r="http://schemas.openxmlformats.org/officeDocument/2006/relationships" r:embed="rId4"/>
        <a:stretch>
          <a:fillRect/>
        </a:stretch>
      </xdr:blipFill>
      <xdr:spPr>
        <a:xfrm>
          <a:off x="1" y="2400301"/>
          <a:ext cx="4953000" cy="2371056"/>
        </a:xfrm>
        <a:prstGeom prst="rect">
          <a:avLst/>
        </a:prstGeom>
      </xdr:spPr>
    </xdr:pic>
    <xdr:clientData/>
  </xdr:twoCellAnchor>
  <xdr:twoCellAnchor editAs="oneCell">
    <xdr:from>
      <xdr:col>0</xdr:col>
      <xdr:colOff>1</xdr:colOff>
      <xdr:row>41</xdr:row>
      <xdr:rowOff>0</xdr:rowOff>
    </xdr:from>
    <xdr:to>
      <xdr:col>7</xdr:col>
      <xdr:colOff>247651</xdr:colOff>
      <xdr:row>55</xdr:row>
      <xdr:rowOff>95207</xdr:rowOff>
    </xdr:to>
    <xdr:pic>
      <xdr:nvPicPr>
        <xdr:cNvPr id="6" name="图片 5"/>
        <xdr:cNvPicPr>
          <a:picLocks noChangeAspect="1"/>
        </xdr:cNvPicPr>
      </xdr:nvPicPr>
      <xdr:blipFill>
        <a:blip xmlns:r="http://schemas.openxmlformats.org/officeDocument/2006/relationships" r:embed="rId5"/>
        <a:stretch>
          <a:fillRect/>
        </a:stretch>
      </xdr:blipFill>
      <xdr:spPr>
        <a:xfrm>
          <a:off x="1" y="7029450"/>
          <a:ext cx="5048250" cy="2495507"/>
        </a:xfrm>
        <a:prstGeom prst="rect">
          <a:avLst/>
        </a:prstGeom>
      </xdr:spPr>
    </xdr:pic>
    <xdr:clientData/>
  </xdr:twoCellAnchor>
  <xdr:twoCellAnchor editAs="oneCell">
    <xdr:from>
      <xdr:col>7</xdr:col>
      <xdr:colOff>209550</xdr:colOff>
      <xdr:row>40</xdr:row>
      <xdr:rowOff>47625</xdr:rowOff>
    </xdr:from>
    <xdr:to>
      <xdr:col>15</xdr:col>
      <xdr:colOff>65640</xdr:colOff>
      <xdr:row>56</xdr:row>
      <xdr:rowOff>6374</xdr:rowOff>
    </xdr:to>
    <xdr:pic>
      <xdr:nvPicPr>
        <xdr:cNvPr id="7" name="图片 6"/>
        <xdr:cNvPicPr>
          <a:picLocks noChangeAspect="1"/>
        </xdr:cNvPicPr>
      </xdr:nvPicPr>
      <xdr:blipFill>
        <a:blip xmlns:r="http://schemas.openxmlformats.org/officeDocument/2006/relationships" r:embed="rId6"/>
        <a:stretch>
          <a:fillRect/>
        </a:stretch>
      </xdr:blipFill>
      <xdr:spPr>
        <a:xfrm>
          <a:off x="5010150" y="6905625"/>
          <a:ext cx="5342490" cy="2701949"/>
        </a:xfrm>
        <a:prstGeom prst="rect">
          <a:avLst/>
        </a:prstGeom>
      </xdr:spPr>
    </xdr:pic>
    <xdr:clientData/>
  </xdr:twoCellAnchor>
  <xdr:twoCellAnchor editAs="oneCell">
    <xdr:from>
      <xdr:col>0</xdr:col>
      <xdr:colOff>0</xdr:colOff>
      <xdr:row>56</xdr:row>
      <xdr:rowOff>0</xdr:rowOff>
    </xdr:from>
    <xdr:to>
      <xdr:col>7</xdr:col>
      <xdr:colOff>181729</xdr:colOff>
      <xdr:row>69</xdr:row>
      <xdr:rowOff>142875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601200"/>
          <a:ext cx="4982329" cy="2371725"/>
        </a:xfrm>
        <a:prstGeom prst="rect">
          <a:avLst/>
        </a:prstGeom>
      </xdr:spPr>
    </xdr:pic>
    <xdr:clientData/>
  </xdr:twoCellAnchor>
  <xdr:twoCellAnchor editAs="oneCell">
    <xdr:from>
      <xdr:col>0</xdr:col>
      <xdr:colOff>1</xdr:colOff>
      <xdr:row>70</xdr:row>
      <xdr:rowOff>1</xdr:rowOff>
    </xdr:from>
    <xdr:to>
      <xdr:col>7</xdr:col>
      <xdr:colOff>266701</xdr:colOff>
      <xdr:row>89</xdr:row>
      <xdr:rowOff>154837</xdr:rowOff>
    </xdr:to>
    <xdr:pic>
      <xdr:nvPicPr>
        <xdr:cNvPr id="9" name="图片 8"/>
        <xdr:cNvPicPr>
          <a:picLocks noChangeAspect="1"/>
        </xdr:cNvPicPr>
      </xdr:nvPicPr>
      <xdr:blipFill>
        <a:blip xmlns:r="http://schemas.openxmlformats.org/officeDocument/2006/relationships" r:embed="rId8"/>
        <a:stretch>
          <a:fillRect/>
        </a:stretch>
      </xdr:blipFill>
      <xdr:spPr>
        <a:xfrm>
          <a:off x="1" y="12001501"/>
          <a:ext cx="5067300" cy="3412386"/>
        </a:xfrm>
        <a:prstGeom prst="rect">
          <a:avLst/>
        </a:prstGeom>
      </xdr:spPr>
    </xdr:pic>
    <xdr:clientData/>
  </xdr:twoCellAnchor>
  <xdr:twoCellAnchor editAs="oneCell">
    <xdr:from>
      <xdr:col>7</xdr:col>
      <xdr:colOff>238126</xdr:colOff>
      <xdr:row>55</xdr:row>
      <xdr:rowOff>85725</xdr:rowOff>
    </xdr:from>
    <xdr:to>
      <xdr:col>13</xdr:col>
      <xdr:colOff>28576</xdr:colOff>
      <xdr:row>72</xdr:row>
      <xdr:rowOff>112200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5038726" y="9515475"/>
          <a:ext cx="3905250" cy="2941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北京市西城区广安门外大街168号1幢3层1-301等六套办公用房房地产房地产抵押价值预评估</v>
      </c>
    </row>
    <row r="3" spans="1:2" s="1598" customFormat="1">
      <c r="A3" s="1596" t="s">
        <v>1222</v>
      </c>
      <c r="B3" s="1597" t="str">
        <f>'预评函-封皮'!B40</f>
        <v>北京京城机电资产管理有限责任公司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受贵公司委托，我公司对北京市西城区广安门外大街168号1幢3层1-301等六套办公用房房地产房地产抵押价值进行了预评估。</v>
      </c>
    </row>
    <row r="7" spans="1:2" s="1598" customFormat="1">
      <c r="A7" s="1596" t="s">
        <v>1265</v>
      </c>
      <c r="B7" s="1597" t="str">
        <f>'预评函-1'!A7</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8502</v>
      </c>
    </row>
    <row r="21" spans="1:2" s="1598" customFormat="1">
      <c r="A21" s="1596" t="s">
        <v>1236</v>
      </c>
      <c r="B21" s="1597">
        <f ca="1">'预评函-2'!D7</f>
        <v>43538</v>
      </c>
    </row>
    <row r="22" spans="1:2" s="1598" customFormat="1">
      <c r="A22" s="1596" t="s">
        <v>1237</v>
      </c>
      <c r="B22" s="1597" t="str">
        <f ca="1">'预评函-2'!D6</f>
        <v>捌仟伍佰零贰万元整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8502</v>
      </c>
    </row>
    <row r="31" spans="1:2" s="1598" customFormat="1">
      <c r="A31" s="1596" t="s">
        <v>1275</v>
      </c>
      <c r="B31" s="1597">
        <f ca="1">'预评函-2'!D15</f>
        <v>43538</v>
      </c>
    </row>
    <row r="32" spans="1:2" s="1598" customFormat="1">
      <c r="A32" s="1596" t="s">
        <v>1242</v>
      </c>
      <c r="B32" s="1597" t="str">
        <f ca="1">'预评函-2'!D14</f>
        <v>捌仟伍佰零贰万元整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北京市西城区广安门外大街168号1幢3层1-301等六套办公用房房地产房地产</v>
      </c>
    </row>
    <row r="42" spans="1:2" s="1598" customFormat="1">
      <c r="A42" s="1596" t="s">
        <v>1289</v>
      </c>
      <c r="B42" s="1597" t="str">
        <f>'预评函-3'!B2</f>
        <v>建筑面积</v>
      </c>
    </row>
    <row r="43" spans="1:2" s="1598" customFormat="1">
      <c r="A43" s="1596" t="s">
        <v>1290</v>
      </c>
      <c r="B43" s="1597">
        <f>'预评函-3'!B4</f>
        <v>1952.76</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7125</v>
      </c>
    </row>
    <row r="48" spans="1:2" s="1598" customFormat="1">
      <c r="A48" s="1596" t="s">
        <v>1248</v>
      </c>
      <c r="B48" s="1597">
        <f ca="1">'预评函-3'!E4</f>
        <v>36486</v>
      </c>
    </row>
    <row r="49" spans="1:2" s="1598" customFormat="1">
      <c r="A49" s="1596" t="s">
        <v>1249</v>
      </c>
      <c r="B49" s="1597" t="str">
        <f ca="1">'预评函-3'!D5</f>
        <v>柒仟壹佰贰拾伍万元整</v>
      </c>
    </row>
    <row r="50" spans="1:2" s="1598" customFormat="1">
      <c r="A50" s="1596" t="s">
        <v>1273</v>
      </c>
      <c r="B50" s="1597" t="str">
        <f>'预评函-3'!F2</f>
        <v>在建建筑物价值</v>
      </c>
    </row>
    <row r="51" spans="1:2" s="1598" customFormat="1">
      <c r="A51" s="1596" t="s">
        <v>1250</v>
      </c>
      <c r="B51" s="1597">
        <f ca="1">'预评函-3'!F4</f>
        <v>1377</v>
      </c>
    </row>
    <row r="52" spans="1:2" s="1598" customFormat="1">
      <c r="A52" s="1596" t="s">
        <v>1251</v>
      </c>
      <c r="B52" s="1597">
        <f ca="1">'预评函-3'!G4</f>
        <v>7052</v>
      </c>
    </row>
    <row r="53" spans="1:2" s="1598" customFormat="1">
      <c r="A53" s="1596" t="s">
        <v>1279</v>
      </c>
      <c r="B53" s="1597" t="str">
        <f ca="1">'预评函-3'!F5</f>
        <v>壹仟叁佰柒拾柒万元整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资产管理有限责任公司拟使用北京市西城区广安门外大街168号1幢3层1-301等六套办公用房房地产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67"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67"/>
      <c r="B54" s="2027" t="s">
        <v>864</v>
      </c>
      <c r="C54" s="2024" t="s">
        <v>1282</v>
      </c>
    </row>
    <row r="55" spans="1:4">
      <c r="A55" s="3067"/>
      <c r="B55" s="2027" t="s">
        <v>865</v>
      </c>
      <c r="C55" s="2024" t="s">
        <v>1283</v>
      </c>
    </row>
    <row r="56" spans="1:4">
      <c r="A56" s="3067"/>
      <c r="B56" s="2027" t="s">
        <v>866</v>
      </c>
      <c r="C56" s="2024" t="s">
        <v>1287</v>
      </c>
    </row>
    <row r="57" spans="1:4">
      <c r="A57" s="3067"/>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3076" t="str">
        <f>IF(B10="北京市","北京市",C10)&amp;F10&amp;IF(结果表!G1="在建","出让国有建设用地使用权及在建建筑物",IF(结果表!G1="土地","出让国有建设用地使用权",))&amp;B9&amp;"预评估"</f>
        <v>北京市西城区广安门外大街168号1幢3层1-301等六套办公用房房地产房地产抵押价值预评估</v>
      </c>
      <c r="C1" s="3077"/>
      <c r="D1" s="3077"/>
      <c r="E1" s="3077"/>
      <c r="F1" s="3077"/>
      <c r="G1" s="3077"/>
      <c r="H1" s="3077"/>
      <c r="I1" s="3078"/>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北京市西城区广安门外大街168号1幢3层1-301等六套办公用房房地产房地产抵押价值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北京市西城区广安门外大街168号1幢3层1-301等六套办公用房房地产房地产</v>
      </c>
    </row>
    <row r="3" spans="1:19" ht="18" customHeight="1">
      <c r="A3" s="2040" t="s">
        <v>1779</v>
      </c>
      <c r="B3" s="2041">
        <v>43047</v>
      </c>
      <c r="C3" s="2042" t="s">
        <v>1780</v>
      </c>
      <c r="D3" s="2041">
        <f>B3</f>
        <v>43047</v>
      </c>
      <c r="E3" s="2031"/>
      <c r="F3" s="2031"/>
      <c r="G3" s="2031"/>
      <c r="H3" s="2031"/>
      <c r="I3" s="2031"/>
      <c r="J3" s="2031"/>
      <c r="K3" s="2032"/>
      <c r="L3" s="2033"/>
      <c r="M3" s="2033"/>
      <c r="N3" s="2034"/>
      <c r="O3" s="2035"/>
      <c r="P3" s="2034"/>
      <c r="Q3" s="2034"/>
      <c r="R3" s="2034"/>
      <c r="S3" s="2036"/>
    </row>
    <row r="4" spans="1:19" ht="18" customHeight="1" thickBot="1">
      <c r="A4" s="2043" t="s">
        <v>1781</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2" t="s">
        <v>3044</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3" t="s">
        <v>3045</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北京京城机电资产管理有限责任公司</v>
      </c>
      <c r="C7" s="2053"/>
      <c r="D7" s="2054"/>
      <c r="E7" s="2039"/>
      <c r="F7" s="2047"/>
      <c r="G7" s="2047"/>
      <c r="H7" s="2047"/>
      <c r="I7" s="2047"/>
      <c r="J7" s="2047"/>
      <c r="K7" s="2057"/>
      <c r="L7" s="2033"/>
      <c r="M7" s="2033"/>
      <c r="N7" s="2034"/>
      <c r="O7" s="2035"/>
      <c r="P7" s="2034"/>
      <c r="Q7" s="2034"/>
      <c r="R7" s="2034"/>
    </row>
    <row r="8" spans="1:19" ht="18" customHeight="1">
      <c r="A8" s="2052" t="s">
        <v>1785</v>
      </c>
      <c r="B8" s="2058" t="s">
        <v>3046</v>
      </c>
      <c r="C8" s="2059"/>
      <c r="D8" s="3079" t="s">
        <v>1786</v>
      </c>
      <c r="E8" s="2060" t="s">
        <v>3047</v>
      </c>
      <c r="F8" s="2061"/>
      <c r="G8" s="2031"/>
      <c r="H8" s="2031"/>
      <c r="I8" s="2031"/>
      <c r="J8" s="2047"/>
      <c r="K8" s="2048"/>
      <c r="L8" s="2033"/>
      <c r="M8" s="2033"/>
      <c r="N8" s="2034"/>
      <c r="O8" s="2035"/>
      <c r="P8" s="2034"/>
      <c r="Q8" s="2034"/>
      <c r="R8" s="2034"/>
    </row>
    <row r="9" spans="1:19" ht="18" customHeight="1" thickBot="1">
      <c r="A9" s="2045" t="s">
        <v>1787</v>
      </c>
      <c r="B9" s="2062" t="s">
        <v>3047</v>
      </c>
      <c r="C9" s="2063"/>
      <c r="D9" s="3080"/>
      <c r="E9" s="2062" t="s">
        <v>70</v>
      </c>
      <c r="F9" s="2064"/>
      <c r="G9" s="2065"/>
      <c r="H9" s="2065"/>
      <c r="I9" s="2065"/>
      <c r="J9" s="2047"/>
      <c r="K9" s="2057"/>
      <c r="L9" s="2033"/>
      <c r="M9" s="2033"/>
      <c r="N9" s="2034"/>
      <c r="O9" s="2035"/>
      <c r="P9" s="2034"/>
      <c r="Q9" s="2034"/>
      <c r="R9" s="2034"/>
    </row>
    <row r="10" spans="1:19" ht="18" customHeight="1" thickTop="1">
      <c r="A10" s="2066" t="s">
        <v>1788</v>
      </c>
      <c r="B10" s="2067" t="s">
        <v>3048</v>
      </c>
      <c r="C10" s="2068"/>
      <c r="D10" s="2051"/>
      <c r="E10" s="2069" t="s">
        <v>1789</v>
      </c>
      <c r="F10" s="2070" t="s">
        <v>3050</v>
      </c>
      <c r="G10" s="2071"/>
      <c r="H10" s="2072"/>
      <c r="I10" s="2051"/>
      <c r="J10" s="2047"/>
      <c r="K10" s="2057"/>
      <c r="L10" s="2033"/>
      <c r="M10" s="2033"/>
      <c r="N10" s="2034"/>
      <c r="O10" s="2035"/>
      <c r="P10" s="2034"/>
      <c r="Q10" s="2034"/>
      <c r="R10" s="2034"/>
    </row>
    <row r="11" spans="1:19" ht="18" customHeight="1">
      <c r="A11" s="2073" t="s">
        <v>1790</v>
      </c>
      <c r="B11" s="2074" t="s">
        <v>3049</v>
      </c>
      <c r="C11" s="2075" t="str">
        <f>B5</f>
        <v>北京京城机电资产管理有限责任公司</v>
      </c>
      <c r="D11" s="2076"/>
      <c r="E11" s="2047"/>
      <c r="F11" s="2047"/>
      <c r="G11" s="2047"/>
      <c r="H11" s="2047"/>
      <c r="I11" s="2047"/>
      <c r="J11" s="2047"/>
      <c r="K11" s="2057"/>
      <c r="L11" s="2033"/>
      <c r="M11" s="2033"/>
      <c r="N11" s="2034"/>
      <c r="O11" s="2035"/>
      <c r="P11" s="2034"/>
      <c r="Q11" s="2034"/>
      <c r="R11" s="2034"/>
    </row>
    <row r="12" spans="1:19" ht="18" customHeight="1">
      <c r="A12" s="2077" t="s">
        <v>1791</v>
      </c>
      <c r="B12" s="2074" t="s">
        <v>3051</v>
      </c>
      <c r="C12" s="2078" t="s">
        <v>1792</v>
      </c>
      <c r="D12" s="2079" t="s">
        <v>1793</v>
      </c>
      <c r="E12" s="2079" t="s">
        <v>1794</v>
      </c>
      <c r="F12" s="2079" t="s">
        <v>1795</v>
      </c>
      <c r="G12" s="2079" t="s">
        <v>1796</v>
      </c>
      <c r="H12" s="2079" t="s">
        <v>1797</v>
      </c>
      <c r="I12" s="2079" t="s">
        <v>1798</v>
      </c>
      <c r="J12" s="2047"/>
      <c r="K12" s="2057"/>
      <c r="L12" s="2033"/>
      <c r="M12" s="2033"/>
      <c r="N12" s="2034"/>
      <c r="O12" s="2035"/>
      <c r="P12" s="2034"/>
      <c r="Q12" s="2034"/>
      <c r="R12" s="2034"/>
    </row>
    <row r="13" spans="1:19" ht="18" customHeight="1">
      <c r="A13" s="2080"/>
      <c r="B13" s="2081"/>
      <c r="C13" s="2082" t="s">
        <v>1799</v>
      </c>
      <c r="D13" s="2083"/>
      <c r="E13" s="2083"/>
      <c r="F13" s="2083">
        <v>57292</v>
      </c>
      <c r="G13" s="2083"/>
      <c r="H13" s="2083"/>
      <c r="I13" s="1051"/>
      <c r="J13" s="2047"/>
      <c r="K13" s="2057"/>
      <c r="L13" s="2033"/>
      <c r="M13" s="2033"/>
      <c r="N13" s="2034"/>
      <c r="O13" s="2035"/>
      <c r="P13" s="2034"/>
      <c r="Q13" s="2034"/>
      <c r="R13" s="2034"/>
    </row>
    <row r="14" spans="1:19" ht="18" customHeight="1">
      <c r="A14" s="2080"/>
      <c r="B14" s="2081"/>
      <c r="C14" s="2082" t="s">
        <v>1800</v>
      </c>
      <c r="D14" s="1054"/>
      <c r="E14" s="1054"/>
      <c r="F14" s="1054">
        <v>50</v>
      </c>
      <c r="G14" s="1054"/>
      <c r="H14" s="1054"/>
      <c r="I14" s="1054"/>
      <c r="J14" s="2047"/>
      <c r="K14" s="2084"/>
      <c r="L14" s="2033"/>
      <c r="M14" s="2033"/>
      <c r="N14" s="2034"/>
      <c r="O14" s="2035"/>
      <c r="P14" s="2034"/>
      <c r="Q14" s="2034"/>
      <c r="R14" s="2034"/>
    </row>
    <row r="15" spans="1:19" ht="18" customHeight="1">
      <c r="A15" s="2066"/>
      <c r="B15" s="2085"/>
      <c r="C15" s="2082" t="s">
        <v>1801</v>
      </c>
      <c r="D15" s="1053" t="str">
        <f>IF(B12="出让",IF(D13="","",ROUNDDOWN(MIN((D13-$D$3)/365,D14),2)),D14)</f>
        <v/>
      </c>
      <c r="E15" s="1053" t="str">
        <f>IF(B12="出让",IF(E13="","",ROUNDDOWN(MIN((E13-$D$3)/365,E14),2)),E14)</f>
        <v/>
      </c>
      <c r="F15" s="1053">
        <f>IF(B12="出让",IF(F13="","",ROUNDDOWN(MIN((F13-$D$3)/365,F14),2)),F14)</f>
        <v>39.020000000000003</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1802</v>
      </c>
      <c r="B16" s="3086" t="s">
        <v>3052</v>
      </c>
      <c r="C16" s="3087"/>
      <c r="D16" s="3088"/>
      <c r="E16" s="2089" t="s">
        <v>1803</v>
      </c>
      <c r="F16" s="3089" t="s">
        <v>3054</v>
      </c>
      <c r="G16" s="3090"/>
      <c r="H16" s="3090"/>
      <c r="I16" s="3091"/>
      <c r="J16" s="2034"/>
      <c r="K16" s="2086"/>
      <c r="L16" s="2087"/>
      <c r="M16" s="2087"/>
      <c r="N16" s="2088"/>
      <c r="O16" s="2087"/>
      <c r="P16" s="2088"/>
      <c r="Q16" s="2034"/>
      <c r="R16" s="2034"/>
    </row>
    <row r="17" spans="1:22" ht="18" customHeight="1">
      <c r="A17" s="2090" t="s">
        <v>1804</v>
      </c>
      <c r="B17" s="2040" t="s">
        <v>1805</v>
      </c>
      <c r="C17" s="1058">
        <f>'数据-汇总表'!E3</f>
        <v>1952.76</v>
      </c>
      <c r="D17" s="2091" t="s">
        <v>1806</v>
      </c>
      <c r="E17" s="3092" t="s">
        <v>3053</v>
      </c>
      <c r="F17" s="3093"/>
      <c r="G17" s="3093"/>
      <c r="H17" s="3093"/>
      <c r="I17" s="3094"/>
      <c r="J17" s="2034"/>
      <c r="K17" s="2092"/>
      <c r="L17" s="2087"/>
      <c r="M17" s="2087"/>
      <c r="N17" s="2088"/>
      <c r="O17" s="2087"/>
      <c r="P17" s="2088"/>
      <c r="Q17" s="2034"/>
      <c r="R17" s="2034"/>
      <c r="S17" s="2034"/>
      <c r="T17" s="2034"/>
      <c r="U17" s="2034"/>
      <c r="V17" s="2034"/>
    </row>
    <row r="18" spans="1:22" ht="36" customHeight="1" thickBot="1">
      <c r="A18" s="2093" t="s">
        <v>1807</v>
      </c>
      <c r="B18" s="2043" t="s">
        <v>1808</v>
      </c>
      <c r="C18" s="1448">
        <f>'数据-汇总表'!D3</f>
        <v>0</v>
      </c>
      <c r="D18" s="2094" t="s">
        <v>1806</v>
      </c>
      <c r="E18" s="3095"/>
      <c r="F18" s="3096"/>
      <c r="G18" s="3096"/>
      <c r="H18" s="3096"/>
      <c r="I18" s="3097"/>
      <c r="J18" s="2034"/>
      <c r="K18" s="2092"/>
      <c r="L18" s="2087"/>
      <c r="M18" s="2087"/>
      <c r="N18" s="2088"/>
      <c r="O18" s="2087"/>
      <c r="P18" s="2088"/>
      <c r="Q18" s="2034"/>
      <c r="R18" s="2034"/>
      <c r="S18" s="2034"/>
      <c r="T18" s="2034"/>
      <c r="U18" s="2034"/>
      <c r="V18" s="2034"/>
    </row>
    <row r="19" spans="1:22" ht="37.5" customHeight="1" thickTop="1" thickBot="1">
      <c r="A19" s="374" t="s">
        <v>1809</v>
      </c>
      <c r="B19" s="353" t="s">
        <v>1810</v>
      </c>
      <c r="C19" s="2095" t="s">
        <v>3055</v>
      </c>
      <c r="D19" s="2096" t="s">
        <v>1811</v>
      </c>
      <c r="E19" s="2097" t="s">
        <v>70</v>
      </c>
      <c r="F19" s="2098" t="str">
        <f>IF(AND(C19="是",E19="否"),"是否提供他项权证或相关说明","")</f>
        <v/>
      </c>
      <c r="G19" s="2099" t="s">
        <v>70</v>
      </c>
      <c r="H19" s="2047"/>
      <c r="I19" s="2047"/>
      <c r="J19" s="2047"/>
      <c r="K19" s="2057"/>
      <c r="L19" s="2033"/>
      <c r="M19" s="2033"/>
      <c r="N19" s="2088"/>
      <c r="O19" s="2087"/>
      <c r="P19" s="2088"/>
      <c r="Q19" s="2034"/>
      <c r="R19" s="2034"/>
      <c r="S19" s="2034"/>
      <c r="T19" s="2034"/>
      <c r="U19" s="2034"/>
      <c r="V19" s="2034"/>
    </row>
    <row r="20" spans="1:22" ht="18" customHeight="1">
      <c r="A20" s="2100" t="s">
        <v>1812</v>
      </c>
      <c r="B20" s="3082" t="s">
        <v>1813</v>
      </c>
      <c r="C20" s="3083"/>
      <c r="D20" s="3084" t="s">
        <v>1814</v>
      </c>
      <c r="E20" s="3085"/>
      <c r="F20" s="2101" t="s">
        <v>1815</v>
      </c>
      <c r="G20" s="2047"/>
      <c r="H20" s="2047"/>
      <c r="I20" s="2047"/>
      <c r="J20" s="2047"/>
      <c r="K20" s="3081" t="s">
        <v>1816</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8"/>
      <c r="O20" s="2087"/>
      <c r="P20" s="2088"/>
      <c r="Q20" s="2034"/>
      <c r="R20" s="2034"/>
      <c r="S20" s="2034"/>
      <c r="T20" s="2034"/>
      <c r="U20" s="2034"/>
      <c r="V20" s="2034"/>
    </row>
    <row r="21" spans="1:22" ht="24.75" customHeight="1">
      <c r="A21" s="2100"/>
      <c r="B21" s="2102" t="s">
        <v>1817</v>
      </c>
      <c r="C21" s="2103" t="s">
        <v>3056</v>
      </c>
      <c r="D21" s="2104"/>
      <c r="E21" s="2105" t="s">
        <v>1818</v>
      </c>
      <c r="F21" s="2106"/>
      <c r="G21" s="2047"/>
      <c r="H21" s="2047"/>
      <c r="I21" s="2047"/>
      <c r="J21" s="2047"/>
      <c r="K21" s="3081"/>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70</v>
      </c>
      <c r="C22" s="2103" t="s">
        <v>70</v>
      </c>
      <c r="D22" s="2031"/>
      <c r="E22" s="2031"/>
      <c r="F22" s="2108"/>
      <c r="G22" s="2047"/>
      <c r="H22" s="2047"/>
      <c r="I22" s="2047"/>
      <c r="J22" s="2047"/>
      <c r="K22" s="3081"/>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1819</v>
      </c>
      <c r="B23" s="184" t="s">
        <v>1820</v>
      </c>
      <c r="C23" s="2110"/>
      <c r="D23" s="2111" t="s">
        <v>1820</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1821</v>
      </c>
      <c r="C24" s="2115"/>
      <c r="D24" s="2109" t="s">
        <v>1821</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1822</v>
      </c>
      <c r="C25" s="2115"/>
      <c r="D25" s="2109" t="s">
        <v>1822</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1823</v>
      </c>
      <c r="C26" s="2119"/>
      <c r="D26" s="2120" t="s">
        <v>1824</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3069" t="s">
        <v>1825</v>
      </c>
      <c r="B27" s="2066" t="s">
        <v>1826</v>
      </c>
      <c r="C27" s="2123" t="s">
        <v>3057</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69"/>
      <c r="B28" s="2040" t="s">
        <v>1827</v>
      </c>
      <c r="C28" s="2125" t="s">
        <v>3058</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69"/>
      <c r="B29" s="2040" t="s">
        <v>1828</v>
      </c>
      <c r="C29" s="2128" t="s">
        <v>3055</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70"/>
      <c r="B30" s="2040" t="s">
        <v>1829</v>
      </c>
      <c r="C30" s="3071"/>
      <c r="D30" s="3072"/>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73" t="s">
        <v>1830</v>
      </c>
      <c r="B31" s="2130" t="s">
        <v>3059</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3074"/>
      <c r="B32" s="2130" t="s">
        <v>3059</v>
      </c>
      <c r="C32" s="2131" t="str">
        <f>IF(B32="现房","成新及维护状况是否正常",IF(B32="在建","工程状态是否正常",IF(B32="土地","是否闲置","-")))</f>
        <v>成新及维护状况是否正常</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3074"/>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1831</v>
      </c>
      <c r="B34" s="2137" t="s">
        <v>3060</v>
      </c>
      <c r="C34" s="2137" t="s">
        <v>3061</v>
      </c>
      <c r="D34" s="2137" t="s">
        <v>3062</v>
      </c>
      <c r="E34" s="2137" t="s">
        <v>3063</v>
      </c>
      <c r="F34" s="2137" t="s">
        <v>3064</v>
      </c>
      <c r="G34" s="2137" t="s">
        <v>3065</v>
      </c>
      <c r="H34" s="2137" t="s">
        <v>3066</v>
      </c>
      <c r="I34" s="2047"/>
      <c r="J34" s="2047"/>
      <c r="K34" s="1800">
        <f>COUNTIF(B34:H34,"——")</f>
        <v>0</v>
      </c>
      <c r="L34" s="2078" t="s">
        <v>1832</v>
      </c>
      <c r="M34" s="2078" t="s">
        <v>1833</v>
      </c>
      <c r="N34" s="2078" t="s">
        <v>1834</v>
      </c>
      <c r="O34" s="2078" t="s">
        <v>1835</v>
      </c>
      <c r="P34" s="2078" t="s">
        <v>1836</v>
      </c>
      <c r="Q34" s="2078" t="s">
        <v>1837</v>
      </c>
      <c r="R34" s="2078" t="s">
        <v>1838</v>
      </c>
      <c r="S34" s="3068" t="s">
        <v>1839</v>
      </c>
      <c r="T34" s="2138" t="str">
        <f>NUMBERSTRING(7-K34,1)&amp;"通"</f>
        <v>七通</v>
      </c>
      <c r="U34" s="2034"/>
      <c r="V34" s="2034"/>
    </row>
    <row r="35" spans="1:22" ht="18" customHeight="1">
      <c r="A35" s="2139"/>
      <c r="B35" s="3075" t="s">
        <v>1840</v>
      </c>
      <c r="C35" s="3075"/>
      <c r="D35" s="3075"/>
      <c r="E35" s="3075"/>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8"/>
      <c r="T35" s="48" t="str">
        <f>IF(T34="一通",L35,IF(T34="二通",M35,IF(T34="三通",N35,IF(T34="四通",O35,IF(T34="五通",P35,IF(T34="六通",Q35,R35))))))</f>
        <v>通路、通电、通讯、通上水、通下水、通热、燃气</v>
      </c>
      <c r="U35" s="2034"/>
      <c r="V35" s="2034"/>
    </row>
    <row r="36" spans="1:22" ht="18" customHeight="1">
      <c r="A36" s="2141"/>
      <c r="B36" s="2140" t="s">
        <v>1841</v>
      </c>
      <c r="C36" s="2140" t="s">
        <v>1842</v>
      </c>
      <c r="D36" s="2140" t="s">
        <v>1843</v>
      </c>
      <c r="E36" s="2140" t="s">
        <v>1844</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1845</v>
      </c>
      <c r="B37" s="2144"/>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1846</v>
      </c>
      <c r="B38" s="2146"/>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1848</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1849</v>
      </c>
      <c r="B42" s="1800" t="s">
        <v>1850</v>
      </c>
      <c r="C42" s="1800" t="s">
        <v>1851</v>
      </c>
      <c r="D42" s="1800" t="s">
        <v>1852</v>
      </c>
      <c r="E42" s="1800" t="s">
        <v>1853</v>
      </c>
      <c r="F42" s="1800" t="s">
        <v>1854</v>
      </c>
      <c r="G42" s="1800" t="s">
        <v>1855</v>
      </c>
      <c r="H42" s="1800" t="s">
        <v>1856</v>
      </c>
      <c r="I42" s="1800" t="s">
        <v>1857</v>
      </c>
      <c r="J42" s="2156" t="s">
        <v>1858</v>
      </c>
      <c r="K42" s="2079" t="s">
        <v>1859</v>
      </c>
      <c r="L42" s="2079" t="s">
        <v>1860</v>
      </c>
      <c r="M42" s="2079" t="s">
        <v>1861</v>
      </c>
      <c r="N42" s="1800" t="s">
        <v>1862</v>
      </c>
      <c r="O42" s="1800" t="s">
        <v>1863</v>
      </c>
      <c r="P42" s="1800" t="s">
        <v>1864</v>
      </c>
      <c r="Q42" s="2078" t="s">
        <v>1865</v>
      </c>
      <c r="R42" s="2078" t="s">
        <v>1866</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1872</v>
      </c>
      <c r="AZ2" s="1274"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4942.2700000000004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8"/>
      <c r="C5" s="1808"/>
      <c r="D5" s="1811"/>
      <c r="E5" s="16" t="s">
        <v>1</v>
      </c>
      <c r="F5" s="16">
        <f>SUM(F13:F587)</f>
        <v>0</v>
      </c>
      <c r="G5" s="16">
        <f>SUM(G13:G587)</f>
        <v>4942.2700000000004</v>
      </c>
      <c r="H5" s="16">
        <f t="shared" ref="H5:AT5" si="0">SUM(H13:H656)</f>
        <v>4942.2700000000004</v>
      </c>
      <c r="I5" s="16">
        <f t="shared" si="0"/>
        <v>4942.2700000000004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1952.76</v>
      </c>
      <c r="BA5" s="18">
        <f t="shared" si="1"/>
        <v>1952.76</v>
      </c>
      <c r="BB5" s="18">
        <f t="shared" si="1"/>
        <v>1952.76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1885</v>
      </c>
      <c r="AV7" s="23" t="s">
        <v>1886</v>
      </c>
      <c r="AW7" s="2170" t="s">
        <v>1887</v>
      </c>
      <c r="AX7" s="23" t="s">
        <v>1880</v>
      </c>
      <c r="AY7" s="1808"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3"/>
      <c r="K8" s="1823"/>
      <c r="L8" s="1823"/>
      <c r="M8" s="1823"/>
      <c r="N8" s="1823"/>
      <c r="O8" s="1823"/>
      <c r="P8" s="1823"/>
      <c r="Q8" s="1823"/>
      <c r="R8" s="1823"/>
      <c r="S8" s="1823"/>
      <c r="T8" s="1823"/>
      <c r="U8" s="1823"/>
      <c r="V8" s="2190"/>
      <c r="W8" s="1823"/>
      <c r="X8" s="1823"/>
      <c r="Y8" s="1823"/>
      <c r="Z8" s="1823"/>
      <c r="AA8" s="2190"/>
      <c r="AB8" s="2191"/>
      <c r="AC8" s="985" t="s">
        <v>1891</v>
      </c>
      <c r="AD8" s="2192"/>
      <c r="AE8" s="2184"/>
      <c r="AF8" s="1823"/>
      <c r="AG8" s="1823"/>
      <c r="AH8" s="1823"/>
      <c r="AI8" s="1823"/>
      <c r="AJ8" s="1823"/>
      <c r="AK8" s="1823"/>
      <c r="AL8" s="1823"/>
      <c r="AM8" s="1823"/>
      <c r="AN8" s="1823"/>
      <c r="AO8" s="1823"/>
      <c r="AP8" s="1823"/>
      <c r="AQ8" s="1823"/>
      <c r="AR8" s="1823"/>
      <c r="AS8" s="1823"/>
      <c r="AT8" s="1296" t="s">
        <v>1892</v>
      </c>
      <c r="AU8" s="2186" t="s">
        <v>1893</v>
      </c>
      <c r="AV8" s="1296"/>
      <c r="AW8" s="2169"/>
      <c r="AX8" s="1296"/>
      <c r="AY8" s="2170"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1896</v>
      </c>
      <c r="I9" s="2195" t="s">
        <v>3070</v>
      </c>
      <c r="J9" s="985"/>
      <c r="K9" s="2195"/>
      <c r="L9" s="985"/>
      <c r="M9" s="2195"/>
      <c r="N9" s="985"/>
      <c r="O9" s="2195"/>
      <c r="P9" s="985"/>
      <c r="Q9" s="2195"/>
      <c r="R9" s="985"/>
      <c r="S9" s="2195"/>
      <c r="T9" s="985"/>
      <c r="U9" s="2195"/>
      <c r="V9" s="985"/>
      <c r="W9" s="2195"/>
      <c r="X9" s="2196"/>
      <c r="Y9" s="2195"/>
      <c r="Z9" s="985"/>
      <c r="AA9" s="2195"/>
      <c r="AB9" s="985"/>
      <c r="AC9" s="2187"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7"/>
      <c r="AT9" s="2186"/>
      <c r="AU9" s="2186" t="s">
        <v>1899</v>
      </c>
      <c r="AV9" s="1296"/>
      <c r="AW9" s="2169"/>
      <c r="AX9" s="1296"/>
      <c r="AY9" s="28"/>
      <c r="AZ9" s="28" t="s">
        <v>1889</v>
      </c>
      <c r="BA9" s="2198" t="s">
        <v>1900</v>
      </c>
      <c r="BB9" s="2199"/>
      <c r="BC9" s="1342"/>
      <c r="BD9" s="1342"/>
      <c r="BE9" s="1342"/>
      <c r="BF9" s="1342"/>
      <c r="BG9" s="1342"/>
      <c r="BH9" s="1342"/>
      <c r="BI9" s="1342"/>
      <c r="BJ9" s="1342"/>
      <c r="BK9" s="2200"/>
      <c r="BL9" s="15" t="s">
        <v>1901</v>
      </c>
      <c r="BM9" s="1823"/>
      <c r="BN9" s="2189"/>
      <c r="BO9" s="1823"/>
      <c r="BP9" s="1823"/>
      <c r="BQ9" s="1823"/>
      <c r="BR9" s="1823"/>
      <c r="BS9" s="1823"/>
      <c r="BT9" s="26"/>
    </row>
    <row r="10" spans="1:72" s="2193" customFormat="1" ht="12.75">
      <c r="A10" s="2186"/>
      <c r="B10" s="2186"/>
      <c r="C10" s="2186"/>
      <c r="D10" s="2186"/>
      <c r="E10" s="2186"/>
      <c r="F10" s="2186"/>
      <c r="G10" s="1296"/>
      <c r="H10" s="28"/>
      <c r="I10" s="2195" t="s">
        <v>27</v>
      </c>
      <c r="J10" s="985"/>
      <c r="K10" s="2201"/>
      <c r="L10" s="985"/>
      <c r="M10" s="2201"/>
      <c r="N10" s="985"/>
      <c r="O10" s="2201"/>
      <c r="P10" s="985"/>
      <c r="Q10" s="2201"/>
      <c r="R10" s="985"/>
      <c r="S10" s="2201"/>
      <c r="T10" s="985"/>
      <c r="U10" s="2201"/>
      <c r="V10" s="985"/>
      <c r="W10" s="2201"/>
      <c r="X10" s="985"/>
      <c r="Y10" s="2201"/>
      <c r="Z10" s="985"/>
      <c r="AA10" s="2201"/>
      <c r="AB10" s="985"/>
      <c r="AC10" s="1296"/>
      <c r="AD10" s="15" t="s">
        <v>1902</v>
      </c>
      <c r="AE10" s="2202"/>
      <c r="AF10" s="15" t="s">
        <v>1902</v>
      </c>
      <c r="AG10" s="2202"/>
      <c r="AH10" s="15" t="s">
        <v>1903</v>
      </c>
      <c r="AI10" s="2202"/>
      <c r="AJ10" s="15" t="s">
        <v>1903</v>
      </c>
      <c r="AK10" s="2202"/>
      <c r="AL10" s="15" t="s">
        <v>1904</v>
      </c>
      <c r="AM10" s="1302"/>
      <c r="AN10" s="15" t="s">
        <v>1904</v>
      </c>
      <c r="AO10" s="1302"/>
      <c r="AP10" s="15" t="s">
        <v>1905</v>
      </c>
      <c r="AQ10" s="1302"/>
      <c r="AR10" s="15" t="s">
        <v>1905</v>
      </c>
      <c r="AS10" s="1302"/>
      <c r="AT10" s="2186"/>
      <c r="AU10" s="2186"/>
      <c r="AV10" s="1296"/>
      <c r="AW10" s="2169"/>
      <c r="AX10" s="1296"/>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1906</v>
      </c>
      <c r="AE11" s="1824"/>
      <c r="AF11" s="2208" t="s">
        <v>1906</v>
      </c>
      <c r="AG11" s="1824"/>
      <c r="AH11" s="2208" t="s">
        <v>1907</v>
      </c>
      <c r="AI11" s="2209"/>
      <c r="AJ11" s="2208" t="s">
        <v>1907</v>
      </c>
      <c r="AK11" s="1824"/>
      <c r="AL11" s="1822"/>
      <c r="AM11" s="1824"/>
      <c r="AN11" s="1822"/>
      <c r="AO11" s="1824"/>
      <c r="AP11" s="1822"/>
      <c r="AQ11" s="1824"/>
      <c r="AR11" s="1822"/>
      <c r="AS11" s="1824"/>
      <c r="AT11" s="2169"/>
      <c r="AU11" s="2186"/>
      <c r="AV11" s="1296"/>
      <c r="AW11" s="2169"/>
      <c r="AX11" s="1296"/>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3"/>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51">
      <c r="A13" s="1276" t="s">
        <v>3071</v>
      </c>
      <c r="B13" s="1276" t="s">
        <v>3067</v>
      </c>
      <c r="C13" s="1276" t="s">
        <v>3068</v>
      </c>
      <c r="D13" s="2217" t="s">
        <v>3069</v>
      </c>
      <c r="E13" s="16">
        <f>IF($C$3="是",ROUND($A$3*G13/$B$3,2),ROUND($A$3*(G13-AT13)/$B$3,2))</f>
        <v>0</v>
      </c>
      <c r="F13" s="32"/>
      <c r="G13" s="33">
        <f>H13+AC13+AT13</f>
        <v>1952.76</v>
      </c>
      <c r="H13" s="20">
        <f>SUMIF(I$12:AB$12,"总值",I13:AB13)</f>
        <v>1952.76</v>
      </c>
      <c r="I13" s="2218">
        <v>1952.76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西城区广安门外大街168号1幢3层1-301</v>
      </c>
      <c r="AW13" s="11" t="str">
        <f t="shared" si="6"/>
        <v>X京房权证西字第095650号</v>
      </c>
      <c r="AX13" s="11" t="str">
        <f t="shared" si="6"/>
        <v>1-301</v>
      </c>
      <c r="AY13" s="1811">
        <f>ROUND($AY$6*AZ13/$AZ$5,2)</f>
        <v>0</v>
      </c>
      <c r="AZ13" s="16">
        <f>BA13+BL13</f>
        <v>1952.76</v>
      </c>
      <c r="BA13" s="16">
        <f>SUM(BB13:BK13)</f>
        <v>1952.76</v>
      </c>
      <c r="BB13" s="16">
        <f>IF($D13="是",I13-J13,0)</f>
        <v>1952.76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51">
      <c r="A14" s="1276" t="s">
        <v>3072</v>
      </c>
      <c r="B14" s="1276" t="s">
        <v>3073</v>
      </c>
      <c r="C14" s="1276" t="s">
        <v>3074</v>
      </c>
      <c r="D14" s="2217"/>
      <c r="E14" s="16">
        <f>IF($C$3="是",ROUND($A$3*G14/$B$3,2),ROUND($A$3*(G14-AT14)/$B$3,2))</f>
        <v>0</v>
      </c>
      <c r="F14" s="32"/>
      <c r="G14" s="33">
        <f>H14+AC14+AT14</f>
        <v>1952.76</v>
      </c>
      <c r="H14" s="20">
        <f>SUMIF(I$12:AB$12,"总值",I14:AB14)</f>
        <v>1952.76</v>
      </c>
      <c r="I14" s="2218">
        <v>1952.76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t="str">
        <f t="shared" si="6"/>
        <v>西城区广安门外大街168号1幢4层1-501</v>
      </c>
      <c r="AW14" s="11" t="str">
        <f t="shared" si="6"/>
        <v>X京房权证西字第095663号</v>
      </c>
      <c r="AX14" s="11" t="str">
        <f t="shared" si="6"/>
        <v>1-501</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51">
      <c r="A15" s="1276" t="s">
        <v>3075</v>
      </c>
      <c r="B15" s="1276" t="s">
        <v>3077</v>
      </c>
      <c r="C15" s="1276" t="s">
        <v>3076</v>
      </c>
      <c r="D15" s="2217"/>
      <c r="E15" s="16">
        <f>IF($C$3="是",ROUND($A$3*G15/$B$3,2),ROUND($A$3*(G15-AT15)/$B$3,2))</f>
        <v>0</v>
      </c>
      <c r="F15" s="32"/>
      <c r="G15" s="33">
        <f>H15+AC15+AT15</f>
        <v>455.72</v>
      </c>
      <c r="H15" s="20">
        <f>SUMIF(I$12:AB$12,"总值",I15:AB15)</f>
        <v>455.72</v>
      </c>
      <c r="I15" s="2218">
        <v>455.72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t="str">
        <f t="shared" si="6"/>
        <v>西城区广安门外大街168号1幢5层1-601</v>
      </c>
      <c r="AW15" s="11" t="str">
        <f t="shared" si="6"/>
        <v>X京房权证西字第095669号</v>
      </c>
      <c r="AX15" s="11" t="str">
        <f t="shared" si="6"/>
        <v>1-601</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51">
      <c r="A16" s="1276" t="s">
        <v>3078</v>
      </c>
      <c r="B16" s="1276" t="s">
        <v>3079</v>
      </c>
      <c r="C16" s="1276" t="s">
        <v>3080</v>
      </c>
      <c r="D16" s="2217"/>
      <c r="E16" s="16">
        <f>IF($C$3="是",ROUND($A$3*G16/$B$3,2),ROUND($A$3*(G16-AT16)/$B$3,2))</f>
        <v>0</v>
      </c>
      <c r="F16" s="32"/>
      <c r="G16" s="33">
        <f>H16+AC16+AT16</f>
        <v>108.39</v>
      </c>
      <c r="H16" s="20">
        <f>SUMIF(I$12:AB$12,"总值",I16:AB16)</f>
        <v>108.39</v>
      </c>
      <c r="I16" s="2218">
        <v>108.39</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t="str">
        <f t="shared" si="6"/>
        <v>西城区广安门外大街168号1幢5层1-602</v>
      </c>
      <c r="AW16" s="11" t="str">
        <f t="shared" si="6"/>
        <v>X京房权证西字第095670号</v>
      </c>
      <c r="AX16" s="11" t="str">
        <f t="shared" si="6"/>
        <v>1-602</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51">
      <c r="A17" s="1276" t="s">
        <v>3081</v>
      </c>
      <c r="B17" s="1276" t="s">
        <v>3082</v>
      </c>
      <c r="C17" s="1276" t="s">
        <v>3083</v>
      </c>
      <c r="D17" s="2217"/>
      <c r="E17" s="16">
        <f>IF($C$3="是",ROUND($A$3*G17/$B$3,2),ROUND($A$3*(G17-AT17)/$B$3,2))</f>
        <v>0</v>
      </c>
      <c r="F17" s="32"/>
      <c r="G17" s="33">
        <f>H17+AC17+AT17</f>
        <v>210.56</v>
      </c>
      <c r="H17" s="20">
        <f>SUMIF(I$12:AB$12,"总值",I17:AB17)</f>
        <v>210.56</v>
      </c>
      <c r="I17" s="2218">
        <v>210.56</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t="str">
        <f t="shared" si="6"/>
        <v>西城区广安门外大街168号1幢5层1-603</v>
      </c>
      <c r="AW17" s="11" t="str">
        <f t="shared" si="6"/>
        <v>X京房权证西字第095673号</v>
      </c>
      <c r="AX17" s="11" t="str">
        <f t="shared" si="6"/>
        <v>1-603</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1276" t="s">
        <v>3085</v>
      </c>
      <c r="B18" s="1276" t="s">
        <v>3084</v>
      </c>
      <c r="C18" s="1276" t="s">
        <v>3086</v>
      </c>
      <c r="D18" s="2222"/>
      <c r="E18" s="35">
        <f t="shared" ref="E18:E112" si="7">IF($C$3="是",ROUND($A$3*G18/$B$3,2),ROUND($A$3*(G18-AT18)/$B$3,2))</f>
        <v>0</v>
      </c>
      <c r="F18" s="36"/>
      <c r="G18" s="37">
        <f t="shared" ref="G18:G109" si="8">H18+AC18+AT18</f>
        <v>262.08</v>
      </c>
      <c r="H18" s="38">
        <f t="shared" ref="H18:H109" si="9">SUMIF(I$12:AB$12,"总值",I18:AB18)</f>
        <v>262.08</v>
      </c>
      <c r="I18" s="39">
        <v>262.08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t="str">
        <f t="shared" ref="AV18:AV112" si="11">A18</f>
        <v>西城区广安门外大街168号1幢3层1-605</v>
      </c>
      <c r="AW18" s="1800" t="str">
        <f t="shared" ref="AW18:AW112" si="12">B18</f>
        <v>X京房权证西字第095671号</v>
      </c>
      <c r="AX18" s="1800" t="str">
        <f t="shared" ref="AX18:AX112" si="13">C18</f>
        <v>1-605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6"/>
      <c r="C1" s="1396"/>
      <c r="D1" s="1396"/>
      <c r="E1" s="1396"/>
      <c r="F1" s="1396"/>
      <c r="G1" s="1396"/>
      <c r="H1" s="1396"/>
      <c r="I1" s="1396"/>
      <c r="J1" s="1396"/>
      <c r="K1" s="1396"/>
      <c r="L1" s="1396"/>
      <c r="M1" s="1396"/>
      <c r="N1" s="1396"/>
      <c r="O1" s="1396"/>
      <c r="P1" s="1396"/>
    </row>
    <row r="2" spans="1:16" ht="15">
      <c r="A2" s="3109" t="s">
        <v>1936</v>
      </c>
      <c r="B2" s="3109"/>
      <c r="C2" s="3109"/>
      <c r="D2" s="971" t="s">
        <v>1912</v>
      </c>
      <c r="E2" s="2231" t="s">
        <v>1913</v>
      </c>
      <c r="F2" s="1396"/>
      <c r="G2" s="2232"/>
      <c r="H2" s="2233"/>
      <c r="I2" s="2234" t="s">
        <v>1937</v>
      </c>
      <c r="J2" s="1396"/>
      <c r="K2" s="1396"/>
      <c r="L2" s="1396"/>
      <c r="M2" s="1396"/>
      <c r="N2" s="1431"/>
      <c r="O2" s="1396"/>
      <c r="P2" s="1396"/>
    </row>
    <row r="3" spans="1:16" ht="15.75" thickBot="1">
      <c r="A3" s="3110" t="s">
        <v>1910</v>
      </c>
      <c r="B3" s="3110"/>
      <c r="C3" s="3110"/>
      <c r="D3" s="46">
        <f>'数据-基础表'!AY6</f>
        <v>0</v>
      </c>
      <c r="E3" s="46">
        <f>'数据-基础表'!AZ5</f>
        <v>1952.76</v>
      </c>
      <c r="F3" s="1396"/>
      <c r="G3" s="1403"/>
      <c r="H3" s="1251" t="s">
        <v>1911</v>
      </c>
      <c r="I3" s="55" t="e">
        <f>ROUND('数据-基础表'!B3/'数据-基础表'!A3,2)</f>
        <v>#DIV/0!</v>
      </c>
      <c r="J3" s="1396"/>
      <c r="K3" s="1396"/>
      <c r="L3" s="1396"/>
      <c r="M3" s="1396"/>
      <c r="N3" s="1431"/>
      <c r="O3" s="1396"/>
      <c r="P3" s="1396"/>
    </row>
    <row r="4" spans="1:16" ht="15">
      <c r="A4" s="3111"/>
      <c r="B4" s="3112"/>
      <c r="C4" s="3113"/>
      <c r="D4" s="2235" t="s">
        <v>1912</v>
      </c>
      <c r="E4" s="2236" t="s">
        <v>1913</v>
      </c>
      <c r="F4" s="1396"/>
      <c r="G4" s="2237" t="s">
        <v>1938</v>
      </c>
      <c r="H4" s="1251" t="s">
        <v>1918</v>
      </c>
      <c r="I4" s="55" t="e">
        <f>ROUND(SUMIF('数据-基础表'!I9:AS9,"地上",'数据-基础表'!I5:AS5)/'数据-基础表'!A3,2)</f>
        <v>#DIV/0!</v>
      </c>
      <c r="J4" s="1396"/>
      <c r="K4" s="1396"/>
      <c r="L4" s="1396"/>
      <c r="M4" s="1396"/>
      <c r="N4" s="1431"/>
      <c r="O4" s="1396"/>
      <c r="P4" s="1396"/>
    </row>
    <row r="5" spans="1:16">
      <c r="A5" s="47" t="s">
        <v>1914</v>
      </c>
      <c r="B5" s="3114" t="s">
        <v>1915</v>
      </c>
      <c r="C5" s="3114"/>
      <c r="D5" s="48">
        <f>ROUND($D$3*E5/$E$3,2)</f>
        <v>0</v>
      </c>
      <c r="E5" s="49">
        <f>SUMIF('数据-基础表'!$11:$11,"住宅",'数据-基础表'!$5:$5)</f>
        <v>0</v>
      </c>
      <c r="F5" s="1396"/>
      <c r="G5" s="1403"/>
      <c r="H5" s="1251" t="s">
        <v>1911</v>
      </c>
      <c r="I5" s="55" t="e">
        <f>ROUND(E31/D31,2)</f>
        <v>#DIV/0!</v>
      </c>
      <c r="J5" s="1396"/>
      <c r="K5" s="1396"/>
      <c r="L5" s="1396"/>
      <c r="M5" s="1396"/>
      <c r="N5" s="1396"/>
      <c r="O5" s="1396"/>
      <c r="P5" s="1396"/>
    </row>
    <row r="6" spans="1:16" ht="15" thickBot="1">
      <c r="A6" s="2238"/>
      <c r="B6" s="3114" t="s">
        <v>1916</v>
      </c>
      <c r="C6" s="3114"/>
      <c r="D6" s="48">
        <f>ROUND($D$3*E6/$E$3,2)</f>
        <v>0</v>
      </c>
      <c r="E6" s="49">
        <f>E3-E5</f>
        <v>1952.76</v>
      </c>
      <c r="F6" s="1396"/>
      <c r="G6" s="2239" t="s">
        <v>1917</v>
      </c>
      <c r="H6" s="1403" t="s">
        <v>1918</v>
      </c>
      <c r="I6" s="943" t="e">
        <f>ROUND(F31/D31,2)</f>
        <v>#DIV/0!</v>
      </c>
      <c r="J6" s="1396"/>
      <c r="K6" s="1396"/>
      <c r="L6" s="1396"/>
      <c r="M6" s="1396"/>
      <c r="N6" s="1396"/>
      <c r="O6" s="1396"/>
      <c r="P6" s="1396"/>
    </row>
    <row r="7" spans="1:16" ht="15">
      <c r="A7" s="3106"/>
      <c r="B7" s="3107"/>
      <c r="C7" s="3108"/>
      <c r="D7" s="2235" t="s">
        <v>1912</v>
      </c>
      <c r="E7" s="2240" t="s">
        <v>1919</v>
      </c>
      <c r="F7" s="1396"/>
      <c r="G7" s="2232" t="s">
        <v>1920</v>
      </c>
      <c r="H7" s="64"/>
      <c r="I7" s="421"/>
      <c r="J7" s="1396"/>
      <c r="K7" s="1396"/>
      <c r="L7" s="1396"/>
      <c r="M7" s="1396"/>
      <c r="N7" s="1396"/>
      <c r="O7" s="1396"/>
      <c r="P7" s="1396"/>
    </row>
    <row r="8" spans="1:16">
      <c r="A8" s="47" t="s">
        <v>1921</v>
      </c>
      <c r="B8" s="50" t="s">
        <v>1922</v>
      </c>
      <c r="C8" s="48" t="s">
        <v>1923</v>
      </c>
      <c r="D8" s="48">
        <f t="shared" ref="D8:D15" si="0">ROUND($D$3*E8/$E$3,2)</f>
        <v>0</v>
      </c>
      <c r="E8" s="51">
        <f>SUMIF('数据-基础表'!BB10:BK10,"地上",'数据-基础表'!BB5:BK5)</f>
        <v>1952.76</v>
      </c>
      <c r="F8" s="1396"/>
      <c r="G8" s="2241"/>
      <c r="H8" s="2241"/>
      <c r="I8" s="1396"/>
      <c r="J8" s="1396"/>
      <c r="K8" s="1396"/>
      <c r="L8" s="1396"/>
      <c r="M8" s="1396"/>
      <c r="N8" s="1396"/>
      <c r="O8" s="1396"/>
      <c r="P8" s="1396"/>
    </row>
    <row r="9" spans="1:16">
      <c r="A9" s="2242"/>
      <c r="B9" s="2243"/>
      <c r="C9" s="48" t="s">
        <v>1924</v>
      </c>
      <c r="D9" s="48">
        <f t="shared" si="0"/>
        <v>0</v>
      </c>
      <c r="E9" s="52">
        <v>0</v>
      </c>
      <c r="F9" s="1396"/>
      <c r="G9" s="2241"/>
      <c r="H9" s="2241"/>
      <c r="I9" s="1396"/>
      <c r="J9" s="1396"/>
      <c r="K9" s="1396"/>
      <c r="L9" s="1396"/>
      <c r="M9" s="1396"/>
      <c r="N9" s="1396"/>
      <c r="O9" s="1396"/>
      <c r="P9" s="1396"/>
    </row>
    <row r="10" spans="1:16">
      <c r="A10" s="2242"/>
      <c r="B10" s="2243"/>
      <c r="C10" s="48" t="s">
        <v>1933</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1925</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1926</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1927</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1939</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1934</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1928</v>
      </c>
      <c r="D16" s="50">
        <f>SUM(D8:D15)</f>
        <v>0</v>
      </c>
      <c r="E16" s="53">
        <f>SUM(E8:E15)</f>
        <v>1952.76</v>
      </c>
      <c r="F16" s="1396"/>
      <c r="G16" s="2241"/>
      <c r="H16" s="2244" t="s">
        <v>1940</v>
      </c>
      <c r="I16" s="2245"/>
      <c r="J16" s="1396"/>
      <c r="K16" s="3103" t="s">
        <v>1940</v>
      </c>
      <c r="L16" s="3104"/>
      <c r="M16" s="3104"/>
      <c r="N16" s="3104"/>
      <c r="O16" s="3104"/>
      <c r="P16" s="3105"/>
    </row>
    <row r="17" spans="1:19" ht="15">
      <c r="A17" s="2246" t="s">
        <v>1941</v>
      </c>
      <c r="B17" s="2247" t="s">
        <v>1942</v>
      </c>
      <c r="C17" s="2248" t="s">
        <v>1943</v>
      </c>
      <c r="D17" s="2249" t="s">
        <v>1931</v>
      </c>
      <c r="E17" s="2250" t="s">
        <v>1932</v>
      </c>
      <c r="F17" s="2251"/>
      <c r="G17" s="2252"/>
      <c r="H17" s="2253" t="s">
        <v>1944</v>
      </c>
      <c r="I17" s="2254" t="s">
        <v>1929</v>
      </c>
      <c r="J17" s="1396"/>
      <c r="K17" s="3100" t="s">
        <v>1945</v>
      </c>
      <c r="L17" s="3101"/>
      <c r="M17" s="3102"/>
      <c r="N17" s="3100" t="s">
        <v>1946</v>
      </c>
      <c r="O17" s="3101"/>
      <c r="P17" s="3102"/>
      <c r="R17" s="2232" t="s">
        <v>1947</v>
      </c>
      <c r="S17" s="64"/>
    </row>
    <row r="18" spans="1:19" ht="15">
      <c r="A18" s="2242"/>
      <c r="B18" s="2255"/>
      <c r="C18" s="2256"/>
      <c r="D18" s="2257"/>
      <c r="E18" s="2258" t="s">
        <v>1948</v>
      </c>
      <c r="F18" s="2259" t="s">
        <v>1949</v>
      </c>
      <c r="G18" s="2260" t="s">
        <v>1950</v>
      </c>
      <c r="H18" s="1266" t="s">
        <v>1951</v>
      </c>
      <c r="I18" s="2261" t="s">
        <v>1952</v>
      </c>
      <c r="J18" s="1396"/>
      <c r="K18" s="1266" t="s">
        <v>1953</v>
      </c>
      <c r="L18" s="2262" t="s">
        <v>1954</v>
      </c>
      <c r="M18" s="1050" t="s">
        <v>1955</v>
      </c>
      <c r="N18" s="1266" t="s">
        <v>1953</v>
      </c>
      <c r="O18" s="2262" t="s">
        <v>1954</v>
      </c>
      <c r="P18" s="1050" t="s">
        <v>1955</v>
      </c>
      <c r="R18" s="1251" t="s">
        <v>1956</v>
      </c>
      <c r="S18" s="1251" t="s">
        <v>1957</v>
      </c>
    </row>
    <row r="19" spans="1:19">
      <c r="A19" s="2263"/>
      <c r="B19" s="50" t="s">
        <v>1930</v>
      </c>
      <c r="C19" s="2944" t="s">
        <v>3087</v>
      </c>
      <c r="D19" s="48">
        <f>ROUND($D$3*E19/$E$3,2)</f>
        <v>0</v>
      </c>
      <c r="E19" s="56">
        <f t="shared" ref="E19:E26" si="1">SUM(F19:G19)</f>
        <v>1952.76</v>
      </c>
      <c r="F19" s="57">
        <f>'数据-基础表'!I13</f>
        <v>1952.76</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0</v>
      </c>
      <c r="S19" s="1252">
        <f t="shared" si="5"/>
        <v>1952.76</v>
      </c>
    </row>
    <row r="20" spans="1:19">
      <c r="A20" s="2267"/>
      <c r="B20" s="50" t="s">
        <v>1958</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1958</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1959</v>
      </c>
      <c r="D27" s="1397">
        <f>SUM(D19:D26)</f>
        <v>0</v>
      </c>
      <c r="E27" s="1398">
        <f>IF(SUM(E19:E26)='数据-基础表'!BA5,SUM(E19:E26),IF(F27="地上面积有误","面积有误","地下面积有误"))</f>
        <v>1952.76</v>
      </c>
      <c r="F27" s="1397">
        <f>IF(SUM(F19:F26)=E8,SUM(F19:F26),"地上面积有误")</f>
        <v>1952.76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1952.76</v>
      </c>
    </row>
    <row r="28" spans="1:19">
      <c r="A28" s="2267"/>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1960</v>
      </c>
      <c r="C29" s="2271"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1963</v>
      </c>
      <c r="D31" s="730">
        <f>D27+D30</f>
        <v>0</v>
      </c>
      <c r="E31" s="730">
        <f>E27+E30</f>
        <v>1952.76</v>
      </c>
      <c r="F31" s="731">
        <f>F27+F30</f>
        <v>1952.76</v>
      </c>
      <c r="G31" s="732">
        <f>G27+G30</f>
        <v>0</v>
      </c>
      <c r="H31" s="1396"/>
      <c r="I31" s="1396"/>
      <c r="J31" s="1396"/>
      <c r="K31" s="1396"/>
      <c r="L31" s="1396"/>
      <c r="M31" s="1396"/>
      <c r="N31" s="1396"/>
      <c r="O31" s="1396"/>
      <c r="P31" s="1396"/>
    </row>
    <row r="32" spans="1:19">
      <c r="A32" s="2237"/>
      <c r="B32" s="2237" t="s">
        <v>1964</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1966</v>
      </c>
      <c r="B2" s="1270">
        <f>项目基本情况!D3</f>
        <v>43047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1973</v>
      </c>
      <c r="B5" s="2294" t="s">
        <v>1974</v>
      </c>
      <c r="C5" s="2295" t="s">
        <v>1975</v>
      </c>
      <c r="D5" s="2296" t="s">
        <v>1976</v>
      </c>
      <c r="E5" s="1272" t="s">
        <v>1977</v>
      </c>
      <c r="F5" s="2297" t="s">
        <v>1978</v>
      </c>
      <c r="G5" s="1272" t="s">
        <v>1979</v>
      </c>
      <c r="H5" s="1272" t="s">
        <v>1980</v>
      </c>
      <c r="I5" s="1272" t="s">
        <v>1981</v>
      </c>
      <c r="J5" s="2298" t="s">
        <v>1982</v>
      </c>
      <c r="K5" s="2299" t="s">
        <v>1983</v>
      </c>
      <c r="L5" s="2300" t="s">
        <v>1984</v>
      </c>
      <c r="M5" s="2301" t="s">
        <v>1985</v>
      </c>
      <c r="N5" s="2302" t="s">
        <v>3088</v>
      </c>
      <c r="O5" s="2300" t="s">
        <v>1986</v>
      </c>
      <c r="P5" s="2303" t="s">
        <v>1987</v>
      </c>
      <c r="Q5" s="69" t="s">
        <v>1988</v>
      </c>
      <c r="R5" s="2304" t="s">
        <v>1989</v>
      </c>
      <c r="S5" s="2305" t="s">
        <v>1990</v>
      </c>
      <c r="T5" s="2306" t="s">
        <v>1991</v>
      </c>
      <c r="U5" s="1271" t="s">
        <v>1992</v>
      </c>
      <c r="V5" s="1272" t="s">
        <v>1993</v>
      </c>
      <c r="W5" s="1272" t="s">
        <v>1994</v>
      </c>
      <c r="X5" s="71"/>
      <c r="Y5" s="70" t="s">
        <v>1995</v>
      </c>
      <c r="Z5" s="2307" t="s">
        <v>1992</v>
      </c>
      <c r="AA5" s="1272" t="s">
        <v>1993</v>
      </c>
      <c r="AB5" s="1272" t="s">
        <v>1994</v>
      </c>
      <c r="AC5" s="71"/>
      <c r="AD5" s="71" t="s">
        <v>1995</v>
      </c>
      <c r="AE5" s="1271" t="s">
        <v>1996</v>
      </c>
      <c r="AF5" s="1272" t="s">
        <v>1997</v>
      </c>
      <c r="AG5" s="70" t="s">
        <v>1998</v>
      </c>
      <c r="AH5" s="1271" t="s">
        <v>1999</v>
      </c>
      <c r="AI5" s="2307" t="s">
        <v>2000</v>
      </c>
      <c r="AJ5" s="2307" t="s">
        <v>2001</v>
      </c>
      <c r="AK5" s="1272" t="s">
        <v>2002</v>
      </c>
      <c r="AL5" s="1272" t="s">
        <v>2003</v>
      </c>
      <c r="AM5" s="70" t="s">
        <v>2004</v>
      </c>
      <c r="AN5" s="2308" t="s">
        <v>2005</v>
      </c>
      <c r="AO5" s="2078" t="s">
        <v>2006</v>
      </c>
      <c r="AP5" s="1253"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办公</v>
      </c>
      <c r="B6" s="2311" t="str">
        <f>IF(A6=0,"","经营性")</f>
        <v>经营性</v>
      </c>
      <c r="C6" s="2312" t="s">
        <v>27</v>
      </c>
      <c r="D6" s="1055">
        <f>SUMIF(项目基本情况!D$12:I$12,C6,项目基本情况!D$14:I$14)</f>
        <v>50</v>
      </c>
      <c r="E6" s="1052">
        <f>IF(B6="","",SUMIF(项目基本情况!D$12:I$12,C6,项目基本情况!D$13:I$13))</f>
        <v>57292</v>
      </c>
      <c r="F6" s="72">
        <f>SUMIF(项目基本情况!D$12:I$12,C6,项目基本情况!D$15:I$15)</f>
        <v>39.020000000000003</v>
      </c>
      <c r="G6" s="73">
        <f>IF(ISERROR(ROUND(POWER(1+H6,D6-F6)*(POWER(1+H6,F6)-1)/(POWER(1+H6,D6)-1),3)),0,ROUND(POWER(1+H6,D6-F6)*(POWER(1+H6,F6)-1)/(POWER(1+H6,D6)-1),3))</f>
        <v>0.92300000000000004</v>
      </c>
      <c r="H6" s="803">
        <v>4.4999999999999998E-2</v>
      </c>
      <c r="I6" s="803">
        <v>0.05</v>
      </c>
      <c r="J6" s="74">
        <v>8.5000000000000006E-2</v>
      </c>
      <c r="K6" s="1255">
        <f>SUMIF('数据-汇总表'!C$19:C$33,A6,'数据-汇总表'!E$19:E$33)</f>
        <v>1952.76</v>
      </c>
      <c r="L6" s="804">
        <v>3000</v>
      </c>
      <c r="M6" s="75">
        <f t="shared" ref="M6:M14" si="0">ROUND(K6*L6/10000,0)</f>
        <v>586</v>
      </c>
      <c r="N6" s="802">
        <v>0.85</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3023">
        <f>租金明细表!I24</f>
        <v>6.26</v>
      </c>
      <c r="V6" s="79">
        <v>0</v>
      </c>
      <c r="W6" s="79">
        <v>0</v>
      </c>
      <c r="X6" s="1265"/>
      <c r="Y6" s="80">
        <v>0.85</v>
      </c>
      <c r="Z6" s="3368">
        <f>ROUND('比较法-办公 (租金)'!C50*(1+AA6)^AF6,1)</f>
        <v>6.9</v>
      </c>
      <c r="AA6" s="74">
        <v>0.03</v>
      </c>
      <c r="AB6" s="74">
        <v>0.1</v>
      </c>
      <c r="AC6" s="1265"/>
      <c r="AD6" s="3369">
        <v>0.8</v>
      </c>
      <c r="AE6" s="1266">
        <f ca="1">IF(AN6="",0,SUMIF(INDIRECT("'"&amp;AN6&amp;"'"&amp;"!E:E"),$AE$5,INDIRECT("'"&amp;AN6&amp;"'"&amp;"!F:F")))</f>
        <v>39.020000000000003</v>
      </c>
      <c r="AF6" s="1809">
        <f>年期修正系数!C4</f>
        <v>2.4700000000000002</v>
      </c>
      <c r="AG6" s="147">
        <f ca="1">IF(AF6="",0,AE6-AF6)</f>
        <v>36.550000000000004</v>
      </c>
      <c r="AH6" s="83"/>
      <c r="AI6" s="85">
        <v>365</v>
      </c>
      <c r="AJ6" s="86"/>
      <c r="AK6" s="87">
        <v>0.02</v>
      </c>
      <c r="AL6" s="88">
        <v>2E-3</v>
      </c>
      <c r="AM6" s="89">
        <v>0.02</v>
      </c>
      <c r="AN6" s="2313" t="s">
        <v>3214</v>
      </c>
      <c r="AO6" s="55">
        <f ca="1">SUMIF(INDIRECT("'"&amp;AN6&amp;"'"&amp;"!A:A"),"总价",INDIRECT("'"&amp;AN6&amp;"'"&amp;"!B:B"))</f>
        <v>9498</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2010</v>
      </c>
      <c r="B14" s="2311" t="s">
        <v>2011</v>
      </c>
      <c r="C14" s="2316"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2012</v>
      </c>
      <c r="B15" s="2311" t="s">
        <v>2011</v>
      </c>
      <c r="C15" s="2316"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2014</v>
      </c>
      <c r="B16" s="97"/>
      <c r="C16" s="1009"/>
      <c r="D16" s="2318"/>
      <c r="E16" s="97"/>
      <c r="F16" s="97"/>
      <c r="G16" s="98">
        <f>ROUND(SUMPRODUCT(G6:G13,K6:K13)/SUMPRODUCT((G6:G13&gt;0)*(K6:K13)),3)</f>
        <v>0.92300000000000004</v>
      </c>
      <c r="H16" s="99">
        <f>ROUND(SUMPRODUCT(H6:H13,K6:K13)/SUMPRODUCT((H6:H13&gt;0)*(K6:K13)),3)</f>
        <v>4.4999999999999998E-2</v>
      </c>
      <c r="I16" s="100"/>
      <c r="J16" s="100"/>
      <c r="K16" s="101">
        <f>SUM(K6:K15)</f>
        <v>1952.76</v>
      </c>
      <c r="L16" s="102">
        <f>ROUND(M16*10000/SUM(K6:K14),0)</f>
        <v>3001</v>
      </c>
      <c r="M16" s="102">
        <f>SUM(M6:M14)</f>
        <v>586</v>
      </c>
      <c r="N16" s="103">
        <f>ROUND(SUMPRODUCT(M6:M14,N6:N14)/M16,3)</f>
        <v>0.85</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2016</v>
      </c>
      <c r="B19" s="112">
        <v>0</v>
      </c>
      <c r="C19" s="2281" t="s">
        <v>2017</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2018</v>
      </c>
      <c r="B20" s="113">
        <v>2</v>
      </c>
      <c r="C20" s="2281" t="s">
        <v>2019</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2020</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2021</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2022</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2023</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2024</v>
      </c>
      <c r="B26" s="2324" t="s">
        <v>2025</v>
      </c>
      <c r="C26" s="2325" t="s">
        <v>2026</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2027</v>
      </c>
      <c r="B27" s="116"/>
      <c r="C27" s="1769" t="s">
        <v>2028</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2029</v>
      </c>
      <c r="B28" s="119">
        <v>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2030</v>
      </c>
      <c r="B29" s="121">
        <v>200</v>
      </c>
      <c r="C29" s="1769" t="s">
        <v>2031</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2032</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2033</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2034</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2035</v>
      </c>
      <c r="B33" s="727">
        <v>0.03</v>
      </c>
      <c r="C33" s="1768" t="s">
        <v>2036</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2037</v>
      </c>
      <c r="B34" s="122">
        <v>0.03</v>
      </c>
      <c r="C34" s="1768" t="s">
        <v>2038</v>
      </c>
      <c r="D34" s="2282" t="s">
        <v>2039</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2040</v>
      </c>
      <c r="B35" s="119">
        <v>100</v>
      </c>
      <c r="C35" s="1768" t="s">
        <v>2041</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2042</v>
      </c>
      <c r="B36" s="123">
        <v>1.4999999999999999E-2</v>
      </c>
      <c r="C36" s="1768" t="s">
        <v>2043</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2044</v>
      </c>
      <c r="B37" s="124">
        <v>0.02</v>
      </c>
      <c r="C37" s="1768" t="s">
        <v>2045</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2046</v>
      </c>
      <c r="B38" s="122">
        <v>0.02</v>
      </c>
      <c r="C38" s="1768" t="s">
        <v>2045</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2047</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2048</v>
      </c>
      <c r="B40" s="1304">
        <f ca="1">存贷款利率!G1</f>
        <v>4.7500000000000001E-2</v>
      </c>
      <c r="C40" s="1768" t="s">
        <v>2049</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2050</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2051</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2052</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2053</v>
      </c>
      <c r="B44" s="128">
        <v>7.0000000000000007E-2</v>
      </c>
      <c r="C44" s="1768" t="s">
        <v>2054</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2055</v>
      </c>
      <c r="B45" s="126">
        <v>0.03</v>
      </c>
      <c r="C45" s="1769" t="s">
        <v>2056</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2057</v>
      </c>
      <c r="B46" s="126">
        <v>0.02</v>
      </c>
      <c r="C46" s="1769" t="s">
        <v>2058</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2059</v>
      </c>
      <c r="B47" s="129">
        <v>0</v>
      </c>
      <c r="C47" s="1769" t="s">
        <v>2060</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2061</v>
      </c>
      <c r="B48" s="130">
        <v>0.03</v>
      </c>
      <c r="C48" s="1776" t="s">
        <v>2062</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2063</v>
      </c>
      <c r="B49" s="126">
        <v>5.0000000000000001E-4</v>
      </c>
      <c r="C49" s="1776" t="s">
        <v>2064</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2065</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2066</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2067</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2068</v>
      </c>
      <c r="B53" s="2340" t="s">
        <v>269</v>
      </c>
      <c r="C53" s="1431" t="s">
        <v>2069</v>
      </c>
      <c r="D53" s="2341" t="s">
        <v>2070</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2071</v>
      </c>
      <c r="B54" s="84">
        <v>30</v>
      </c>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2072</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2073</v>
      </c>
      <c r="B56" s="84">
        <v>18</v>
      </c>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2074</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2075</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2076</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2077</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2078</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2079</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2080</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15" t="s">
        <v>2081</v>
      </c>
      <c r="B1" s="3116"/>
      <c r="C1" s="3116"/>
      <c r="D1" s="3116"/>
      <c r="E1" s="3116"/>
      <c r="F1" s="3116"/>
      <c r="G1" s="311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6" t="s">
        <v>2084</v>
      </c>
      <c r="B3" s="1272" t="s">
        <v>2085</v>
      </c>
      <c r="C3" s="2374" t="s">
        <v>2086</v>
      </c>
      <c r="D3" s="2375"/>
      <c r="E3" s="432" t="s">
        <v>2084</v>
      </c>
      <c r="F3" s="2376" t="s">
        <v>2087</v>
      </c>
      <c r="G3" s="2377" t="s">
        <v>2088</v>
      </c>
      <c r="H3" s="2372"/>
      <c r="I3" s="2372"/>
      <c r="J3" s="2372"/>
      <c r="K3" s="2372"/>
      <c r="L3" s="2372"/>
      <c r="M3" s="2372"/>
      <c r="N3" s="2372"/>
      <c r="O3" s="2372"/>
      <c r="P3" s="2372"/>
      <c r="Q3" s="2372"/>
      <c r="R3" s="2372"/>
    </row>
    <row r="4" spans="1:29" ht="41.25">
      <c r="A4" s="432"/>
      <c r="B4" s="1800" t="s">
        <v>2089</v>
      </c>
      <c r="C4" s="2378" t="s">
        <v>2090</v>
      </c>
      <c r="D4" s="2375"/>
      <c r="E4" s="2379"/>
      <c r="F4" s="42" t="s">
        <v>2091</v>
      </c>
      <c r="G4" s="2380" t="s">
        <v>2092</v>
      </c>
      <c r="H4" s="2372"/>
      <c r="I4" s="2372"/>
      <c r="J4" s="2372"/>
      <c r="K4" s="2372"/>
      <c r="L4" s="2372"/>
      <c r="M4" s="2372"/>
      <c r="N4" s="2372"/>
      <c r="O4" s="2372"/>
      <c r="P4" s="2372"/>
      <c r="Q4" s="2372"/>
      <c r="R4" s="2372"/>
    </row>
    <row r="5" spans="1:29" ht="41.25">
      <c r="A5" s="432"/>
      <c r="B5" s="1800" t="s">
        <v>2093</v>
      </c>
      <c r="C5" s="2378" t="s">
        <v>2094</v>
      </c>
      <c r="D5" s="2375"/>
      <c r="E5" s="2379"/>
      <c r="F5" s="1800" t="s">
        <v>2095</v>
      </c>
      <c r="G5" s="2380" t="s">
        <v>2096</v>
      </c>
      <c r="H5" s="2372"/>
      <c r="I5" s="2372"/>
      <c r="J5" s="2372"/>
      <c r="K5" s="2372"/>
      <c r="L5" s="2372"/>
      <c r="M5" s="2372"/>
      <c r="N5" s="2372"/>
      <c r="O5" s="2372"/>
      <c r="P5" s="2372"/>
      <c r="Q5" s="2372"/>
      <c r="R5" s="2372"/>
    </row>
    <row r="6" spans="1:29" ht="54">
      <c r="A6" s="432"/>
      <c r="B6" s="1800" t="s">
        <v>2097</v>
      </c>
      <c r="C6" s="2380" t="s">
        <v>2092</v>
      </c>
      <c r="D6" s="2375"/>
      <c r="E6" s="2379"/>
      <c r="F6" s="1800" t="s">
        <v>2098</v>
      </c>
      <c r="G6" s="2380" t="s">
        <v>2099</v>
      </c>
      <c r="H6" s="2372"/>
      <c r="I6" s="2372"/>
      <c r="J6" s="2372"/>
      <c r="K6" s="2372"/>
      <c r="L6" s="2372"/>
      <c r="M6" s="2372"/>
      <c r="N6" s="2372"/>
      <c r="O6" s="2372"/>
      <c r="P6" s="2372"/>
      <c r="Q6" s="2372"/>
      <c r="R6" s="2372"/>
    </row>
    <row r="7" spans="1:29" ht="41.25" thickBot="1">
      <c r="A7" s="432"/>
      <c r="B7" s="1800" t="s">
        <v>2095</v>
      </c>
      <c r="C7" s="2380" t="s">
        <v>2096</v>
      </c>
      <c r="D7" s="2381"/>
      <c r="E7" s="2382"/>
      <c r="F7" s="2383" t="s">
        <v>2100</v>
      </c>
      <c r="G7" s="2384" t="s">
        <v>2101</v>
      </c>
      <c r="H7" s="2372"/>
      <c r="I7" s="2372"/>
      <c r="J7" s="2372"/>
      <c r="K7" s="2372"/>
      <c r="L7" s="2372"/>
      <c r="M7" s="2372"/>
      <c r="N7" s="2372"/>
      <c r="O7" s="2372"/>
      <c r="P7" s="2372"/>
      <c r="Q7" s="2372"/>
      <c r="R7" s="2372"/>
    </row>
    <row r="8" spans="1:29" ht="27">
      <c r="A8" s="432"/>
      <c r="B8" s="1800" t="s">
        <v>2098</v>
      </c>
      <c r="C8" s="2380" t="s">
        <v>2099</v>
      </c>
      <c r="D8" s="2381"/>
      <c r="E8" s="2381"/>
      <c r="F8" s="1137"/>
      <c r="G8" s="1137"/>
      <c r="H8" s="2372"/>
      <c r="I8" s="2372"/>
      <c r="J8" s="2372"/>
      <c r="K8" s="2372"/>
      <c r="L8" s="2372"/>
      <c r="M8" s="2372"/>
      <c r="N8" s="2372"/>
      <c r="O8" s="2372"/>
      <c r="P8" s="2372"/>
      <c r="Q8" s="2372"/>
      <c r="R8" s="2372"/>
    </row>
    <row r="9" spans="1:29" ht="27">
      <c r="A9" s="432"/>
      <c r="B9" s="1800" t="s">
        <v>2102</v>
      </c>
      <c r="C9" s="2378" t="s">
        <v>2103</v>
      </c>
      <c r="D9" s="2375"/>
      <c r="E9" s="2381"/>
      <c r="F9" s="1137"/>
      <c r="G9" s="1137"/>
      <c r="H9" s="2372"/>
      <c r="I9" s="2372"/>
      <c r="J9" s="2372"/>
      <c r="K9" s="2372"/>
      <c r="L9" s="2372"/>
      <c r="M9" s="2372"/>
      <c r="N9" s="2372"/>
      <c r="O9" s="2372"/>
      <c r="P9" s="2372"/>
      <c r="Q9" s="2372"/>
      <c r="R9" s="2372"/>
    </row>
    <row r="10" spans="1:29" s="117" customFormat="1" ht="15.75" thickBot="1">
      <c r="A10" s="2385"/>
      <c r="B10" s="2386" t="s">
        <v>2104</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1" t="s">
        <v>2085</v>
      </c>
      <c r="C15" s="2407" t="str">
        <f>C3</f>
        <v>估价对象周边居住用地比例、居住小区规模和社区发展完善程度，综合评价居住社区成熟度一般</v>
      </c>
      <c r="D15" s="2375"/>
      <c r="E15" s="2408" t="s">
        <v>2109</v>
      </c>
      <c r="F15" s="1271" t="s">
        <v>2110</v>
      </c>
      <c r="G15" s="135" t="str">
        <f>G3</f>
        <v>估价对象位于XX开发区，园区建设成熟度XX，产业集聚程度XX</v>
      </c>
    </row>
    <row r="16" spans="1:29" ht="42.75">
      <c r="A16" s="646"/>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6"/>
      <c r="B17" s="2409" t="s">
        <v>2093</v>
      </c>
      <c r="C17" s="2410" t="str">
        <f>C5</f>
        <v>估价对象位于XX商圈，周边办公楼项目较多，入驻率高，办公集聚程度较好</v>
      </c>
      <c r="D17" s="2381"/>
      <c r="E17" s="2411"/>
      <c r="F17" s="2412" t="s">
        <v>2111</v>
      </c>
      <c r="G17" s="1574"/>
    </row>
    <row r="18" spans="1:18" ht="57">
      <c r="A18" s="646"/>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6"/>
      <c r="B19" s="2412" t="s">
        <v>2112</v>
      </c>
      <c r="C19" s="2945" t="s">
        <v>3090</v>
      </c>
      <c r="D19" s="2375"/>
      <c r="E19" s="2411"/>
      <c r="F19" s="1800" t="s">
        <v>2095</v>
      </c>
      <c r="G19" s="136" t="str">
        <f>G5</f>
        <v>估价对象所在区域公共配套设施齐备情况</v>
      </c>
    </row>
    <row r="20" spans="1:18" ht="28.5">
      <c r="A20" s="646"/>
      <c r="B20" s="2412" t="s">
        <v>2113</v>
      </c>
      <c r="C20" s="2410" t="str">
        <f>C9</f>
        <v>区域自然环境：；人文环境；综合评价环境状况一般</v>
      </c>
      <c r="D20" s="2381"/>
      <c r="E20" s="2411"/>
      <c r="F20" s="1800" t="s">
        <v>2114</v>
      </c>
      <c r="G20" s="136" t="str">
        <f>G6</f>
        <v>估价对象所在区域基础设施水平</v>
      </c>
    </row>
    <row r="21" spans="1:18" ht="28.5">
      <c r="A21" s="646"/>
      <c r="B21" s="1800" t="s">
        <v>2095</v>
      </c>
      <c r="C21" s="136" t="str">
        <f>C7</f>
        <v>估价对象所在区域公共配套设施齐备情况</v>
      </c>
      <c r="D21" s="2375"/>
      <c r="E21" s="2411"/>
      <c r="F21" s="2412" t="s">
        <v>2115</v>
      </c>
      <c r="G21" s="2413"/>
    </row>
    <row r="22" spans="1:18" ht="13.5" customHeight="1">
      <c r="A22" s="646"/>
      <c r="B22" s="1800" t="s">
        <v>2098</v>
      </c>
      <c r="C22" s="136" t="str">
        <f>C8</f>
        <v>估价对象所在区域基础设施水平</v>
      </c>
      <c r="D22" s="2375"/>
      <c r="E22" s="2411"/>
      <c r="F22" s="2412" t="s">
        <v>2104</v>
      </c>
      <c r="G22" s="1574"/>
    </row>
    <row r="23" spans="1:18" s="2372" customFormat="1" ht="15.75" thickBot="1">
      <c r="A23" s="646"/>
      <c r="B23" s="2412" t="s">
        <v>2115</v>
      </c>
      <c r="C23" s="2413" t="s">
        <v>3091</v>
      </c>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1952.76</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8502</v>
      </c>
      <c r="C5" s="1748">
        <f ca="1">ROUND(B5*10000/$B$1,0)</f>
        <v>43538</v>
      </c>
      <c r="D5" s="1748" t="e">
        <f ca="1">ROUND(B5*10000/$B$2,0)</f>
        <v>#DIV/0!</v>
      </c>
      <c r="E5" s="1747"/>
      <c r="F5" s="1745"/>
      <c r="G5" s="1745"/>
    </row>
    <row r="6" spans="1:10" ht="16.5">
      <c r="A6" s="1748" t="s">
        <v>1357</v>
      </c>
      <c r="B6" s="1748">
        <f ca="1">SUM(G14:G23)</f>
        <v>8502</v>
      </c>
      <c r="C6" s="1748">
        <f ca="1">ROUND(B6*10000/$B$1,0)</f>
        <v>43538</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1952.76</v>
      </c>
      <c r="C14" s="1746">
        <f>结果表!C118</f>
        <v>0</v>
      </c>
      <c r="D14" s="1746">
        <f ca="1">结果表!H118</f>
        <v>8502</v>
      </c>
      <c r="E14" s="1746">
        <f ca="1">ROUND(D14*10000/B14,0)</f>
        <v>43538</v>
      </c>
      <c r="F14" s="1746" t="e">
        <f ca="1">ROUND(D14*10000/C14,0)</f>
        <v>#DIV/0!</v>
      </c>
      <c r="G14" s="1746">
        <f ca="1">结果表!D122</f>
        <v>8502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F27" sqref="F27"/>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2118</v>
      </c>
      <c r="B1" s="2423"/>
      <c r="C1" s="2424" t="s">
        <v>27</v>
      </c>
      <c r="D1" s="2423"/>
      <c r="E1" s="2423"/>
      <c r="F1" s="2425" t="s">
        <v>2119</v>
      </c>
      <c r="G1" s="2074" t="s">
        <v>3059</v>
      </c>
      <c r="H1" s="2426" t="str">
        <f>IF(G1="现房","——","估价对象范围")</f>
        <v>——</v>
      </c>
      <c r="I1" s="2427" t="s">
        <v>3204</v>
      </c>
    </row>
    <row r="2" spans="1:12" ht="21.75" customHeight="1" thickBot="1">
      <c r="A2" s="3150" t="str">
        <f>项目基本情况!S2</f>
        <v>北京市西城区广安门外大街168号1幢3层1-301等六套办公用房房地产房地产</v>
      </c>
      <c r="B2" s="3151"/>
      <c r="C2" s="3151"/>
      <c r="D2" s="3151"/>
      <c r="E2" s="3151"/>
      <c r="F2" s="3151"/>
      <c r="G2" s="3151"/>
      <c r="H2" s="3151"/>
      <c r="I2" s="3152"/>
    </row>
    <row r="3" spans="1:12" ht="12.75">
      <c r="A3" s="3154" t="s">
        <v>2120</v>
      </c>
      <c r="B3" s="3155"/>
      <c r="C3" s="3155"/>
      <c r="D3" s="3155"/>
      <c r="E3" s="3155"/>
      <c r="F3" s="3155"/>
      <c r="G3" s="3155"/>
      <c r="H3" s="3155"/>
      <c r="I3" s="3155"/>
    </row>
    <row r="4" spans="1:12" ht="14.25">
      <c r="A4" s="2430" t="s">
        <v>2121</v>
      </c>
      <c r="B4" s="2431" t="s">
        <v>2122</v>
      </c>
      <c r="C4" s="2432" t="s">
        <v>3205</v>
      </c>
      <c r="D4" s="2432" t="s">
        <v>3214</v>
      </c>
      <c r="E4" s="3147" t="s">
        <v>2123</v>
      </c>
      <c r="F4" s="3148"/>
      <c r="G4" s="3148"/>
      <c r="H4" s="3148"/>
      <c r="I4" s="3156"/>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30" t="s">
        <v>2124</v>
      </c>
      <c r="B5" s="3068">
        <v>25</v>
      </c>
      <c r="C5" s="3133"/>
      <c r="D5" s="3153"/>
      <c r="E5" s="140" t="s">
        <v>2125</v>
      </c>
      <c r="F5" s="2434"/>
      <c r="G5" s="2434"/>
      <c r="H5" s="2434"/>
      <c r="I5" s="1836"/>
    </row>
    <row r="6" spans="1:12" ht="12.75">
      <c r="A6" s="3130"/>
      <c r="B6" s="3068"/>
      <c r="C6" s="3134"/>
      <c r="D6" s="3153"/>
      <c r="E6" s="140" t="s">
        <v>2126</v>
      </c>
      <c r="F6" s="2434"/>
      <c r="G6" s="2434"/>
      <c r="H6" s="2434"/>
      <c r="I6" s="1836"/>
    </row>
    <row r="7" spans="1:12" ht="12.75">
      <c r="A7" s="3130"/>
      <c r="B7" s="3068"/>
      <c r="C7" s="3135"/>
      <c r="D7" s="3153"/>
      <c r="E7" s="140" t="s">
        <v>2127</v>
      </c>
      <c r="F7" s="2434"/>
      <c r="G7" s="2434"/>
      <c r="H7" s="2434"/>
      <c r="I7" s="1836"/>
    </row>
    <row r="8" spans="1:12" ht="12.75">
      <c r="A8" s="3130" t="s">
        <v>2128</v>
      </c>
      <c r="B8" s="3068">
        <v>15</v>
      </c>
      <c r="C8" s="3133"/>
      <c r="D8" s="3153"/>
      <c r="E8" s="140" t="s">
        <v>2129</v>
      </c>
      <c r="F8" s="2434"/>
      <c r="G8" s="2434"/>
      <c r="H8" s="2434"/>
      <c r="I8" s="1836"/>
    </row>
    <row r="9" spans="1:12" ht="12.75">
      <c r="A9" s="3130"/>
      <c r="B9" s="3068"/>
      <c r="C9" s="3135"/>
      <c r="D9" s="3153"/>
      <c r="E9" s="140" t="s">
        <v>2130</v>
      </c>
      <c r="F9" s="2434"/>
      <c r="G9" s="2434"/>
      <c r="H9" s="2434"/>
      <c r="I9" s="1836"/>
    </row>
    <row r="10" spans="1:12" ht="12.75">
      <c r="A10" s="3130" t="s">
        <v>2131</v>
      </c>
      <c r="B10" s="3068">
        <v>15</v>
      </c>
      <c r="C10" s="3133"/>
      <c r="D10" s="3153"/>
      <c r="E10" s="140" t="s">
        <v>2132</v>
      </c>
      <c r="F10" s="2434"/>
      <c r="G10" s="2434"/>
      <c r="H10" s="2434"/>
      <c r="I10" s="1836"/>
    </row>
    <row r="11" spans="1:12" ht="12.75">
      <c r="A11" s="3130"/>
      <c r="B11" s="3068"/>
      <c r="C11" s="3135"/>
      <c r="D11" s="3153"/>
      <c r="E11" s="140" t="s">
        <v>2133</v>
      </c>
      <c r="F11" s="2434"/>
      <c r="G11" s="2434"/>
      <c r="H11" s="2434"/>
      <c r="I11" s="1836"/>
    </row>
    <row r="12" spans="1:12" ht="12.75">
      <c r="A12" s="3130" t="s">
        <v>2134</v>
      </c>
      <c r="B12" s="3068">
        <v>15</v>
      </c>
      <c r="C12" s="3133"/>
      <c r="D12" s="3153"/>
      <c r="E12" s="140" t="s">
        <v>2135</v>
      </c>
      <c r="F12" s="2434"/>
      <c r="G12" s="2434"/>
      <c r="H12" s="2434"/>
      <c r="I12" s="1836"/>
    </row>
    <row r="13" spans="1:12" ht="12.75">
      <c r="A13" s="3130"/>
      <c r="B13" s="3068"/>
      <c r="C13" s="3135"/>
      <c r="D13" s="3153"/>
      <c r="E13" s="140" t="s">
        <v>2136</v>
      </c>
      <c r="F13" s="2434"/>
      <c r="G13" s="2434"/>
      <c r="H13" s="2434"/>
      <c r="I13" s="1836"/>
    </row>
    <row r="14" spans="1:12" ht="12.75">
      <c r="A14" s="3130" t="s">
        <v>2137</v>
      </c>
      <c r="B14" s="3068">
        <v>30</v>
      </c>
      <c r="C14" s="3133">
        <v>0.5</v>
      </c>
      <c r="D14" s="3153">
        <f>1-C14</f>
        <v>0.5</v>
      </c>
      <c r="E14" s="140" t="s">
        <v>2138</v>
      </c>
      <c r="F14" s="2434"/>
      <c r="G14" s="2434"/>
      <c r="H14" s="2434"/>
      <c r="I14" s="1836"/>
    </row>
    <row r="15" spans="1:12" ht="12.75">
      <c r="A15" s="3130"/>
      <c r="B15" s="3068"/>
      <c r="C15" s="3134"/>
      <c r="D15" s="3153"/>
      <c r="E15" s="140" t="s">
        <v>2139</v>
      </c>
      <c r="F15" s="2434"/>
      <c r="G15" s="2434"/>
      <c r="H15" s="2434"/>
      <c r="I15" s="1836"/>
    </row>
    <row r="16" spans="1:12" ht="12.75">
      <c r="A16" s="3130"/>
      <c r="B16" s="3068"/>
      <c r="C16" s="3135"/>
      <c r="D16" s="3153"/>
      <c r="E16" s="140" t="s">
        <v>2140</v>
      </c>
      <c r="F16" s="2434"/>
      <c r="G16" s="2434"/>
      <c r="H16" s="2434"/>
      <c r="I16" s="1836"/>
    </row>
    <row r="17" spans="1:35" ht="15">
      <c r="A17" s="2435" t="s">
        <v>2141</v>
      </c>
      <c r="B17" s="64"/>
      <c r="C17" s="141">
        <f>SUM(C5:C16)</f>
        <v>0.5</v>
      </c>
      <c r="D17" s="141">
        <f>SUM(D5:D16)</f>
        <v>0.5</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1952.76</v>
      </c>
      <c r="M18" s="2433">
        <f>IF(C1="",'数据-汇总表'!E3,SUMIF(项目类型,C1,'数据-汇总表'!E17:E26))</f>
        <v>1952.76</v>
      </c>
    </row>
    <row r="19" spans="1:35" ht="15">
      <c r="A19" s="2439" t="s">
        <v>2146</v>
      </c>
      <c r="B19" s="2440" t="s">
        <v>2147</v>
      </c>
      <c r="C19" s="143">
        <f ca="1">SUMIF(INDIRECT("'"&amp;C4&amp;"'"&amp;"!A:A"),结果表!B19,INDIRECT("'"&amp;C4&amp;"'"&amp;"!B:B"))</f>
        <v>7506</v>
      </c>
      <c r="D19" s="144">
        <f ca="1">SUMIF(INDIRECT("'"&amp;D4&amp;"'"&amp;"!A:A"),结果表!B19,INDIRECT("'"&amp;D4&amp;"'"&amp;"!B:B"))</f>
        <v>9498</v>
      </c>
      <c r="E19" s="2439" t="s">
        <v>2148</v>
      </c>
      <c r="F19" s="2440" t="s">
        <v>2147</v>
      </c>
      <c r="G19" s="145">
        <f ca="1">ROUND(C19*$C$18+D19*$D$18,0)</f>
        <v>8502</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1" t="s">
        <v>2151</v>
      </c>
      <c r="C20" s="146">
        <f ca="1">SUMIF(INDIRECT("'"&amp;C4&amp;"'"&amp;"!A:A"),结果表!B20,INDIRECT("'"&amp;C4&amp;"'"&amp;"!B:B"))</f>
        <v>38438</v>
      </c>
      <c r="D20" s="147">
        <f ca="1">SUMIF(INDIRECT("'"&amp;D4&amp;"'"&amp;"!A:A"),结果表!B20,INDIRECT("'"&amp;D4&amp;"'"&amp;"!B:B"))</f>
        <v>48639</v>
      </c>
      <c r="E20" s="2442"/>
      <c r="F20" s="1251" t="s">
        <v>2151</v>
      </c>
      <c r="G20" s="148">
        <f ca="1">ROUND(C20*$C$18+D20*$D$18,0)</f>
        <v>43539</v>
      </c>
      <c r="H20" s="984" t="s">
        <v>2152</v>
      </c>
      <c r="I20" s="138"/>
    </row>
    <row r="21" spans="1:35" ht="15" customHeight="1" thickBot="1">
      <c r="A21" s="1004"/>
      <c r="B21" s="2443" t="s">
        <v>2153</v>
      </c>
      <c r="C21" s="790" t="e">
        <f ca="1">ROUND(C19*10000/L19,0)</f>
        <v>#DIV/0!</v>
      </c>
      <c r="D21" s="791" t="e">
        <f ca="1">ROUND(D19*10000/L19,0)</f>
        <v>#DIV/0!</v>
      </c>
      <c r="E21" s="1004"/>
      <c r="F21" s="2443" t="s">
        <v>2153</v>
      </c>
      <c r="G21" s="149" t="e">
        <f ca="1">ROUND(G19*10000/L19,0)</f>
        <v>#DIV/0!</v>
      </c>
      <c r="H21" s="2444" t="s">
        <v>2152</v>
      </c>
      <c r="I21" s="138"/>
    </row>
    <row r="22" spans="1:35" ht="15" thickBot="1">
      <c r="A22" s="2285" t="s">
        <v>2154</v>
      </c>
      <c r="B22" s="2445"/>
      <c r="C22" s="2446"/>
      <c r="D22" s="792">
        <f ca="1">IF(C19&lt;D19,D19/C19-1,C19/D19-1)</f>
        <v>0.26538768984812156</v>
      </c>
      <c r="E22" s="138"/>
      <c r="F22" s="138"/>
      <c r="G22" s="138"/>
      <c r="H22" s="138"/>
      <c r="I22" s="138"/>
    </row>
    <row r="23" spans="1:35" ht="13.5" thickBot="1">
      <c r="A23" s="2423"/>
      <c r="B23" s="2423"/>
      <c r="C23" s="2423"/>
      <c r="D23" s="2423"/>
      <c r="E23" s="138"/>
      <c r="F23" s="138"/>
      <c r="G23" s="138"/>
      <c r="H23" s="138"/>
      <c r="I23" s="138"/>
    </row>
    <row r="24" spans="1:35" ht="14.25">
      <c r="A24" s="3124" t="s">
        <v>2155</v>
      </c>
      <c r="B24" s="2440" t="s">
        <v>2147</v>
      </c>
      <c r="C24" s="145">
        <f>IF(B30=0,0,D30)</f>
        <v>0</v>
      </c>
      <c r="D24" s="2447"/>
      <c r="E24" s="138"/>
      <c r="F24" s="138"/>
      <c r="G24" s="138"/>
      <c r="H24" s="138"/>
      <c r="I24" s="138"/>
    </row>
    <row r="25" spans="1:35" ht="14.25">
      <c r="A25" s="3125"/>
      <c r="B25" s="1251"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2160</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2161</v>
      </c>
      <c r="B32" s="2453"/>
      <c r="C32" s="154">
        <f ca="1">IF(D32="总价",G19-C24,G20-C25)</f>
        <v>8502</v>
      </c>
      <c r="D32" s="2454" t="s">
        <v>2162</v>
      </c>
      <c r="E32" s="138"/>
      <c r="F32" s="138"/>
      <c r="G32" s="138"/>
      <c r="H32" s="138"/>
      <c r="I32" s="138"/>
    </row>
    <row r="33" spans="1:15" ht="15">
      <c r="A33" s="961" t="s">
        <v>2163</v>
      </c>
      <c r="B33" s="2455"/>
      <c r="C33" s="2456" t="s">
        <v>3212</v>
      </c>
      <c r="D33" s="2457" t="s">
        <v>3089</v>
      </c>
      <c r="E33" s="2458" t="s">
        <v>2164</v>
      </c>
      <c r="F33" s="2459" t="str">
        <f>IF(D32="楼面单价","取值（单价）","取值（总价）")</f>
        <v>取值（总价）</v>
      </c>
      <c r="G33" s="138"/>
      <c r="H33" s="138"/>
      <c r="I33" s="138"/>
    </row>
    <row r="34" spans="1:15" ht="15">
      <c r="A34" s="2460"/>
      <c r="B34" s="2461" t="s">
        <v>2165</v>
      </c>
      <c r="C34" s="158">
        <f ca="1">IF(C33="自定义",F34,C32-C35)</f>
        <v>7125</v>
      </c>
      <c r="D34" s="1059">
        <f ca="1">IF(C33="自定义",ROUND(C34/C32,3),IF(C33="收益比率",SUMIF(INDIRECT("'"&amp;D33&amp;"'"&amp;"!b:b"),"土地收益比率",INDIRECT("'"&amp;D33&amp;"'"&amp;"!c:c")),SUMIF(INDIRECT("'"&amp;D33&amp;"'"&amp;"!b:b"),"土地成本比率",INDIRECT("'"&amp;D33&amp;"'"&amp;"!c:c"))))</f>
        <v>0.83799999999999997</v>
      </c>
      <c r="E34" s="2462" t="s">
        <v>2166</v>
      </c>
      <c r="F34" s="1741"/>
      <c r="G34" s="138"/>
      <c r="H34" s="138"/>
      <c r="I34" s="138"/>
    </row>
    <row r="35" spans="1:15" ht="15.75" thickBot="1">
      <c r="A35" s="2463"/>
      <c r="B35" s="2464" t="s">
        <v>2167</v>
      </c>
      <c r="C35" s="1445">
        <f ca="1">IF(C33="自定义",F35,ROUND(C32*D35,0))</f>
        <v>1377</v>
      </c>
      <c r="D35" s="1446">
        <f ca="1">IF(C33="自定义",ROUND(C35/C32,3),IF(C33="收益比率",SUMIF(INDIRECT("'"&amp;D33&amp;"'"&amp;"!b:b"),"建筑物收益比率",INDIRECT("'"&amp;D33&amp;"'"&amp;"!c:c")),SUMIF(INDIRECT("'"&amp;D33&amp;"'"&amp;"!b:b"),"建筑物成本比率",INDIRECT("'"&amp;D33&amp;"'"&amp;"!c:c"))))</f>
        <v>0.16200000000000001</v>
      </c>
      <c r="E35" s="2465" t="s">
        <v>2168</v>
      </c>
      <c r="F35" s="164"/>
      <c r="G35" s="138"/>
      <c r="H35" s="138"/>
      <c r="I35" s="138"/>
    </row>
    <row r="36" spans="1:15" ht="15.75" hidden="1" customHeight="1" thickBot="1">
      <c r="A36" s="3142" t="s">
        <v>2169</v>
      </c>
      <c r="B36" s="2466" t="s">
        <v>2170</v>
      </c>
      <c r="C36" s="155"/>
      <c r="D36" s="2467"/>
      <c r="E36" s="2468"/>
      <c r="F36" s="2469"/>
      <c r="G36" s="138"/>
      <c r="H36" s="138"/>
      <c r="I36" s="138"/>
    </row>
    <row r="37" spans="1:15" ht="15.75" hidden="1" customHeight="1" thickBot="1">
      <c r="A37" s="3143"/>
      <c r="B37" s="2271" t="s">
        <v>2171</v>
      </c>
      <c r="C37" s="157"/>
      <c r="D37" s="1396"/>
      <c r="E37" s="1396"/>
      <c r="F37" s="2469"/>
      <c r="G37" s="138"/>
      <c r="H37" s="138"/>
      <c r="I37" s="138"/>
    </row>
    <row r="38" spans="1:15" ht="15.75" hidden="1" customHeight="1" thickBot="1">
      <c r="A38" s="3144"/>
      <c r="B38" s="2470" t="s">
        <v>2172</v>
      </c>
      <c r="C38" s="728"/>
      <c r="D38" s="2471" t="s">
        <v>2173</v>
      </c>
      <c r="E38" s="1396"/>
      <c r="F38" s="2469"/>
      <c r="G38" s="138"/>
      <c r="H38" s="138"/>
      <c r="I38" s="138"/>
    </row>
    <row r="39" spans="1:15" ht="15" hidden="1" customHeight="1">
      <c r="A39" s="2442" t="s">
        <v>2174</v>
      </c>
      <c r="B39" s="2472" t="s">
        <v>2175</v>
      </c>
      <c r="C39" s="2473" t="s">
        <v>2176</v>
      </c>
      <c r="D39" s="2473" t="s">
        <v>2177</v>
      </c>
      <c r="E39" s="2474" t="s">
        <v>2178</v>
      </c>
      <c r="F39" s="2469"/>
      <c r="G39" s="138"/>
      <c r="H39" s="138"/>
      <c r="I39" s="138"/>
    </row>
    <row r="40" spans="1:15" ht="14.25" hidden="1" customHeight="1">
      <c r="A40" s="2475" t="s">
        <v>2179</v>
      </c>
      <c r="B40" s="159"/>
      <c r="C40" s="160"/>
      <c r="D40" s="160"/>
      <c r="E40" s="161"/>
      <c r="F40" s="2469"/>
      <c r="G40" s="138"/>
      <c r="H40" s="138"/>
      <c r="I40" s="138"/>
    </row>
    <row r="41" spans="1:15" ht="14.25" hidden="1" customHeight="1">
      <c r="A41" s="2475" t="s">
        <v>2180</v>
      </c>
      <c r="B41" s="159"/>
      <c r="C41" s="160"/>
      <c r="D41" s="160"/>
      <c r="E41" s="161"/>
      <c r="F41" s="2469"/>
      <c r="G41" s="138"/>
      <c r="H41" s="138"/>
      <c r="I41" s="138"/>
    </row>
    <row r="42" spans="1:15" ht="15" hidden="1" customHeight="1" thickBot="1">
      <c r="A42" s="2476"/>
      <c r="B42" s="162"/>
      <c r="C42" s="163"/>
      <c r="D42" s="163"/>
      <c r="E42" s="164"/>
      <c r="F42" s="2469"/>
      <c r="G42" s="138"/>
      <c r="H42" s="138"/>
      <c r="I42" s="138"/>
    </row>
    <row r="43" spans="1:15" ht="12.75" hidden="1" customHeight="1">
      <c r="A43" s="2169"/>
      <c r="B43" s="2169"/>
      <c r="C43" s="2169"/>
      <c r="D43" s="2169"/>
      <c r="E43" s="2169"/>
      <c r="F43" s="2477"/>
      <c r="G43" s="2477"/>
      <c r="H43" s="2477"/>
      <c r="I43" s="2478"/>
    </row>
    <row r="44" spans="1:15" ht="18.75" hidden="1" customHeight="1">
      <c r="A44" s="2479" t="s">
        <v>2181</v>
      </c>
      <c r="B44" s="2480"/>
      <c r="C44" s="2480"/>
      <c r="D44" s="2481"/>
      <c r="E44" s="2481"/>
      <c r="F44" s="2482"/>
      <c r="G44" s="2482"/>
      <c r="H44" s="2482"/>
      <c r="I44" s="2482"/>
      <c r="J44" s="2483" t="s">
        <v>2182</v>
      </c>
      <c r="K44" s="2484"/>
      <c r="L44" s="2484"/>
      <c r="M44" s="2484"/>
      <c r="N44" s="2484"/>
      <c r="O44" s="2484"/>
    </row>
    <row r="45" spans="1:15" ht="14.25" hidden="1" customHeight="1" thickBot="1">
      <c r="A45" s="3121" t="s">
        <v>2183</v>
      </c>
      <c r="B45" s="3122"/>
      <c r="C45" s="3123"/>
      <c r="D45" s="165">
        <f ca="1">ROUND(H101*F45,0)</f>
        <v>8502</v>
      </c>
      <c r="E45" s="166" t="s">
        <v>2184</v>
      </c>
      <c r="F45" s="167">
        <v>1</v>
      </c>
      <c r="G45" s="168" t="s">
        <v>2185</v>
      </c>
      <c r="H45" s="138"/>
      <c r="I45" s="138"/>
      <c r="J45" s="3181" t="s">
        <v>2186</v>
      </c>
      <c r="K45" s="3181"/>
      <c r="L45" s="3181"/>
      <c r="M45" s="3181"/>
      <c r="N45" s="3181"/>
      <c r="O45" s="3181"/>
    </row>
    <row r="46" spans="1:15" ht="14.25" hidden="1" customHeight="1">
      <c r="A46" s="3118" t="s">
        <v>2187</v>
      </c>
      <c r="B46" s="3119"/>
      <c r="C46" s="3119"/>
      <c r="D46" s="3119"/>
      <c r="E46" s="3119"/>
      <c r="F46" s="3119"/>
      <c r="G46" s="3120"/>
      <c r="H46" s="2485"/>
      <c r="I46" s="169"/>
      <c r="J46" s="1814">
        <v>1</v>
      </c>
      <c r="K46" s="3181" t="s">
        <v>2188</v>
      </c>
      <c r="L46" s="3181"/>
      <c r="M46" s="3201"/>
      <c r="N46" s="3201"/>
      <c r="O46" s="3201"/>
    </row>
    <row r="47" spans="1:15" ht="12" hidden="1" customHeight="1">
      <c r="A47" s="170" t="s">
        <v>2189</v>
      </c>
      <c r="B47" s="171"/>
      <c r="C47" s="172"/>
      <c r="D47" s="173" t="s">
        <v>2190</v>
      </c>
      <c r="E47" s="24" t="s">
        <v>2191</v>
      </c>
      <c r="F47" s="174" t="s">
        <v>2192</v>
      </c>
      <c r="G47" s="175" t="s">
        <v>2193</v>
      </c>
      <c r="H47" s="2485"/>
      <c r="I47" s="169"/>
      <c r="J47" s="1814">
        <v>2</v>
      </c>
      <c r="K47" s="3181" t="s">
        <v>2194</v>
      </c>
      <c r="L47" s="3181"/>
      <c r="M47" s="3202">
        <f>'数据-取费表'!B2</f>
        <v>43047</v>
      </c>
      <c r="N47" s="3202"/>
      <c r="O47" s="3202"/>
    </row>
    <row r="48" spans="1:15" ht="25.5" hidden="1" customHeight="1">
      <c r="A48" s="3149" t="s">
        <v>2195</v>
      </c>
      <c r="B48" s="3132"/>
      <c r="C48" s="3132"/>
      <c r="D48" s="140">
        <f>IF(H48="情况1",0,IF(H48="情况2",D52,IF(H48="情况3",D53,IF(H48="情况4",D54))))</f>
        <v>0</v>
      </c>
      <c r="E48" s="1803" t="str">
        <f>IF(H48="情况4","(销售额-原购置价)×税（费）率","销售额×税（费）率")</f>
        <v>销售额×税（费）率</v>
      </c>
      <c r="F48" s="176" t="str">
        <f>IF(H48="情况1","免征",'数据-取费表'!B41)</f>
        <v>免征</v>
      </c>
      <c r="G48" s="2486" t="s">
        <v>2196</v>
      </c>
      <c r="H48" s="2487" t="s">
        <v>2197</v>
      </c>
      <c r="I48" s="2485"/>
      <c r="J48" s="1814">
        <v>3</v>
      </c>
      <c r="K48" s="3181" t="s">
        <v>2198</v>
      </c>
      <c r="L48" s="3181"/>
      <c r="M48" s="3203">
        <f ca="1">H101</f>
        <v>8502</v>
      </c>
      <c r="N48" s="3203"/>
      <c r="O48" s="3203"/>
    </row>
    <row r="49" spans="1:35" ht="25.5" hidden="1" customHeight="1">
      <c r="A49" s="177" t="s">
        <v>2199</v>
      </c>
      <c r="B49" s="3117" t="s">
        <v>2200</v>
      </c>
      <c r="C49" s="3117"/>
      <c r="D49" s="178">
        <v>0</v>
      </c>
      <c r="E49" s="23" t="s">
        <v>2201</v>
      </c>
      <c r="F49" s="28" t="s">
        <v>34</v>
      </c>
      <c r="G49" s="3187"/>
      <c r="H49" s="138"/>
      <c r="I49" s="2488"/>
      <c r="J49" s="1814">
        <v>4</v>
      </c>
      <c r="K49" s="3181" t="str">
        <f>IF(项目基本情况!E8="房地产抵押价值","房地产抵押价值","抵押担保权已注销时的房地产抵押价值")</f>
        <v>房地产抵押价值</v>
      </c>
      <c r="L49" s="3181"/>
      <c r="M49" s="3203">
        <f ca="1">IF(项目基本情况!E8="房地产抵押价值",H107,H109)</f>
        <v>8502</v>
      </c>
      <c r="N49" s="3203"/>
      <c r="O49" s="3203"/>
    </row>
    <row r="50" spans="1:35" ht="25.5" hidden="1" customHeight="1">
      <c r="A50" s="179"/>
      <c r="B50" s="3117" t="s">
        <v>2202</v>
      </c>
      <c r="C50" s="3117"/>
      <c r="D50" s="180"/>
      <c r="E50" s="31"/>
      <c r="F50" s="181"/>
      <c r="G50" s="3188"/>
      <c r="H50" s="138"/>
      <c r="I50" s="2488"/>
      <c r="J50" s="3181" t="s">
        <v>2203</v>
      </c>
      <c r="K50" s="3181"/>
      <c r="L50" s="3181"/>
      <c r="M50" s="3181"/>
      <c r="N50" s="3181"/>
      <c r="O50" s="3181"/>
    </row>
    <row r="51" spans="1:35" ht="12" hidden="1" customHeight="1">
      <c r="A51" s="182"/>
      <c r="B51" s="3117" t="s">
        <v>2204</v>
      </c>
      <c r="C51" s="3117"/>
      <c r="D51" s="183"/>
      <c r="E51" s="30"/>
      <c r="F51" s="181"/>
      <c r="G51" s="3189"/>
      <c r="H51" s="138"/>
      <c r="I51" s="2488"/>
      <c r="J51" s="2489" t="s">
        <v>2205</v>
      </c>
      <c r="K51" s="3181" t="s">
        <v>2206</v>
      </c>
      <c r="L51" s="3181"/>
      <c r="M51" s="2489" t="s">
        <v>2207</v>
      </c>
      <c r="N51" s="2489" t="s">
        <v>2208</v>
      </c>
      <c r="O51" s="2489" t="s">
        <v>2209</v>
      </c>
    </row>
    <row r="52" spans="1:35" ht="24" hidden="1" customHeight="1">
      <c r="A52" s="184" t="s">
        <v>2210</v>
      </c>
      <c r="B52" s="3117" t="s">
        <v>2211</v>
      </c>
      <c r="C52" s="3117"/>
      <c r="D52" s="183">
        <f ca="1">ROUND(D45*'数据-取费表'!B41/(1+'数据-取费表'!C42),0)</f>
        <v>453</v>
      </c>
      <c r="E52" s="11" t="s">
        <v>2212</v>
      </c>
      <c r="F52" s="185">
        <f>'数据-取费表'!B41</f>
        <v>5.6000000000000001E-2</v>
      </c>
      <c r="G52" s="2490"/>
      <c r="H52" s="138"/>
      <c r="I52" s="2488"/>
      <c r="J52" s="1814">
        <v>1</v>
      </c>
      <c r="K52" s="3182" t="s">
        <v>2213</v>
      </c>
      <c r="L52" s="3182"/>
      <c r="M52" s="1756">
        <f>D48</f>
        <v>0</v>
      </c>
      <c r="N52" s="1814" t="str">
        <f>E48</f>
        <v>销售额×税（费）率</v>
      </c>
      <c r="O52" s="1757" t="str">
        <f>F48</f>
        <v>免征</v>
      </c>
    </row>
    <row r="53" spans="1:35" ht="12" hidden="1" customHeight="1">
      <c r="A53" s="184" t="s">
        <v>2214</v>
      </c>
      <c r="B53" s="3140" t="s">
        <v>2215</v>
      </c>
      <c r="C53" s="3141"/>
      <c r="D53" s="183">
        <f ca="1">ROUND(D45*'数据-取费表'!B41/(1+'数据-取费表'!C42),0)</f>
        <v>453</v>
      </c>
      <c r="E53" s="11" t="s">
        <v>2212</v>
      </c>
      <c r="F53" s="185">
        <f>'数据-取费表'!B41</f>
        <v>5.6000000000000001E-2</v>
      </c>
      <c r="G53" s="2490"/>
      <c r="H53" s="138"/>
      <c r="I53" s="2488"/>
      <c r="J53" s="1814">
        <v>2</v>
      </c>
      <c r="K53" s="3182" t="s">
        <v>2216</v>
      </c>
      <c r="L53" s="3182"/>
      <c r="M53" s="1756">
        <f t="shared" ref="M53:O54" ca="1" si="0">D55</f>
        <v>4</v>
      </c>
      <c r="N53" s="1814" t="str">
        <f t="shared" si="0"/>
        <v>销售额×税（费）率</v>
      </c>
      <c r="O53" s="1757">
        <f t="shared" si="0"/>
        <v>5.0000000000000001E-4</v>
      </c>
    </row>
    <row r="54" spans="1:35" ht="12" hidden="1" customHeight="1">
      <c r="A54" s="184" t="s">
        <v>2217</v>
      </c>
      <c r="B54" s="3140" t="s">
        <v>2218</v>
      </c>
      <c r="C54" s="3141"/>
      <c r="D54" s="183">
        <f ca="1">C68</f>
        <v>453</v>
      </c>
      <c r="E54" s="30" t="s">
        <v>2219</v>
      </c>
      <c r="F54" s="185">
        <f>'数据-取费表'!B41</f>
        <v>5.6000000000000001E-2</v>
      </c>
      <c r="G54" s="2490"/>
      <c r="H54" s="2491"/>
      <c r="I54" s="2488"/>
      <c r="J54" s="1814">
        <v>3</v>
      </c>
      <c r="K54" s="3182" t="s">
        <v>2220</v>
      </c>
      <c r="L54" s="3182"/>
      <c r="M54" s="1756">
        <f t="shared" ca="1" si="0"/>
        <v>4812</v>
      </c>
      <c r="N54" s="1814" t="str">
        <f t="shared" si="0"/>
        <v>增值额×税（费）率</v>
      </c>
      <c r="O54" s="1758" t="str">
        <f t="shared" si="0"/>
        <v>——</v>
      </c>
    </row>
    <row r="55" spans="1:35" ht="24" hidden="1" customHeight="1">
      <c r="A55" s="3131" t="s">
        <v>2221</v>
      </c>
      <c r="B55" s="3132"/>
      <c r="C55" s="3132"/>
      <c r="D55" s="186">
        <f ca="1">IF(H55="个人住宅",0,ROUND(D45*I55,0))</f>
        <v>4</v>
      </c>
      <c r="E55" s="11" t="s">
        <v>2222</v>
      </c>
      <c r="F55" s="185">
        <f>IF(H55="正常",I55,"免征")</f>
        <v>5.0000000000000001E-4</v>
      </c>
      <c r="G55" s="2490"/>
      <c r="H55" s="2487" t="s">
        <v>2223</v>
      </c>
      <c r="I55" s="187">
        <f>'数据-取费表'!B49</f>
        <v>5.0000000000000001E-4</v>
      </c>
      <c r="J55" s="1814" t="str">
        <f>IF(H59="非个人房产","",4)</f>
        <v/>
      </c>
      <c r="K55" s="3182" t="str">
        <f>IF(H59="非个人房产","——","个人所得税")</f>
        <v>——</v>
      </c>
      <c r="L55" s="3182"/>
      <c r="M55" s="1759" t="str">
        <f>D59</f>
        <v>——</v>
      </c>
      <c r="N55" s="1812" t="str">
        <f>E59</f>
        <v>——</v>
      </c>
      <c r="O55" s="1760" t="str">
        <f>F59</f>
        <v>——</v>
      </c>
    </row>
    <row r="56" spans="1:35" ht="24.75" hidden="1" customHeight="1">
      <c r="A56" s="3131" t="s">
        <v>2224</v>
      </c>
      <c r="B56" s="3132"/>
      <c r="C56" s="3132"/>
      <c r="D56" s="186">
        <f ca="1">IF(H56="个人住宅",D57,D58)</f>
        <v>4812</v>
      </c>
      <c r="E56" s="11" t="s">
        <v>2225</v>
      </c>
      <c r="F56" s="185" t="str">
        <f>IF(H56="正常",F58,"免征")</f>
        <v>——</v>
      </c>
      <c r="G56" s="2492" t="s">
        <v>2226</v>
      </c>
      <c r="H56" s="2493" t="s">
        <v>2223</v>
      </c>
      <c r="I56" s="2494"/>
      <c r="J56" s="1814" t="str">
        <f>IF(项目基本情况!K6="上海银行",IF(J55="",4,J55+1),"")</f>
        <v/>
      </c>
      <c r="K56" s="3205" t="str">
        <f>IF(项目基本情况!K6="上海银行","其他处置费用","")</f>
        <v/>
      </c>
      <c r="L56" s="3206"/>
      <c r="M56" s="1756" t="str">
        <f>IF(项目基本情况!K6="上海银行",M69,"")</f>
        <v/>
      </c>
      <c r="N56" s="3208" t="str">
        <f>IF(项目基本情况!K6="上海银行","包含处置中涉及的律师、诉讼、拍卖、评估等费用","")</f>
        <v/>
      </c>
      <c r="O56" s="3209"/>
    </row>
    <row r="57" spans="1:35" ht="12.75" hidden="1" customHeight="1">
      <c r="A57" s="184" t="s">
        <v>2199</v>
      </c>
      <c r="B57" s="3147" t="s">
        <v>2227</v>
      </c>
      <c r="C57" s="3156"/>
      <c r="D57" s="188">
        <v>0</v>
      </c>
      <c r="E57" s="23" t="s">
        <v>2201</v>
      </c>
      <c r="F57" s="156"/>
      <c r="G57" s="2490"/>
      <c r="H57" s="2494"/>
      <c r="I57" s="2494"/>
      <c r="J57" s="3182">
        <f>IF(AND(J55="",J56=""),4,IF(项目基本情况!K6="上海银行",结果表!J56+1,结果表!J55+1))</f>
        <v>4</v>
      </c>
      <c r="K57" s="3182" t="s">
        <v>2228</v>
      </c>
      <c r="L57" s="2495" t="s">
        <v>2229</v>
      </c>
      <c r="M57" s="1761"/>
      <c r="N57" s="1762">
        <f ca="1">SUMIF(M52:M56,"&lt;9e307")</f>
        <v>4816</v>
      </c>
      <c r="O57" s="2496"/>
      <c r="P57" s="1755">
        <f ca="1">N57/M49</f>
        <v>0.56645495177605265</v>
      </c>
    </row>
    <row r="58" spans="1:35" ht="24.75" hidden="1" customHeight="1">
      <c r="A58" s="184" t="s">
        <v>2210</v>
      </c>
      <c r="B58" s="3147" t="s">
        <v>2230</v>
      </c>
      <c r="C58" s="3148"/>
      <c r="D58" s="186">
        <f ca="1">IF(H58="转让取得",C81,C97)</f>
        <v>4812</v>
      </c>
      <c r="E58" s="11" t="s">
        <v>2225</v>
      </c>
      <c r="F58" s="24" t="s">
        <v>34</v>
      </c>
      <c r="G58" s="2490"/>
      <c r="H58" s="2493" t="s">
        <v>2231</v>
      </c>
      <c r="I58" s="2494"/>
      <c r="J58" s="3182"/>
      <c r="K58" s="3182"/>
      <c r="L58" s="2495" t="s">
        <v>2232</v>
      </c>
      <c r="M58" s="1763"/>
      <c r="N58" s="2497" t="str">
        <f ca="1">NUMBERSTRING(INT(N57*10000),2)&amp;"元整"</f>
        <v>肆仟捌佰壹拾陆万元整</v>
      </c>
      <c r="O58" s="2498"/>
    </row>
    <row r="59" spans="1:35" ht="24.75" hidden="1" customHeight="1" thickBot="1">
      <c r="A59" s="3185" t="s">
        <v>2233</v>
      </c>
      <c r="B59" s="3186"/>
      <c r="C59" s="3186"/>
      <c r="D59" s="189" t="str">
        <f>IF(H59="非个人房产","——",IF(H59="个人住宅",0,ROUND(D45*I59,0)))</f>
        <v>——</v>
      </c>
      <c r="E59" s="190" t="str">
        <f>IF(H59="非个人房产","——","销售额×税（费）率")</f>
        <v>——</v>
      </c>
      <c r="F59" s="191" t="str">
        <f>IF(H59="非个人房产","——",IF(H59="个人住宅","免征",I59))</f>
        <v>——</v>
      </c>
      <c r="G59" s="2499" t="s">
        <v>2226</v>
      </c>
      <c r="H59" s="2493" t="s">
        <v>2234</v>
      </c>
      <c r="I59" s="192">
        <v>0.01</v>
      </c>
      <c r="J59" s="3183">
        <f>J57+1</f>
        <v>5</v>
      </c>
      <c r="K59" s="3182" t="s">
        <v>2235</v>
      </c>
      <c r="L59" s="1814" t="s">
        <v>2229</v>
      </c>
      <c r="M59" s="1764"/>
      <c r="N59" s="1765">
        <f ca="1">M49-N57</f>
        <v>3686</v>
      </c>
      <c r="O59" s="2500"/>
    </row>
    <row r="60" spans="1:35" ht="12" hidden="1" customHeight="1">
      <c r="A60" s="2501"/>
      <c r="B60" s="2423"/>
      <c r="C60" s="2423"/>
      <c r="D60" s="2423"/>
      <c r="E60" s="2170"/>
      <c r="F60" s="2494"/>
      <c r="G60" s="2494"/>
      <c r="H60" s="2502"/>
      <c r="I60" s="138"/>
      <c r="J60" s="3184"/>
      <c r="K60" s="3182"/>
      <c r="L60" s="2495" t="s">
        <v>2232</v>
      </c>
      <c r="M60" s="1763"/>
      <c r="N60" s="2497" t="str">
        <f ca="1">NUMBERSTRING(INT(N59*10000),2)&amp;"元整"</f>
        <v>叁仟陆佰捌拾陆万元整</v>
      </c>
      <c r="O60" s="2498"/>
    </row>
    <row r="61" spans="1:35" ht="13.5" hidden="1" customHeight="1" thickBot="1">
      <c r="A61" s="3129" t="s">
        <v>2236</v>
      </c>
      <c r="B61" s="3129"/>
      <c r="C61" s="3129"/>
      <c r="D61" s="3129"/>
      <c r="E61" s="3129"/>
      <c r="F61" s="2494"/>
      <c r="G61" s="2494"/>
      <c r="H61" s="2502"/>
      <c r="I61" s="138"/>
      <c r="J61" s="1814">
        <f>J59+1</f>
        <v>6</v>
      </c>
      <c r="K61" s="3182" t="s">
        <v>2237</v>
      </c>
      <c r="L61" s="3182"/>
      <c r="M61" s="1766"/>
      <c r="N61" s="1767">
        <f ca="1">ROUND(N59*10000/'数据-汇总表'!E3,0)</f>
        <v>18876</v>
      </c>
      <c r="O61" s="2503"/>
    </row>
    <row r="62" spans="1:35" ht="12.75" hidden="1" customHeight="1">
      <c r="A62" s="3145" t="s">
        <v>2238</v>
      </c>
      <c r="B62" s="3146"/>
      <c r="C62" s="1806"/>
      <c r="D62" s="1806" t="s">
        <v>2239</v>
      </c>
      <c r="E62" s="193" t="s">
        <v>2240</v>
      </c>
      <c r="F62" s="2494"/>
      <c r="G62" s="2494"/>
      <c r="H62" s="2502"/>
      <c r="I62" s="138"/>
    </row>
    <row r="63" spans="1:35" ht="12.75" hidden="1" customHeight="1">
      <c r="A63" s="204" t="s">
        <v>775</v>
      </c>
      <c r="B63" s="194" t="s">
        <v>2241</v>
      </c>
      <c r="C63" s="195">
        <f ca="1">ROUND((C64+C65)/(1+'数据-取费表'!C42),0)</f>
        <v>8097</v>
      </c>
      <c r="D63" s="196"/>
      <c r="E63" s="197"/>
      <c r="F63" s="2494"/>
      <c r="G63" s="2494"/>
      <c r="H63" s="2502"/>
      <c r="I63" s="138"/>
      <c r="J63" s="3207" t="s">
        <v>2242</v>
      </c>
      <c r="K63" s="2504" t="s">
        <v>2243</v>
      </c>
      <c r="L63" s="1754">
        <f ca="1">IF(M49&gt;10000,M49*0.5%,IF(AND(M49&gt;1000,M49&lt;=10000),M49*1%,IF(AND(M49&gt;100,M49&lt;=1000),M49*3%,IF(AND(M49&gt;10,M49&lt;=100),M49*5%,M49*8%))))</f>
        <v>85.02</v>
      </c>
      <c r="M63" s="24">
        <f ca="1">ROUND(L63,1)</f>
        <v>85</v>
      </c>
      <c r="Z63" s="2428"/>
      <c r="AI63" s="2429"/>
    </row>
    <row r="64" spans="1:35" ht="14.25" hidden="1" customHeight="1">
      <c r="A64" s="198" t="s">
        <v>770</v>
      </c>
      <c r="B64" s="199" t="s">
        <v>2244</v>
      </c>
      <c r="C64" s="200">
        <f ca="1">D45</f>
        <v>8502</v>
      </c>
      <c r="D64" s="201" t="s">
        <v>32</v>
      </c>
      <c r="E64" s="202"/>
      <c r="F64" s="2494"/>
      <c r="G64" s="2494"/>
      <c r="H64" s="2502"/>
      <c r="I64" s="138"/>
      <c r="J64" s="3207"/>
      <c r="K64" s="2504" t="s">
        <v>2245</v>
      </c>
      <c r="L64" s="1754">
        <f ca="1">IF(M49&gt;2000,M49*0.5%,IF(AND(M49&gt;1000,M49&lt;=2000),M49*0.6%,IF(AND(M49&gt;500,M49&lt;=1000),M49*0.7%,IF(AND(M49&gt;200,M49&lt;=500),M49*0.8%,IF(AND(M49&gt;100,M49&lt;=200),M49*0.9%,IF(AND(M49&gt;50,M49&lt;=100),M49*1%,IF(AND(M49&gt;20,M49&lt;=50),M49*1.5%,IF(AND(M49&gt;10,M49&lt;=20),M49*2%,IF(AND(M49&gt;1,M49&lt;=10),M49*2.5%)))))))))</f>
        <v>42.51</v>
      </c>
      <c r="M64" s="24">
        <f t="shared" ref="M64:M65" ca="1" si="1">ROUND(L64,1)</f>
        <v>42.5</v>
      </c>
      <c r="N64" s="138" t="s">
        <v>2246</v>
      </c>
      <c r="Z64" s="2428"/>
      <c r="AI64" s="2429"/>
    </row>
    <row r="65" spans="1:35" ht="14.25" hidden="1" customHeight="1">
      <c r="A65" s="198" t="s">
        <v>771</v>
      </c>
      <c r="B65" s="199" t="s">
        <v>2247</v>
      </c>
      <c r="C65" s="203"/>
      <c r="D65" s="201"/>
      <c r="E65" s="202"/>
      <c r="F65" s="2494"/>
      <c r="G65" s="2494"/>
      <c r="H65" s="2502"/>
      <c r="I65" s="138"/>
      <c r="J65" s="3207"/>
      <c r="K65" s="2504" t="s">
        <v>2248</v>
      </c>
      <c r="L65" s="1754">
        <f ca="1">IF(M49&gt;1000,M49*0.1%,IF(AND(M49&gt;500,M49&lt;=1000),M49*0.5%,IF(AND(M49&gt;50,M49&lt;=500),M49*1%,IF(AND(M49&gt;1,M49&lt;=50),M49*1.5%))))</f>
        <v>8.5020000000000007</v>
      </c>
      <c r="M65" s="24">
        <f t="shared" ca="1" si="1"/>
        <v>8.5</v>
      </c>
      <c r="N65" s="138" t="s">
        <v>2246</v>
      </c>
      <c r="Z65" s="2428"/>
      <c r="AI65" s="2429"/>
    </row>
    <row r="66" spans="1:35" ht="14.25" hidden="1" customHeight="1">
      <c r="A66" s="204" t="s">
        <v>772</v>
      </c>
      <c r="B66" s="205" t="s">
        <v>2249</v>
      </c>
      <c r="C66" s="206"/>
      <c r="D66" s="207" t="s">
        <v>32</v>
      </c>
      <c r="E66" s="1778" t="s">
        <v>1372</v>
      </c>
      <c r="F66" s="2494"/>
      <c r="G66" s="2494"/>
      <c r="H66" s="2502"/>
      <c r="I66" s="138"/>
      <c r="J66" s="3207"/>
      <c r="K66" s="2504" t="s">
        <v>2250</v>
      </c>
      <c r="L66" s="1754">
        <f ca="1">M49*0.5%</f>
        <v>42.51</v>
      </c>
      <c r="M66" s="24">
        <f ca="1">IF(L66&gt;0.5,0.5,ROUND(L66,0))</f>
        <v>0.5</v>
      </c>
      <c r="N66" s="138" t="s">
        <v>2251</v>
      </c>
      <c r="Z66" s="2428"/>
      <c r="AI66" s="2429"/>
    </row>
    <row r="67" spans="1:35" ht="14.25" hidden="1" customHeight="1">
      <c r="A67" s="204" t="s">
        <v>773</v>
      </c>
      <c r="B67" s="205" t="s">
        <v>2252</v>
      </c>
      <c r="C67" s="208">
        <f ca="1">C63-C66</f>
        <v>8097</v>
      </c>
      <c r="D67" s="201" t="s">
        <v>32</v>
      </c>
      <c r="E67" s="202"/>
      <c r="F67" s="2494"/>
      <c r="G67" s="2494"/>
      <c r="H67" s="2502"/>
      <c r="I67" s="138"/>
      <c r="J67" s="3207"/>
      <c r="K67" s="2504" t="s">
        <v>2253</v>
      </c>
      <c r="L67" s="1754">
        <f ca="1">IF(M49&gt;=10000,(8.25+(M49-10000)*0.01%),IF(AND(M49&gt;=8000,M49&lt;10000),(7.85+(M49-8000)*0.02%),IF(AND(M49&gt;=5000,M49&lt;8000),(6.65+(M49-5000)*0.04%),IF(AND(M49&gt;=2000,M49&lt;5000),(4.25+(PM49-2000)*0.08%),IF(AND(M49&gt;=1000,M49&lt;2000),(2.75+(M49-1000)*0.15%),IF(AND(M49&gt;=100,M49&lt;1000),(0.5+(M49-100)*0.25%),IF(AND(M49&gt;0,M49&lt;100),M49*0.5%)))))))</f>
        <v>7.9503999999999992</v>
      </c>
      <c r="M67" s="24">
        <f ca="1">ROUND(L67*0.9,1)</f>
        <v>7.2</v>
      </c>
      <c r="Z67" s="2428"/>
      <c r="AI67" s="2429"/>
    </row>
    <row r="68" spans="1:35" ht="14.25" hidden="1" customHeight="1" thickBot="1">
      <c r="A68" s="209" t="s">
        <v>774</v>
      </c>
      <c r="B68" s="210" t="s">
        <v>2254</v>
      </c>
      <c r="C68" s="211">
        <f ca="1">IF(C67&lt;=0,0,ROUND(C67*D68,0))</f>
        <v>453</v>
      </c>
      <c r="D68" s="212">
        <f>'数据-取费表'!B41</f>
        <v>5.6000000000000001E-2</v>
      </c>
      <c r="E68" s="213"/>
      <c r="F68" s="2494"/>
      <c r="G68" s="2494"/>
      <c r="H68" s="2502"/>
      <c r="I68" s="138"/>
      <c r="J68" s="3207"/>
      <c r="K68" s="2504" t="s">
        <v>2255</v>
      </c>
      <c r="L68" s="1754">
        <f ca="1">IF(M49&gt;10000,M49*0.5%,IF(AND(M49&gt;5000,M49&lt;=10000),M49*1%,IF(AND(M49&gt;1000,M49&lt;=5000),M49*2%,IF(AND(M49&gt;200,M49&lt;=1000),M49*3%,M49*5%))))</f>
        <v>85.02</v>
      </c>
      <c r="M68" s="24">
        <f ca="1">ROUND(L68,1)</f>
        <v>85</v>
      </c>
      <c r="Z68" s="2428"/>
      <c r="AI68" s="2429"/>
    </row>
    <row r="69" spans="1:35" s="2451" customFormat="1" ht="16.5" hidden="1" customHeight="1">
      <c r="A69" s="2505"/>
      <c r="B69" s="2506"/>
      <c r="C69" s="2507"/>
      <c r="D69" s="2508"/>
      <c r="E69" s="2509"/>
      <c r="F69" s="2170"/>
      <c r="G69" s="2170"/>
      <c r="H69" s="2169"/>
      <c r="I69" s="2423"/>
      <c r="J69" s="3207"/>
      <c r="K69" s="2504" t="s">
        <v>2256</v>
      </c>
      <c r="L69" s="2510"/>
      <c r="M69" s="24">
        <f ca="1">ROUND(SUM(M63:M68),0)</f>
        <v>229</v>
      </c>
      <c r="N69" s="1755">
        <f ca="1">M69/M49</f>
        <v>2.6934838861444366E-2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hidden="1" customHeight="1" thickBot="1">
      <c r="A70" s="3166" t="s">
        <v>2257</v>
      </c>
      <c r="B70" s="3167"/>
      <c r="C70" s="3167"/>
      <c r="D70" s="3167"/>
      <c r="E70" s="3167"/>
      <c r="F70" s="3167"/>
      <c r="G70" s="3167"/>
      <c r="H70" s="316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ustomHeight="1">
      <c r="A71" s="3145" t="s">
        <v>2238</v>
      </c>
      <c r="B71" s="3146"/>
      <c r="C71" s="1806"/>
      <c r="D71" s="1806" t="s">
        <v>2239</v>
      </c>
      <c r="E71" s="214" t="s">
        <v>2240</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ustomHeight="1">
      <c r="A72" s="204" t="s">
        <v>775</v>
      </c>
      <c r="B72" s="205" t="s">
        <v>2258</v>
      </c>
      <c r="C72" s="208">
        <f ca="1">ROUND(D45/(1+'数据-取费表'!C42),0)</f>
        <v>8097</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ustomHeight="1">
      <c r="A73" s="204" t="s">
        <v>772</v>
      </c>
      <c r="B73" s="174" t="s">
        <v>2259</v>
      </c>
      <c r="C73" s="208">
        <f ca="1">C74+C78</f>
        <v>49</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ustomHeight="1">
      <c r="A74" s="218" t="s">
        <v>770</v>
      </c>
      <c r="B74" s="199" t="s">
        <v>2260</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ustomHeight="1">
      <c r="A75" s="218" t="s">
        <v>776</v>
      </c>
      <c r="B75" s="199" t="s">
        <v>2261</v>
      </c>
      <c r="C75" s="219"/>
      <c r="D75" s="201" t="s">
        <v>32</v>
      </c>
      <c r="E75" s="220" t="s">
        <v>2262</v>
      </c>
      <c r="F75" s="2516" t="s">
        <v>2263</v>
      </c>
      <c r="G75" s="220" t="s">
        <v>2264</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8" t="s">
        <v>777</v>
      </c>
      <c r="B76" s="222" t="s">
        <v>2265</v>
      </c>
      <c r="C76" s="201">
        <f>IF(F75="购房发票",ROUND(C75*H75*D76,0),0)</f>
        <v>0</v>
      </c>
      <c r="D76" s="223">
        <v>0.05</v>
      </c>
      <c r="E76" s="3140" t="s">
        <v>2266</v>
      </c>
      <c r="F76" s="3117"/>
      <c r="G76" s="3117"/>
      <c r="H76" s="316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8" t="s">
        <v>778</v>
      </c>
      <c r="B77" s="199" t="s">
        <v>2267</v>
      </c>
      <c r="C77" s="201">
        <f>ROUND(IF(G77="个人住宅",0,IF(G77="2016年5月1日前购买",C75*D77,C75*D77/(1+'数据-取费表'!C42))),0)</f>
        <v>0</v>
      </c>
      <c r="D77" s="224">
        <f>'数据-取费表'!B48+'数据-取费表'!B49</f>
        <v>3.0499999999999999E-2</v>
      </c>
      <c r="E77" s="15" t="s">
        <v>2268</v>
      </c>
      <c r="F77" s="225"/>
      <c r="G77" s="2518" t="s">
        <v>2269</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8" t="s">
        <v>771</v>
      </c>
      <c r="B78" s="199" t="s">
        <v>2270</v>
      </c>
      <c r="C78" s="226">
        <f ca="1">ROUND(D45*D78/(1+'数据-取费表'!C42),0)</f>
        <v>49</v>
      </c>
      <c r="D78" s="227">
        <f>'数据-取费表'!B43</f>
        <v>6.000000000000001E-3</v>
      </c>
      <c r="E78" s="3126" t="s">
        <v>2271</v>
      </c>
      <c r="F78" s="3127"/>
      <c r="G78" s="3127"/>
      <c r="H78" s="313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ustomHeight="1">
      <c r="A79" s="2520" t="s">
        <v>779</v>
      </c>
      <c r="B79" s="205" t="s">
        <v>2272</v>
      </c>
      <c r="C79" s="208">
        <f ca="1">C72-C73</f>
        <v>8048</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ustomHeight="1">
      <c r="A80" s="2520" t="s">
        <v>780</v>
      </c>
      <c r="B80" s="205" t="s">
        <v>2273</v>
      </c>
      <c r="C80" s="228">
        <f ca="1">IF(C79&lt;=0,0,C79/C73)</f>
        <v>164.24489795918367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customHeight="1" thickBot="1">
      <c r="A81" s="2521" t="s">
        <v>781</v>
      </c>
      <c r="B81" s="210" t="s">
        <v>2274</v>
      </c>
      <c r="C81" s="229">
        <f ca="1">ROUND(IF(C79&lt;=0,0,IF(C80&gt;=200%,C79*60%-C73*35%,IF(C80&gt;=100%,C79*50%-C73*15%,IF(C80&gt;=50%,C79*40%-C73*5%,IF(C80&lt;50%,C79*30%,0))))),0)</f>
        <v>4812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customHeight="1" thickBot="1">
      <c r="A83" s="3166" t="s">
        <v>2275</v>
      </c>
      <c r="B83" s="3167"/>
      <c r="C83" s="3167"/>
      <c r="D83" s="3167"/>
      <c r="E83" s="3167"/>
      <c r="F83" s="3167"/>
      <c r="G83" s="3167"/>
      <c r="H83" s="316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ustomHeight="1">
      <c r="A84" s="3145" t="s">
        <v>2238</v>
      </c>
      <c r="B84" s="3146"/>
      <c r="C84" s="1806"/>
      <c r="D84" s="1806" t="s">
        <v>2239</v>
      </c>
      <c r="E84" s="214" t="s">
        <v>2240</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ustomHeight="1">
      <c r="A85" s="204" t="s">
        <v>775</v>
      </c>
      <c r="B85" s="205" t="s">
        <v>2258</v>
      </c>
      <c r="C85" s="208">
        <f ca="1">ROUND(D45/(1+'数据-取费表'!C42),0)</f>
        <v>8097</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ustomHeight="1">
      <c r="A86" s="204" t="s">
        <v>772</v>
      </c>
      <c r="B86" s="174" t="s">
        <v>2259</v>
      </c>
      <c r="C86" s="208">
        <f ca="1">IF(H88="仅含出让金",C87+C90+C91+C92+C93+C94,C87+C91+C92+C93+C94)</f>
        <v>49</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ustomHeight="1">
      <c r="A87" s="218" t="s">
        <v>770</v>
      </c>
      <c r="B87" s="199" t="s">
        <v>2276</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ustomHeight="1">
      <c r="A88" s="218" t="s">
        <v>776</v>
      </c>
      <c r="B88" s="199" t="s">
        <v>2277</v>
      </c>
      <c r="C88" s="237"/>
      <c r="D88" s="227"/>
      <c r="E88" s="238" t="s">
        <v>2278</v>
      </c>
      <c r="F88" s="1802"/>
      <c r="G88" s="239"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ustomHeight="1">
      <c r="A89" s="218" t="s">
        <v>777</v>
      </c>
      <c r="B89" s="199" t="s">
        <v>2267</v>
      </c>
      <c r="C89" s="226">
        <f>ROUND(C88*D89,0)</f>
        <v>0</v>
      </c>
      <c r="D89" s="227">
        <f>'数据-取费表'!B48+'数据-取费表'!B49</f>
        <v>3.0499999999999999E-2</v>
      </c>
      <c r="E89" s="238" t="s">
        <v>2280</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ustomHeight="1">
      <c r="A90" s="218" t="s">
        <v>771</v>
      </c>
      <c r="B90" s="199" t="s">
        <v>2281</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8" t="s">
        <v>2282</v>
      </c>
      <c r="B91" s="199" t="s">
        <v>2283</v>
      </c>
      <c r="C91" s="226">
        <f>IF(H91="——",成本法!C33,I91)</f>
        <v>0</v>
      </c>
      <c r="D91" s="227"/>
      <c r="E91" s="3126" t="s">
        <v>2284</v>
      </c>
      <c r="F91" s="3127"/>
      <c r="G91" s="312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8" t="s">
        <v>2286</v>
      </c>
      <c r="B92" s="199" t="s">
        <v>2287</v>
      </c>
      <c r="C92" s="226">
        <f>ROUND((C87+C90+C91)*D92,0)</f>
        <v>0</v>
      </c>
      <c r="D92" s="227">
        <v>0.1</v>
      </c>
      <c r="E92" s="3126" t="s">
        <v>2288</v>
      </c>
      <c r="F92" s="3127"/>
      <c r="G92" s="3127"/>
      <c r="H92" s="313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8" t="s">
        <v>2289</v>
      </c>
      <c r="B93" s="199" t="s">
        <v>2270</v>
      </c>
      <c r="C93" s="226">
        <f ca="1">ROUND(D45*D93/(1+'数据-取费表'!C42),0)</f>
        <v>49</v>
      </c>
      <c r="D93" s="227">
        <f>'数据-取费表'!B43</f>
        <v>6.000000000000001E-3</v>
      </c>
      <c r="E93" s="3126" t="s">
        <v>2271</v>
      </c>
      <c r="F93" s="3127"/>
      <c r="G93" s="3127"/>
      <c r="H93" s="313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8" t="s">
        <v>2290</v>
      </c>
      <c r="B94" s="199" t="s">
        <v>2291</v>
      </c>
      <c r="C94" s="237">
        <f>ROUND((C87+C90+C91)*D94,0)</f>
        <v>0</v>
      </c>
      <c r="D94" s="227">
        <v>0.2</v>
      </c>
      <c r="E94" s="3137" t="s">
        <v>2292</v>
      </c>
      <c r="F94" s="3138"/>
      <c r="G94" s="3138"/>
      <c r="H94" s="313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ustomHeight="1">
      <c r="A95" s="2520" t="s">
        <v>779</v>
      </c>
      <c r="B95" s="205" t="s">
        <v>2272</v>
      </c>
      <c r="C95" s="208">
        <f ca="1">ROUND(C85-C86,0)</f>
        <v>8048</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ustomHeight="1">
      <c r="A96" s="2520" t="s">
        <v>780</v>
      </c>
      <c r="B96" s="205" t="s">
        <v>2273</v>
      </c>
      <c r="C96" s="228">
        <f ca="1">IF(C95&lt;=0,0,C95/C86)</f>
        <v>164.24489795918367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customHeight="1" thickBot="1">
      <c r="A97" s="2521" t="s">
        <v>781</v>
      </c>
      <c r="B97" s="210" t="s">
        <v>2274</v>
      </c>
      <c r="C97" s="229">
        <f ca="1">ROUND(IF(C95&lt;=0,0,IF(C96&gt;=200%,C95*60%-C86*35%,IF(C96&gt;=100%,C95*50%-C86*15%,IF(C96&gt;=50%,C95*40%-C86*5%,IF(C96&lt;50%,C95*30%,0))))),0)</f>
        <v>4812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8"/>
    </row>
    <row r="99" spans="1:35" ht="21.75" hidden="1" customHeight="1" thickBot="1">
      <c r="A99" s="2479" t="s">
        <v>2293</v>
      </c>
      <c r="B99" s="2423"/>
      <c r="C99" s="2423"/>
      <c r="D99" s="2423"/>
      <c r="E99" s="2170"/>
      <c r="F99" s="2170"/>
      <c r="G99" s="2170"/>
      <c r="H99" s="2169"/>
      <c r="I99" s="138"/>
    </row>
    <row r="100" spans="1:35" ht="18.75" hidden="1" customHeight="1">
      <c r="A100" s="3111" t="s">
        <v>2294</v>
      </c>
      <c r="B100" s="3112"/>
      <c r="C100" s="3112"/>
      <c r="D100" s="3128"/>
      <c r="E100" s="3112" t="s">
        <v>2295</v>
      </c>
      <c r="F100" s="3112"/>
      <c r="G100" s="3112"/>
      <c r="H100" s="3128"/>
      <c r="I100" s="138"/>
    </row>
    <row r="101" spans="1:35" ht="18.75" hidden="1" customHeight="1">
      <c r="A101" s="3190" t="s">
        <v>2296</v>
      </c>
      <c r="B101" s="3191"/>
      <c r="C101" s="737" t="str">
        <f>C4</f>
        <v>比较法-办公</v>
      </c>
      <c r="D101" s="738" t="str">
        <f>D4</f>
        <v>收益法 (元)</v>
      </c>
      <c r="E101" s="3204" t="s">
        <v>2297</v>
      </c>
      <c r="F101" s="3158"/>
      <c r="G101" s="2525" t="s">
        <v>2298</v>
      </c>
      <c r="H101" s="1049">
        <f ca="1">H118</f>
        <v>8502</v>
      </c>
      <c r="I101" s="138"/>
    </row>
    <row r="102" spans="1:35" ht="18.75" hidden="1" customHeight="1">
      <c r="A102" s="3160" t="s">
        <v>2299</v>
      </c>
      <c r="B102" s="2525" t="s">
        <v>2298</v>
      </c>
      <c r="C102" s="737">
        <f ca="1">C19</f>
        <v>7506</v>
      </c>
      <c r="D102" s="738">
        <f ca="1">D19</f>
        <v>9498</v>
      </c>
      <c r="E102" s="3204"/>
      <c r="F102" s="3158"/>
      <c r="G102" s="2525" t="s">
        <v>2300</v>
      </c>
      <c r="H102" s="372">
        <f ca="1">I118</f>
        <v>43538</v>
      </c>
      <c r="I102" s="138"/>
    </row>
    <row r="103" spans="1:35" ht="42.75" hidden="1" customHeight="1">
      <c r="A103" s="3160"/>
      <c r="B103" s="2525" t="s">
        <v>2300</v>
      </c>
      <c r="C103" s="739">
        <f ca="1">C20</f>
        <v>38438</v>
      </c>
      <c r="D103" s="740">
        <f ca="1">D20</f>
        <v>48639</v>
      </c>
      <c r="E103" s="3199" t="s">
        <v>2301</v>
      </c>
      <c r="F103" s="3200"/>
      <c r="G103" s="2526" t="s">
        <v>2302</v>
      </c>
      <c r="H103" s="1049">
        <f>IF(D36="正常操作",H104+H105+H106,H105+H106)</f>
        <v>0</v>
      </c>
      <c r="I103" s="138"/>
    </row>
    <row r="104" spans="1:35" ht="18.75" hidden="1" customHeight="1">
      <c r="A104" s="3160" t="s">
        <v>2303</v>
      </c>
      <c r="B104" s="2527" t="s">
        <v>2298</v>
      </c>
      <c r="C104" s="741">
        <f ca="1">H118</f>
        <v>8502</v>
      </c>
      <c r="D104" s="742"/>
      <c r="E104" s="2271" t="s">
        <v>2304</v>
      </c>
      <c r="F104" s="2262"/>
      <c r="G104" s="2526" t="s">
        <v>2302</v>
      </c>
      <c r="H104" s="1050">
        <f>IF(D36="同一抵押权人同一抵押物续贷",C36&amp;"（未扣减，详见特别提示）",C36)</f>
        <v>0</v>
      </c>
      <c r="I104" s="138"/>
    </row>
    <row r="105" spans="1:35" ht="18.75" hidden="1" customHeight="1" thickBot="1">
      <c r="A105" s="3161"/>
      <c r="B105" s="2528" t="s">
        <v>2300</v>
      </c>
      <c r="C105" s="743">
        <f ca="1">I118</f>
        <v>43538</v>
      </c>
      <c r="D105" s="744"/>
      <c r="E105" s="2271" t="s">
        <v>2305</v>
      </c>
      <c r="F105" s="2262"/>
      <c r="G105" s="2526" t="s">
        <v>2302</v>
      </c>
      <c r="H105" s="1050">
        <f>C37</f>
        <v>0</v>
      </c>
      <c r="I105" s="138"/>
    </row>
    <row r="106" spans="1:35" ht="18.75" hidden="1" customHeight="1">
      <c r="A106" s="2423" t="s">
        <v>2306</v>
      </c>
      <c r="B106" s="2423"/>
      <c r="C106" s="2423"/>
      <c r="D106" s="2423"/>
      <c r="E106" s="2529" t="s">
        <v>2307</v>
      </c>
      <c r="F106" s="2262"/>
      <c r="G106" s="2526" t="s">
        <v>2302</v>
      </c>
      <c r="H106" s="1050">
        <f>C38</f>
        <v>0</v>
      </c>
      <c r="I106" s="138"/>
    </row>
    <row r="107" spans="1:35" ht="18.75" hidden="1" customHeight="1">
      <c r="A107" s="138"/>
      <c r="B107" s="138"/>
      <c r="C107" s="138"/>
      <c r="D107" s="138"/>
      <c r="E107" s="3157" t="str">
        <f>IF(项目基本情况!E8="已注销","——","3.房地产抵押价值")</f>
        <v>3.房地产抵押价值</v>
      </c>
      <c r="F107" s="3158"/>
      <c r="G107" s="2525" t="s">
        <v>2298</v>
      </c>
      <c r="H107" s="1049">
        <f ca="1">IF(E107="——","——",H101-H103)</f>
        <v>8502</v>
      </c>
      <c r="I107" s="138"/>
    </row>
    <row r="108" spans="1:35" ht="18.75" hidden="1" customHeight="1">
      <c r="A108" s="138"/>
      <c r="B108" s="138"/>
      <c r="C108" s="138"/>
      <c r="D108" s="138"/>
      <c r="E108" s="3157"/>
      <c r="F108" s="3158"/>
      <c r="G108" s="2525" t="s">
        <v>2300</v>
      </c>
      <c r="H108" s="372">
        <f ca="1">ROUND(H107*10000/'数据-汇总表'!E3,0)</f>
        <v>43538</v>
      </c>
      <c r="I108" s="138"/>
    </row>
    <row r="109" spans="1:35" ht="18.75" hidden="1" customHeight="1">
      <c r="A109" s="138"/>
      <c r="B109" s="138"/>
      <c r="C109" s="138"/>
      <c r="D109" s="138"/>
      <c r="E109" s="3157" t="str">
        <f>IF(项目基本情况!E8="已注销及未注销","4.抵押担保权已注销时的房地产抵押价值",IF(项目基本情况!E8="已注销","3.抵押担保权已注销时的房地产抵押价值","——"))</f>
        <v>——</v>
      </c>
      <c r="F109" s="3158"/>
      <c r="G109" s="2525" t="s">
        <v>2298</v>
      </c>
      <c r="H109" s="349" t="str">
        <f>IF(E109="——","——",H101-H105-H106)</f>
        <v>——</v>
      </c>
      <c r="I109" s="138"/>
    </row>
    <row r="110" spans="1:35" ht="18.75" hidden="1" customHeight="1">
      <c r="A110" s="138"/>
      <c r="B110" s="138"/>
      <c r="C110" s="138"/>
      <c r="D110" s="138"/>
      <c r="E110" s="3157"/>
      <c r="F110" s="3158"/>
      <c r="G110" s="2525" t="s">
        <v>2300</v>
      </c>
      <c r="H110" s="372" t="str">
        <f>IF(H109="——","——",ROUND(H109*10000/'数据-汇总表'!E3,0))</f>
        <v>——</v>
      </c>
      <c r="I110" s="138"/>
    </row>
    <row r="111" spans="1:35" ht="18.75" hidden="1" customHeight="1">
      <c r="A111" s="138"/>
      <c r="B111" s="138"/>
      <c r="C111" s="138"/>
      <c r="D111" s="138"/>
      <c r="E111" s="3192" t="str">
        <f>IF(项目基本情况!E9="抵押净值",IF(OR(项目基本情况!E8="已注销",项目基本情况!E8="房地产抵押价值"),"4.抵押净值","5.抵押净值"),"——")</f>
        <v>——</v>
      </c>
      <c r="F111" s="3193"/>
      <c r="G111" s="2525" t="s">
        <v>2298</v>
      </c>
      <c r="H111" s="1049" t="str">
        <f>IF(E111="——","——",N59)</f>
        <v>——</v>
      </c>
      <c r="I111" s="138"/>
    </row>
    <row r="112" spans="1:35" ht="18.75" hidden="1" customHeight="1" thickBot="1">
      <c r="A112" s="138"/>
      <c r="B112" s="138"/>
      <c r="C112" s="138"/>
      <c r="D112" s="138"/>
      <c r="E112" s="3194"/>
      <c r="F112" s="3195"/>
      <c r="G112" s="2530" t="s">
        <v>2300</v>
      </c>
      <c r="H112" s="791" t="str">
        <f>IF(E111="——","——",N61)</f>
        <v>——</v>
      </c>
      <c r="I112" s="138"/>
    </row>
    <row r="113" spans="1:11" ht="18.75" hidden="1" customHeight="1">
      <c r="A113" s="138"/>
      <c r="B113" s="138"/>
      <c r="C113" s="138"/>
      <c r="D113" s="138"/>
      <c r="E113" s="3162" t="s">
        <v>2306</v>
      </c>
      <c r="F113" s="3162"/>
      <c r="G113" s="3162"/>
      <c r="H113" s="3162"/>
      <c r="I113" s="138"/>
    </row>
    <row r="114" spans="1:11" ht="3.75" hidden="1" customHeight="1">
      <c r="A114" s="2423"/>
      <c r="B114" s="2423"/>
      <c r="C114" s="2423"/>
      <c r="D114" s="2423"/>
      <c r="E114" s="2501"/>
      <c r="F114" s="2501"/>
      <c r="G114" s="2501"/>
      <c r="H114" s="2501"/>
      <c r="I114" s="2423"/>
    </row>
    <row r="115" spans="1:11" ht="18.75" hidden="1" customHeight="1">
      <c r="A115" s="3175" t="s">
        <v>2308</v>
      </c>
      <c r="B115" s="3176"/>
      <c r="C115" s="3176"/>
      <c r="D115" s="3176"/>
      <c r="E115" s="3176"/>
      <c r="F115" s="3176"/>
      <c r="G115" s="3176"/>
      <c r="H115" s="3176"/>
      <c r="I115" s="3177"/>
    </row>
    <row r="116" spans="1:11" ht="27" customHeight="1">
      <c r="A116" s="3068" t="s">
        <v>2309</v>
      </c>
      <c r="B116" s="3163" t="s">
        <v>2310</v>
      </c>
      <c r="C116" s="3163" t="s">
        <v>2311</v>
      </c>
      <c r="D116" s="3179" t="s">
        <v>2312</v>
      </c>
      <c r="E116" s="3180"/>
      <c r="F116" s="3171" t="s">
        <v>2313</v>
      </c>
      <c r="G116" s="3171"/>
      <c r="H116" s="3068" t="s">
        <v>2314</v>
      </c>
      <c r="I116" s="3068"/>
    </row>
    <row r="117" spans="1:11" ht="18.75" customHeight="1">
      <c r="A117" s="3068"/>
      <c r="B117" s="3164"/>
      <c r="C117" s="3164"/>
      <c r="D117" s="1800" t="s">
        <v>2315</v>
      </c>
      <c r="E117" s="1800" t="s">
        <v>2316</v>
      </c>
      <c r="F117" s="1800" t="s">
        <v>2315</v>
      </c>
      <c r="G117" s="1800" t="s">
        <v>2317</v>
      </c>
      <c r="H117" s="1800" t="s">
        <v>2315</v>
      </c>
      <c r="I117" s="1800" t="s">
        <v>2317</v>
      </c>
    </row>
    <row r="118" spans="1:11" ht="24.75" customHeight="1">
      <c r="A118" s="2531" t="str">
        <f>项目基本情况!S2</f>
        <v>北京市西城区广安门外大街168号1幢3层1-301等六套办公用房房地产房地产</v>
      </c>
      <c r="B118" s="1800">
        <f>M18</f>
        <v>1952.76</v>
      </c>
      <c r="C118" s="1800">
        <f>M19</f>
        <v>0</v>
      </c>
      <c r="D118" s="1800">
        <f ca="1">ROUND(IF(D32="总价",C34,E118*B118/10000),0)</f>
        <v>7125</v>
      </c>
      <c r="E118" s="1800">
        <f ca="1">ROUND(IF(C33="自定义",IF(D32="楼面单价",C34,D118*10000/B118),I118-G118),0)</f>
        <v>36486</v>
      </c>
      <c r="F118" s="1800">
        <f ca="1">ROUND(IF(D32="总价",C35,G118*B118/10000),0)</f>
        <v>1377</v>
      </c>
      <c r="G118" s="1800">
        <f ca="1">ROUND(IF(D32="楼面单价",C35,F118*10000/B118),0)</f>
        <v>7052</v>
      </c>
      <c r="H118" s="1800">
        <f ca="1">ROUND(IF(D32="总价",C32,I118*B118/10000),0)</f>
        <v>8502</v>
      </c>
      <c r="I118" s="1800">
        <f ca="1">ROUND(IF(D32="楼面单价",C32,H118*10000/B118),0)</f>
        <v>43538</v>
      </c>
    </row>
    <row r="119" spans="1:11" ht="18.75" customHeight="1">
      <c r="A119" s="3068" t="s">
        <v>2318</v>
      </c>
      <c r="B119" s="3068"/>
      <c r="C119" s="3068"/>
      <c r="D119" s="3168" t="str">
        <f ca="1">NUMBERSTRING(INT(D118*10000),2)&amp;"元整"</f>
        <v>柒仟壹佰贰拾伍万元整</v>
      </c>
      <c r="E119" s="3170"/>
      <c r="F119" s="3168" t="str">
        <f ca="1">NUMBERSTRING(INT(F118*10000),2)&amp;"元整"</f>
        <v>壹仟叁佰柒拾柒万元整</v>
      </c>
      <c r="G119" s="3170"/>
      <c r="H119" s="3168" t="str">
        <f ca="1">NUMBERSTRING(INT(H118*10000),2)&amp;"元整"</f>
        <v>捌仟伍佰零贰万元整</v>
      </c>
      <c r="I119" s="3170"/>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28" t="str">
        <f>IF(D120=0,"故，本次评估不存在"&amp;A120,"故，本次评估"&amp;A120&amp;"为人民币"&amp;D120&amp;"万元整。")</f>
        <v>故，本次评估不存在估价师知悉的法定优先受偿款</v>
      </c>
    </row>
    <row r="121" spans="1:11" ht="18.75" customHeight="1">
      <c r="A121" s="3172" t="s">
        <v>2318</v>
      </c>
      <c r="B121" s="3173"/>
      <c r="C121" s="3174"/>
      <c r="D121" s="3168" t="str">
        <f>IF(D120=0,"零元整",NUMBERSTRING(INT(D120*10000),2)&amp;"元整")</f>
        <v>零元整</v>
      </c>
      <c r="E121" s="3169"/>
      <c r="F121" s="3169"/>
      <c r="G121" s="3169"/>
      <c r="H121" s="3169"/>
      <c r="I121" s="3170"/>
    </row>
    <row r="122" spans="1:11" ht="18.75" customHeight="1">
      <c r="A122" s="3159" t="str">
        <f>IF(项目基本情况!B9="房地产市场价值","",MID(E107,3,LEN(E107)-2))</f>
        <v>房地产抵押价值</v>
      </c>
      <c r="B122" s="3159"/>
      <c r="C122" s="3159"/>
      <c r="D122" s="3196">
        <f ca="1">H107</f>
        <v>8502</v>
      </c>
      <c r="E122" s="3197"/>
      <c r="F122" s="3197"/>
      <c r="G122" s="3197"/>
      <c r="H122" s="3197"/>
      <c r="I122" s="3198"/>
    </row>
    <row r="123" spans="1:11" ht="18.75" customHeight="1">
      <c r="A123" s="3068" t="s">
        <v>2318</v>
      </c>
      <c r="B123" s="3068"/>
      <c r="C123" s="3068"/>
      <c r="D123" s="3168" t="str">
        <f ca="1">NUMBERSTRING(INT(D122*10000),2)&amp;"元整"</f>
        <v>捌仟伍佰零贰万元整</v>
      </c>
      <c r="E123" s="3169"/>
      <c r="F123" s="3169"/>
      <c r="G123" s="3169"/>
      <c r="H123" s="3169"/>
      <c r="I123" s="3170"/>
    </row>
    <row r="124" spans="1:11" ht="18.75" customHeight="1">
      <c r="A124" s="3159" t="str">
        <f>IF(项目基本情况!B9="房地产市场价值","",MID(E109,3,LEN(E109)-2))</f>
        <v/>
      </c>
      <c r="B124" s="3159"/>
      <c r="C124" s="3159"/>
      <c r="D124" s="3196" t="str">
        <f>H109</f>
        <v>——</v>
      </c>
      <c r="E124" s="3197"/>
      <c r="F124" s="3197"/>
      <c r="G124" s="3197"/>
      <c r="H124" s="3197"/>
      <c r="I124" s="3198"/>
    </row>
    <row r="125" spans="1:11" ht="18.75" customHeight="1">
      <c r="A125" s="3068" t="s">
        <v>2318</v>
      </c>
      <c r="B125" s="3068"/>
      <c r="C125" s="3068"/>
      <c r="D125" s="3168" t="e">
        <f>NUMBERSTRING(INT(D124*10000),2)&amp;"元整"</f>
        <v>#VALUE!</v>
      </c>
      <c r="E125" s="3169"/>
      <c r="F125" s="3169"/>
      <c r="G125" s="3169"/>
      <c r="H125" s="3169"/>
      <c r="I125" s="3170"/>
    </row>
    <row r="126" spans="1:11" ht="18.75" customHeight="1">
      <c r="A126" s="3159" t="str">
        <f>IF(项目基本情况!B9="房地产市场价值","",MID(E111,3,LEN(E111)-2))</f>
        <v/>
      </c>
      <c r="B126" s="3159"/>
      <c r="C126" s="3159"/>
      <c r="D126" s="3196" t="str">
        <f>H111</f>
        <v>——</v>
      </c>
      <c r="E126" s="3197"/>
      <c r="F126" s="3197"/>
      <c r="G126" s="3197"/>
      <c r="H126" s="3197"/>
      <c r="I126" s="3198"/>
    </row>
    <row r="127" spans="1:11" ht="18.75" customHeight="1">
      <c r="A127" s="3068" t="s">
        <v>2318</v>
      </c>
      <c r="B127" s="3068"/>
      <c r="C127" s="3068"/>
      <c r="D127" s="3168" t="e">
        <f>NUMBERSTRING(INT(D126*10000),2)&amp;"元整"</f>
        <v>#VALUE!</v>
      </c>
      <c r="E127" s="3169"/>
      <c r="F127" s="3169"/>
      <c r="G127" s="3169"/>
      <c r="H127" s="3169"/>
      <c r="I127" s="3170"/>
    </row>
    <row r="128" spans="1:11" ht="21.75" customHeight="1">
      <c r="A128" s="3178" t="s">
        <v>2319</v>
      </c>
      <c r="B128" s="3178"/>
      <c r="C128" s="3178"/>
      <c r="D128" s="3178"/>
      <c r="E128" s="3178"/>
      <c r="F128" s="3178"/>
      <c r="G128" s="3178"/>
      <c r="H128" s="3178"/>
      <c r="I128" s="3178"/>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2322</v>
      </c>
      <c r="G135" s="2549"/>
      <c r="H135" s="2549"/>
      <c r="I135" s="2550" t="s">
        <v>2323</v>
      </c>
    </row>
    <row r="136" spans="1:35" ht="21.75" customHeight="1">
      <c r="A136" s="796"/>
      <c r="B136" s="2551" t="s">
        <v>2324</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2325</v>
      </c>
    </row>
    <row r="139" spans="1:35" ht="21.75" customHeight="1">
      <c r="A139" s="796"/>
      <c r="B139" s="2551" t="s">
        <v>2326</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2325</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2327</v>
      </c>
      <c r="B1" s="1942"/>
      <c r="C1" s="243"/>
      <c r="D1" s="243"/>
      <c r="E1" s="243"/>
      <c r="F1" s="243"/>
      <c r="G1" s="1383">
        <f>MATCH(B1,'数据-取费表'!A6:A16,0)+5</f>
        <v>7</v>
      </c>
    </row>
    <row r="2" spans="1:9" s="245" customFormat="1" ht="18" customHeight="1">
      <c r="A2" s="246" t="s">
        <v>2328</v>
      </c>
      <c r="B2" s="247">
        <f ca="1">IF(D2="——",C52,C52-E2)</f>
        <v>1086</v>
      </c>
      <c r="C2" s="244" t="s">
        <v>2329</v>
      </c>
      <c r="D2" s="2554" t="s">
        <v>70</v>
      </c>
      <c r="E2" s="1444" t="e">
        <f ca="1">SUMIF(INDIRECT("'"&amp;G2&amp;"'"&amp;"!A:A"),"承租人权益价值",INDIRECT("'"&amp;G2&amp;"'"&amp;"!c:c"))</f>
        <v>#REF!</v>
      </c>
      <c r="F2" s="2555" t="s">
        <v>2329</v>
      </c>
      <c r="G2" s="2556"/>
    </row>
    <row r="3" spans="1:9" s="245" customFormat="1" ht="18" customHeight="1" thickBot="1">
      <c r="A3" s="248" t="s">
        <v>2330</v>
      </c>
      <c r="B3" s="249">
        <f ca="1">ROUND(B2*10000/(IF(B1="",'数据-汇总表'!E3,INDIRECT("'数据-取费表'!k"&amp;$G$1))),0)</f>
        <v>5561</v>
      </c>
      <c r="C3" s="244" t="s">
        <v>2331</v>
      </c>
      <c r="D3" s="244"/>
      <c r="E3" s="244"/>
      <c r="F3" s="244"/>
      <c r="G3" s="244"/>
    </row>
    <row r="4" spans="1:9" s="253" customFormat="1" ht="15.75">
      <c r="A4" s="250" t="s">
        <v>2332</v>
      </c>
      <c r="B4" s="251"/>
      <c r="C4" s="251"/>
      <c r="D4" s="251"/>
      <c r="E4" s="251"/>
      <c r="F4" s="251"/>
      <c r="G4" s="252"/>
    </row>
    <row r="5" spans="1:9" s="259" customFormat="1" ht="13.5" customHeight="1">
      <c r="A5" s="300" t="s">
        <v>2333</v>
      </c>
      <c r="B5" s="255" t="s">
        <v>2334</v>
      </c>
      <c r="C5" s="256">
        <f>C6+C7+C8</f>
        <v>200</v>
      </c>
      <c r="D5" s="256" t="s">
        <v>2335</v>
      </c>
      <c r="E5" s="257" t="s">
        <v>2336</v>
      </c>
      <c r="F5" s="257" t="s">
        <v>2337</v>
      </c>
      <c r="G5" s="258"/>
    </row>
    <row r="6" spans="1:9" s="259" customFormat="1" ht="13.5" customHeight="1">
      <c r="A6" s="953" t="s">
        <v>2338</v>
      </c>
      <c r="B6" s="260" t="s">
        <v>2339</v>
      </c>
      <c r="C6" s="261"/>
      <c r="D6" s="262"/>
      <c r="E6" s="263"/>
      <c r="F6" s="263"/>
      <c r="G6" s="264"/>
    </row>
    <row r="7" spans="1:9" s="259" customFormat="1" ht="13.5" customHeight="1">
      <c r="A7" s="953" t="s">
        <v>2340</v>
      </c>
      <c r="B7" s="260" t="s">
        <v>2341</v>
      </c>
      <c r="C7" s="265">
        <f>ROUND(C6*F7,0)</f>
        <v>0</v>
      </c>
      <c r="D7" s="265"/>
      <c r="E7" s="263"/>
      <c r="F7" s="266">
        <f>'数据-取费表'!B48+'数据-取费表'!B49</f>
        <v>3.0499999999999999E-2</v>
      </c>
      <c r="G7" s="264"/>
    </row>
    <row r="8" spans="1:9" s="268" customFormat="1">
      <c r="A8" s="953" t="s">
        <v>2342</v>
      </c>
      <c r="B8" s="260" t="s">
        <v>2343</v>
      </c>
      <c r="C8" s="265">
        <f>IF(G8="已包含在土地购买价格中","0",IF(B1="",'数据-取费表'!B29,IF(G9="全部缴纳",C9+C10,H9)))</f>
        <v>200</v>
      </c>
      <c r="D8" s="267"/>
      <c r="E8" s="265"/>
      <c r="F8" s="266"/>
      <c r="G8" s="2557"/>
    </row>
    <row r="9" spans="1:9" s="259" customFormat="1" ht="13.5" customHeight="1">
      <c r="A9" s="954" t="s">
        <v>800</v>
      </c>
      <c r="B9" s="269" t="s">
        <v>2344</v>
      </c>
      <c r="C9" s="270">
        <f ca="1">ROUND(D9*E9/10000,0)</f>
        <v>0</v>
      </c>
      <c r="D9" s="1036">
        <f ca="1">IF(B1="",'数据-汇总表'!E5,IF(INDIRECT("'数据-取费表'!c"&amp;$G$1)="住宅",INDIRECT("'数据-取费表'!k"&amp;$G$1),0))</f>
        <v>0</v>
      </c>
      <c r="E9" s="270">
        <f>'数据-取费表'!B27</f>
        <v>0</v>
      </c>
      <c r="F9" s="266"/>
      <c r="G9" s="2558"/>
      <c r="H9" s="1394"/>
      <c r="I9" s="2559" t="s">
        <v>2345</v>
      </c>
    </row>
    <row r="10" spans="1:9" s="259" customFormat="1" ht="13.5" customHeight="1">
      <c r="A10" s="954" t="s">
        <v>801</v>
      </c>
      <c r="B10" s="269" t="s">
        <v>2346</v>
      </c>
      <c r="C10" s="270">
        <f ca="1">ROUND(D10*E10/10000,0)</f>
        <v>0</v>
      </c>
      <c r="D10" s="1036">
        <f ca="1">IF(B1="",'数据-汇总表'!E6,IF(INDIRECT("'数据-取费表'!c"&amp;$G$1)="住宅",INDIRECT("'数据-取费表'!s"&amp;$G$1),INDIRECT("'数据-取费表'!k"&amp;$G$1)+INDIRECT("'数据-取费表'!s"&amp;$G$1)))</f>
        <v>1952.76</v>
      </c>
      <c r="E10" s="270">
        <f>'数据-取费表'!B28</f>
        <v>0</v>
      </c>
      <c r="F10" s="266"/>
      <c r="G10" s="271"/>
    </row>
    <row r="11" spans="1:9" s="259" customFormat="1" ht="13.5" hidden="1" customHeight="1">
      <c r="A11" s="272" t="s">
        <v>7</v>
      </c>
      <c r="B11" s="260" t="s">
        <v>2347</v>
      </c>
      <c r="C11" s="256"/>
      <c r="D11" s="1038"/>
      <c r="E11" s="263"/>
      <c r="F11" s="263"/>
      <c r="G11" s="264"/>
    </row>
    <row r="12" spans="1:9" s="259" customFormat="1" ht="13.5" hidden="1" customHeight="1">
      <c r="A12" s="272" t="s">
        <v>8</v>
      </c>
      <c r="B12" s="260" t="s">
        <v>2348</v>
      </c>
      <c r="C12" s="256">
        <v>0</v>
      </c>
      <c r="D12" s="1038"/>
      <c r="E12" s="273"/>
      <c r="F12" s="266">
        <v>3.0499999999999999E-2</v>
      </c>
      <c r="G12" s="264"/>
    </row>
    <row r="13" spans="1:9" s="259" customFormat="1" ht="13.5" hidden="1" customHeight="1">
      <c r="A13" s="272" t="s">
        <v>9</v>
      </c>
      <c r="B13" s="260" t="s">
        <v>2349</v>
      </c>
      <c r="C13" s="256"/>
      <c r="D13" s="1038"/>
      <c r="E13" s="263"/>
      <c r="F13" s="263"/>
      <c r="G13" s="264"/>
    </row>
    <row r="14" spans="1:9" s="259" customFormat="1" ht="13.5" hidden="1" customHeight="1">
      <c r="A14" s="272" t="s">
        <v>10</v>
      </c>
      <c r="B14" s="260" t="s">
        <v>2350</v>
      </c>
      <c r="C14" s="256"/>
      <c r="D14" s="1038"/>
      <c r="E14" s="263"/>
      <c r="F14" s="263"/>
      <c r="G14" s="264" t="s">
        <v>2351</v>
      </c>
    </row>
    <row r="15" spans="1:9" s="259" customFormat="1" ht="13.5" hidden="1" customHeight="1">
      <c r="A15" s="272" t="s">
        <v>11</v>
      </c>
      <c r="B15" s="260" t="s">
        <v>2352</v>
      </c>
      <c r="C15" s="265"/>
      <c r="D15" s="1038"/>
      <c r="E15" s="263"/>
      <c r="F15" s="263"/>
      <c r="G15" s="264" t="s">
        <v>2353</v>
      </c>
    </row>
    <row r="16" spans="1:9" s="259" customFormat="1" ht="13.5" hidden="1" customHeight="1">
      <c r="A16" s="272" t="s">
        <v>12</v>
      </c>
      <c r="B16" s="260" t="s">
        <v>2350</v>
      </c>
      <c r="C16" s="265"/>
      <c r="D16" s="1038"/>
      <c r="E16" s="263"/>
      <c r="F16" s="263"/>
      <c r="G16" s="264"/>
    </row>
    <row r="17" spans="1:7" s="259" customFormat="1" ht="13.5" hidden="1" customHeight="1">
      <c r="A17" s="272" t="s">
        <v>13</v>
      </c>
      <c r="B17" s="260" t="s">
        <v>2354</v>
      </c>
      <c r="C17" s="274"/>
      <c r="D17" s="1039"/>
      <c r="E17" s="274"/>
      <c r="F17" s="274"/>
      <c r="G17" s="264" t="s">
        <v>2353</v>
      </c>
    </row>
    <row r="18" spans="1:7" s="259" customFormat="1" ht="13.5" hidden="1" customHeight="1">
      <c r="A18" s="272" t="s">
        <v>14</v>
      </c>
      <c r="B18" s="260" t="s">
        <v>2355</v>
      </c>
      <c r="C18" s="265">
        <v>0</v>
      </c>
      <c r="D18" s="1038"/>
      <c r="E18" s="263"/>
      <c r="F18" s="266">
        <v>3.0499999999999999E-2</v>
      </c>
      <c r="G18" s="264" t="s">
        <v>2356</v>
      </c>
    </row>
    <row r="19" spans="1:7" s="268" customFormat="1" ht="13.5" customHeight="1">
      <c r="A19" s="300" t="s">
        <v>2357</v>
      </c>
      <c r="B19" s="255" t="s">
        <v>2358</v>
      </c>
      <c r="C19" s="256">
        <f ca="1">IF(G19="已包含在土地取得成本中","0",ROUND(D19*E19/10000,0))</f>
        <v>39</v>
      </c>
      <c r="D19" s="1040">
        <f ca="1">D9+D10</f>
        <v>1952.76</v>
      </c>
      <c r="E19" s="256">
        <f>'数据-取费表'!B31</f>
        <v>200</v>
      </c>
      <c r="F19" s="276"/>
      <c r="G19" s="2557"/>
    </row>
    <row r="20" spans="1:7" s="259" customFormat="1" ht="13.5" customHeight="1">
      <c r="A20" s="300" t="s">
        <v>2359</v>
      </c>
      <c r="B20" s="255" t="s">
        <v>2360</v>
      </c>
      <c r="C20" s="277">
        <f ca="1">ROUND((C5+C19)*F20,0)</f>
        <v>5</v>
      </c>
      <c r="D20" s="277"/>
      <c r="E20" s="277"/>
      <c r="F20" s="278">
        <f>'数据-取费表'!B37</f>
        <v>0.02</v>
      </c>
      <c r="G20" s="279" t="s">
        <v>2361</v>
      </c>
    </row>
    <row r="21" spans="1:7" s="259" customFormat="1" ht="13.5" customHeight="1">
      <c r="A21" s="300" t="s">
        <v>2362</v>
      </c>
      <c r="B21" s="255" t="s">
        <v>2363</v>
      </c>
      <c r="C21" s="280">
        <f>F21</f>
        <v>0.02</v>
      </c>
      <c r="D21" s="281" t="s">
        <v>2364</v>
      </c>
      <c r="E21" s="277"/>
      <c r="F21" s="278">
        <f>'数据-取费表'!B38</f>
        <v>0.02</v>
      </c>
      <c r="G21" s="279" t="s">
        <v>2365</v>
      </c>
    </row>
    <row r="22" spans="1:7" s="259" customFormat="1" ht="13.5" customHeight="1">
      <c r="A22" s="300" t="s">
        <v>2366</v>
      </c>
      <c r="B22" s="255" t="s">
        <v>2367</v>
      </c>
      <c r="C22" s="1358">
        <f ca="1">ROUND(SUM(C23:C25),0)</f>
        <v>23</v>
      </c>
      <c r="D22" s="280">
        <f ca="1">C26</f>
        <v>1E-3</v>
      </c>
      <c r="E22" s="281" t="s">
        <v>2364</v>
      </c>
      <c r="F22" s="282">
        <f ca="1">'数据-取费表'!B40</f>
        <v>4.7500000000000001E-2</v>
      </c>
      <c r="G22" s="279" t="str">
        <f>IF('数据-取费表'!B22&lt;=1,"单利计息","复利计息")</f>
        <v>复利计息</v>
      </c>
    </row>
    <row r="23" spans="1:7" s="259" customFormat="1" ht="13.5" customHeight="1">
      <c r="A23" s="955" t="s">
        <v>2368</v>
      </c>
      <c r="B23" s="260" t="s">
        <v>2369</v>
      </c>
      <c r="C23" s="1359">
        <f ca="1">ROUND(IF('数据-取费表'!B22&lt;=1,C5*F22*'数据-取费表'!B23,C5*(POWER((1+F22),'数据-取费表'!B23)-1)),0)</f>
        <v>19</v>
      </c>
      <c r="D23" s="283"/>
      <c r="E23" s="283"/>
      <c r="F23" s="284"/>
      <c r="G23" s="285" t="s">
        <v>2370</v>
      </c>
    </row>
    <row r="24" spans="1:7" s="259" customFormat="1" ht="13.5" customHeight="1">
      <c r="A24" s="955" t="s">
        <v>2371</v>
      </c>
      <c r="B24" s="260" t="s">
        <v>2372</v>
      </c>
      <c r="C24" s="1359">
        <f ca="1">ROUND(IF('数据-取费表'!B22&lt;=1,C19*F22*('数据-取费表'!B19/2+'数据-取费表'!B21),C19*(POWER((1+F22),('数据-取费表'!B19/2+'数据-取费表'!B21))-1)),0)</f>
        <v>4</v>
      </c>
      <c r="D24" s="283"/>
      <c r="E24" s="283"/>
      <c r="F24" s="284"/>
      <c r="G24" s="285" t="s">
        <v>2373</v>
      </c>
    </row>
    <row r="25" spans="1:7" s="259" customFormat="1" ht="24">
      <c r="A25" s="955" t="s">
        <v>2374</v>
      </c>
      <c r="B25" s="260" t="s">
        <v>2375</v>
      </c>
      <c r="C25" s="1359">
        <f ca="1">ROUND(IF('数据-取费表'!B22&lt;=1,C20*F22*'数据-取费表'!B23/2,C20*(POWER((1+F22),'数据-取费表'!B23/2)-1)),0)</f>
        <v>0</v>
      </c>
      <c r="D25" s="283"/>
      <c r="E25" s="286"/>
      <c r="F25" s="284"/>
      <c r="G25" s="287" t="s">
        <v>2376</v>
      </c>
    </row>
    <row r="26" spans="1:7" s="259" customFormat="1">
      <c r="A26" s="955" t="s">
        <v>795</v>
      </c>
      <c r="B26" s="260" t="s">
        <v>2377</v>
      </c>
      <c r="C26" s="283">
        <f ca="1">ROUND(IF('数据-取费表'!B22&lt;=1,F21*F22*'数据-取费表'!B23/2,F21*(POWER((1+F22),'数据-取费表'!B23/2)-1)),4)</f>
        <v>1E-3</v>
      </c>
      <c r="D26" s="283"/>
      <c r="E26" s="286"/>
      <c r="F26" s="284"/>
      <c r="G26" s="288"/>
    </row>
    <row r="27" spans="1:7" s="259" customFormat="1" ht="24.75">
      <c r="A27" s="300" t="s">
        <v>2378</v>
      </c>
      <c r="B27" s="289" t="s">
        <v>2379</v>
      </c>
      <c r="C27" s="290">
        <f ca="1">C28</f>
        <v>49</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ROUND((C5+C19+C20)*F27*'数据-取费表'!B21/'数据-取费表'!B20,0)</f>
        <v>49</v>
      </c>
      <c r="D28" s="280"/>
      <c r="E28" s="281"/>
      <c r="F28" s="291"/>
      <c r="G28" s="292"/>
    </row>
    <row r="29" spans="1:7" s="259" customFormat="1" ht="13.5" customHeight="1">
      <c r="A29" s="955" t="s">
        <v>792</v>
      </c>
      <c r="B29" s="293" t="s">
        <v>2383</v>
      </c>
      <c r="C29" s="283">
        <f ca="1">ROUND(C21*F27*'数据-取费表'!B21/'数据-取费表'!B20,4)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343</v>
      </c>
      <c r="D31" s="275"/>
      <c r="E31" s="256"/>
      <c r="F31" s="295"/>
      <c r="G31" s="279" t="s">
        <v>2388</v>
      </c>
    </row>
    <row r="32" spans="1:7" s="253" customFormat="1" ht="15.75">
      <c r="A32" s="297" t="s">
        <v>2389</v>
      </c>
      <c r="B32" s="298"/>
      <c r="C32" s="298"/>
      <c r="D32" s="298"/>
      <c r="E32" s="298"/>
      <c r="F32" s="298"/>
      <c r="G32" s="299"/>
    </row>
    <row r="33" spans="1:7" s="259" customFormat="1" ht="13.5" customHeight="1">
      <c r="A33" s="300" t="s">
        <v>782</v>
      </c>
      <c r="B33" s="255" t="s">
        <v>2390</v>
      </c>
      <c r="C33" s="301">
        <f ca="1">SUM(C34:C38)</f>
        <v>633</v>
      </c>
      <c r="D33" s="277"/>
      <c r="E33" s="257"/>
      <c r="F33" s="286"/>
      <c r="G33" s="279"/>
    </row>
    <row r="34" spans="1:7" s="303" customFormat="1" ht="13.5" customHeight="1">
      <c r="A34" s="955" t="s">
        <v>791</v>
      </c>
      <c r="B34" s="260" t="s">
        <v>2391</v>
      </c>
      <c r="C34" s="265">
        <f ca="1">IF(B1="",IF(F34=100%,'数据-取费表'!M16,'数据-取费表'!O16),IF(F34=100%,INDIRECT("'数据-取费表'!m"&amp;$G$1)+INDIRECT("'数据-取费表'!t"&amp;$G$1),INDIRECT("'数据-取费表'!o"&amp;$G$1)+INDIRECT("'数据-取费表'!aq"&amp;$G$1)))</f>
        <v>586</v>
      </c>
      <c r="D34" s="262"/>
      <c r="E34" s="265"/>
      <c r="F34" s="302">
        <f ca="1">IF('数据-取费表'!B24=0,1,IF(B1="",'数据-取费表'!N16,INDIRECT("'数据-取费表'!n"&amp;$G$1)))</f>
        <v>1</v>
      </c>
      <c r="G34" s="264" t="s">
        <v>2392</v>
      </c>
    </row>
    <row r="35" spans="1:7" ht="13.5" customHeight="1">
      <c r="A35" s="955" t="s">
        <v>796</v>
      </c>
      <c r="B35" s="260" t="s">
        <v>2393</v>
      </c>
      <c r="C35" s="265">
        <f ca="1">ROUND(C34*F35,0)</f>
        <v>18</v>
      </c>
      <c r="D35" s="265"/>
      <c r="E35" s="265"/>
      <c r="F35" s="304">
        <f>'数据-取费表'!B33</f>
        <v>0.03</v>
      </c>
      <c r="G35" s="264" t="s">
        <v>2394</v>
      </c>
    </row>
    <row r="36" spans="1:7" ht="24">
      <c r="A36" s="955" t="s">
        <v>797</v>
      </c>
      <c r="B36" s="260" t="s">
        <v>2395</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2396</v>
      </c>
    </row>
    <row r="37" spans="1:7" s="303" customFormat="1" ht="13.5" customHeight="1">
      <c r="A37" s="955" t="s">
        <v>798</v>
      </c>
      <c r="B37" s="260" t="s">
        <v>2397</v>
      </c>
      <c r="C37" s="294">
        <f ca="1">ROUND(E37*D37*F34/10000,0)</f>
        <v>20</v>
      </c>
      <c r="D37" s="262">
        <f ca="1">D19</f>
        <v>1952.76</v>
      </c>
      <c r="E37" s="294">
        <f>'数据-取费表'!B35</f>
        <v>100</v>
      </c>
      <c r="F37" s="304"/>
      <c r="G37" s="306" t="s">
        <v>2398</v>
      </c>
    </row>
    <row r="38" spans="1:7" ht="13.5" customHeight="1">
      <c r="A38" s="955" t="s">
        <v>799</v>
      </c>
      <c r="B38" s="260" t="s">
        <v>2399</v>
      </c>
      <c r="C38" s="265">
        <f ca="1">ROUND(C34*F38,0)</f>
        <v>9</v>
      </c>
      <c r="D38" s="265"/>
      <c r="E38" s="265"/>
      <c r="F38" s="304">
        <f>'数据-取费表'!B36</f>
        <v>1.4999999999999999E-2</v>
      </c>
      <c r="G38" s="264" t="s">
        <v>2394</v>
      </c>
    </row>
    <row r="39" spans="1:7" s="259" customFormat="1" ht="13.5" customHeight="1">
      <c r="A39" s="300" t="s">
        <v>2400</v>
      </c>
      <c r="B39" s="255" t="s">
        <v>2401</v>
      </c>
      <c r="C39" s="277">
        <f ca="1">ROUND(C33*F20,0)</f>
        <v>13</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31</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ROUND(IF('数据-取费表'!B22&lt;=1,C33*F22*'数据-取费表'!B21/2,C33*(POWER((1+F22),'数据-取费表'!B21/2)-1)),0)</f>
        <v>30</v>
      </c>
      <c r="D42" s="283"/>
      <c r="E42" s="283"/>
      <c r="F42" s="284"/>
      <c r="G42" s="3210" t="s">
        <v>2410</v>
      </c>
    </row>
    <row r="43" spans="1:7" ht="13.5" customHeight="1">
      <c r="A43" s="955" t="s">
        <v>792</v>
      </c>
      <c r="B43" s="260" t="s">
        <v>2411</v>
      </c>
      <c r="C43" s="283">
        <f ca="1">ROUND(IF('数据-取费表'!B22&lt;=1,C39*F22*'数据-取费表'!B21/2,C39*(POWER((1+F22),'数据-取费表'!B21/2)-1)),0)</f>
        <v>1</v>
      </c>
      <c r="D43" s="283"/>
      <c r="E43" s="283"/>
      <c r="F43" s="284"/>
      <c r="G43" s="3211"/>
    </row>
    <row r="44" spans="1:7" ht="13.5" customHeight="1">
      <c r="A44" s="955" t="s">
        <v>793</v>
      </c>
      <c r="B44" s="260" t="s">
        <v>2412</v>
      </c>
      <c r="C44" s="283">
        <f ca="1">ROUND(IF('数据-取费表'!B22&lt;=1,C40*F22*'数据-取费表'!B21/2,C40*(POWER((1+F22),'数据-取费表'!B21/2)-1)),4)</f>
        <v>1E-3</v>
      </c>
      <c r="D44" s="283"/>
      <c r="E44" s="283"/>
      <c r="F44" s="284"/>
      <c r="G44" s="3212"/>
    </row>
    <row r="45" spans="1:7" s="259" customFormat="1" ht="13.5" customHeight="1">
      <c r="A45" s="300" t="s">
        <v>2413</v>
      </c>
      <c r="B45" s="289" t="s">
        <v>2379</v>
      </c>
      <c r="C45" s="290">
        <f ca="1">C46</f>
        <v>129</v>
      </c>
      <c r="D45" s="280">
        <f ca="1">C47</f>
        <v>4.0000000000000001E-3</v>
      </c>
      <c r="E45" s="281" t="s">
        <v>2405</v>
      </c>
      <c r="F45" s="291"/>
      <c r="G45" s="292" t="s">
        <v>2414</v>
      </c>
    </row>
    <row r="46" spans="1:7" s="259" customFormat="1" ht="13.5" customHeight="1">
      <c r="A46" s="955" t="s">
        <v>791</v>
      </c>
      <c r="B46" s="293" t="s">
        <v>2415</v>
      </c>
      <c r="C46" s="294">
        <f ca="1">ROUND((C33+C39)*F27,0)</f>
        <v>129</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1733">
        <f>ROUND(F30/(1+'数据-取费表'!C42),4)</f>
        <v>5.33E-2</v>
      </c>
      <c r="D48" s="281" t="s">
        <v>2405</v>
      </c>
      <c r="E48" s="277"/>
      <c r="F48" s="282"/>
      <c r="G48" s="279" t="s">
        <v>2418</v>
      </c>
    </row>
    <row r="49" spans="1:7" ht="16.5" customHeight="1">
      <c r="A49" s="300" t="s">
        <v>2384</v>
      </c>
      <c r="B49" s="255" t="s">
        <v>2419</v>
      </c>
      <c r="C49" s="277">
        <f ca="1">ROUND((C33+C39+C41+C45)/(1-C40-D41-D45-C48),0)</f>
        <v>874</v>
      </c>
      <c r="D49" s="277"/>
      <c r="E49" s="277"/>
      <c r="F49" s="309"/>
      <c r="G49" s="279" t="s">
        <v>2420</v>
      </c>
    </row>
    <row r="50" spans="1:7" s="303" customFormat="1" ht="24">
      <c r="A50" s="300" t="s">
        <v>2421</v>
      </c>
      <c r="B50" s="255" t="s">
        <v>2422</v>
      </c>
      <c r="C50" s="277"/>
      <c r="D50" s="277"/>
      <c r="E50" s="277"/>
      <c r="F50" s="309">
        <f>IF('数据-取费表'!B24=0,'数据-取费表'!N16,1)</f>
        <v>0.85</v>
      </c>
      <c r="G50" s="292" t="s">
        <v>2423</v>
      </c>
    </row>
    <row r="51" spans="1:7" ht="16.5" customHeight="1">
      <c r="A51" s="300" t="s">
        <v>2424</v>
      </c>
      <c r="B51" s="255" t="s">
        <v>2425</v>
      </c>
      <c r="C51" s="277">
        <f ca="1">ROUND(C49*F50,0)</f>
        <v>743</v>
      </c>
      <c r="D51" s="277"/>
      <c r="E51" s="277"/>
      <c r="F51" s="309"/>
      <c r="G51" s="279" t="s">
        <v>2426</v>
      </c>
    </row>
    <row r="52" spans="1:7" s="253" customFormat="1" ht="16.5" thickBot="1">
      <c r="A52" s="310" t="s">
        <v>2427</v>
      </c>
      <c r="B52" s="311"/>
      <c r="C52" s="312">
        <f ca="1">C31+C51</f>
        <v>1086</v>
      </c>
      <c r="D52" s="311"/>
      <c r="E52" s="311"/>
      <c r="F52" s="311"/>
      <c r="G52" s="313"/>
    </row>
    <row r="55" spans="1:7" ht="15">
      <c r="B55" s="315" t="s">
        <v>2428</v>
      </c>
      <c r="C55" s="316"/>
    </row>
    <row r="56" spans="1:7">
      <c r="B56" s="318" t="s">
        <v>1514</v>
      </c>
      <c r="C56" s="320">
        <f ca="1">1-C57</f>
        <v>0.31599999999999995</v>
      </c>
    </row>
    <row r="57" spans="1:7">
      <c r="B57" s="318" t="s">
        <v>1515</v>
      </c>
      <c r="C57" s="319">
        <f ca="1">ROUND(C51/C52,3)</f>
        <v>0.68400000000000005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24" t="str">
        <f>项目基本情况!B1</f>
        <v>北京市西城区广安门外大街168号1幢3层1-301等六套办公用房房地产房地产抵押价值预评估</v>
      </c>
      <c r="C37" s="3024"/>
      <c r="D37" s="3024"/>
      <c r="E37" s="3024"/>
      <c r="F37" s="3024"/>
      <c r="G37" s="3024"/>
      <c r="H37" s="3024"/>
      <c r="I37" s="3024"/>
    </row>
    <row r="38" spans="1:9">
      <c r="A38" s="1020"/>
      <c r="B38" s="1020"/>
    </row>
    <row r="39" spans="1:9">
      <c r="A39" s="1018" t="s">
        <v>818</v>
      </c>
      <c r="B39" s="1018" t="s">
        <v>820</v>
      </c>
    </row>
    <row r="40" spans="1:9">
      <c r="A40" s="1018"/>
      <c r="B40" s="1947" t="str">
        <f>项目基本情况!B5</f>
        <v>北京京城机电资产管理有限责任公司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2327</v>
      </c>
      <c r="B1" s="1942"/>
      <c r="C1" s="2560" t="s">
        <v>2429</v>
      </c>
      <c r="D1" s="243"/>
      <c r="E1" s="243"/>
      <c r="F1" s="243"/>
      <c r="G1" s="1383">
        <f>MATCH(B1,'数据-取费表'!A6:A16,0)+5</f>
        <v>7</v>
      </c>
      <c r="H1" s="1286" t="str">
        <f>IF(ISERROR(FIND("住宅",B1)),"非住宅","住宅")</f>
        <v>非住宅</v>
      </c>
    </row>
    <row r="2" spans="1:8" s="245" customFormat="1" ht="18" customHeight="1">
      <c r="A2" s="246" t="s">
        <v>2328</v>
      </c>
      <c r="B2" s="247">
        <f ca="1">ROUND(IF(D2="——",C52/10000,C52/10000-E2),0)</f>
        <v>797</v>
      </c>
      <c r="C2" s="244" t="s">
        <v>2329</v>
      </c>
      <c r="D2" s="2554" t="s">
        <v>70</v>
      </c>
      <c r="E2" s="1444" t="e">
        <f ca="1">SUMIF(INDIRECT("'"&amp;G2&amp;"'"&amp;"!A:A"),"承租人权益价值",INDIRECT("'"&amp;G2&amp;"'"&amp;"!c:c"))</f>
        <v>#REF!</v>
      </c>
      <c r="F2" s="2555" t="s">
        <v>2329</v>
      </c>
      <c r="G2" s="2556"/>
    </row>
    <row r="3" spans="1:8" s="245" customFormat="1" ht="18" customHeight="1" thickBot="1">
      <c r="A3" s="248" t="s">
        <v>2330</v>
      </c>
      <c r="B3" s="249">
        <f ca="1">ROUND(B2*10000/(IF(B1="",'数据-汇总表'!E3,INDIRECT("'数据-取费表'!k"&amp;$G$1))),0)</f>
        <v>4081</v>
      </c>
      <c r="C3" s="244" t="s">
        <v>2331</v>
      </c>
      <c r="D3" s="244"/>
      <c r="E3" s="244"/>
      <c r="F3" s="244"/>
      <c r="G3" s="244"/>
    </row>
    <row r="4" spans="1:8" s="253" customFormat="1" ht="15.75">
      <c r="A4" s="250" t="s">
        <v>2332</v>
      </c>
      <c r="B4" s="251"/>
      <c r="C4" s="251"/>
      <c r="D4" s="251"/>
      <c r="E4" s="251"/>
      <c r="F4" s="251"/>
      <c r="G4" s="252"/>
    </row>
    <row r="5" spans="1:8" s="259" customFormat="1" ht="13.5" customHeight="1">
      <c r="A5" s="300" t="s">
        <v>2333</v>
      </c>
      <c r="B5" s="255" t="s">
        <v>2334</v>
      </c>
      <c r="C5" s="256">
        <f ca="1">C6+C7+C8</f>
        <v>0</v>
      </c>
      <c r="D5" s="256" t="s">
        <v>2335</v>
      </c>
      <c r="E5" s="257" t="s">
        <v>2336</v>
      </c>
      <c r="F5" s="257" t="s">
        <v>2337</v>
      </c>
      <c r="G5" s="258"/>
    </row>
    <row r="6" spans="1:8" s="259" customFormat="1" ht="13.5" customHeight="1">
      <c r="A6" s="953" t="s">
        <v>2338</v>
      </c>
      <c r="B6" s="260" t="s">
        <v>2339</v>
      </c>
      <c r="C6" s="261"/>
      <c r="D6" s="262"/>
      <c r="E6" s="263"/>
      <c r="F6" s="263"/>
      <c r="G6" s="264"/>
    </row>
    <row r="7" spans="1:8" s="259" customFormat="1" ht="13.5" customHeight="1">
      <c r="A7" s="953" t="s">
        <v>2340</v>
      </c>
      <c r="B7" s="260" t="s">
        <v>2341</v>
      </c>
      <c r="C7" s="265">
        <f>ROUND(C6*F7,0)</f>
        <v>0</v>
      </c>
      <c r="D7" s="265"/>
      <c r="E7" s="263"/>
      <c r="F7" s="266">
        <f>'数据-取费表'!B48+'数据-取费表'!B49</f>
        <v>3.0499999999999999E-2</v>
      </c>
      <c r="G7" s="264"/>
    </row>
    <row r="8" spans="1:8" s="268" customFormat="1">
      <c r="A8" s="953" t="s">
        <v>2342</v>
      </c>
      <c r="B8" s="260" t="s">
        <v>2343</v>
      </c>
      <c r="C8" s="265">
        <f ca="1">IF(G8="已包含在土地购买价格中",0,C9+C10)</f>
        <v>0</v>
      </c>
      <c r="D8" s="267"/>
      <c r="E8" s="265"/>
      <c r="F8" s="266"/>
      <c r="G8" s="2557"/>
    </row>
    <row r="9" spans="1:8" s="259" customFormat="1" ht="13.5" customHeight="1">
      <c r="A9" s="954" t="s">
        <v>800</v>
      </c>
      <c r="B9" s="269" t="s">
        <v>2344</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2346</v>
      </c>
      <c r="C10" s="270">
        <f ca="1">ROUND(D10*E10,0)</f>
        <v>0</v>
      </c>
      <c r="D10" s="1036">
        <f ca="1">IF(B1="",'数据-汇总表'!E6,IF(INDIRECT("'数据-取费表'!c"&amp;$G$1)="住宅",INDIRECT("'数据-取费表'!s"&amp;$G$1),INDIRECT("'数据-取费表'!k"&amp;$G$1)+INDIRECT("'数据-取费表'!s"&amp;$G$1)))</f>
        <v>1952.76</v>
      </c>
      <c r="E10" s="270">
        <f>'数据-取费表'!B28</f>
        <v>0</v>
      </c>
      <c r="F10" s="266"/>
      <c r="G10" s="271"/>
    </row>
    <row r="11" spans="1:8" s="259" customFormat="1" ht="13.5" hidden="1" customHeight="1">
      <c r="A11" s="272" t="s">
        <v>7</v>
      </c>
      <c r="B11" s="260" t="s">
        <v>2347</v>
      </c>
      <c r="C11" s="256"/>
      <c r="D11" s="1038"/>
      <c r="E11" s="263"/>
      <c r="F11" s="263"/>
      <c r="G11" s="264"/>
    </row>
    <row r="12" spans="1:8" s="259" customFormat="1" ht="13.5" hidden="1" customHeight="1">
      <c r="A12" s="272" t="s">
        <v>8</v>
      </c>
      <c r="B12" s="260" t="s">
        <v>2430</v>
      </c>
      <c r="C12" s="256">
        <v>0</v>
      </c>
      <c r="D12" s="1038"/>
      <c r="E12" s="273"/>
      <c r="F12" s="266">
        <v>3.0499999999999999E-2</v>
      </c>
      <c r="G12" s="264"/>
    </row>
    <row r="13" spans="1:8" s="259" customFormat="1" ht="13.5" hidden="1" customHeight="1">
      <c r="A13" s="272" t="s">
        <v>9</v>
      </c>
      <c r="B13" s="260" t="s">
        <v>2431</v>
      </c>
      <c r="C13" s="256"/>
      <c r="D13" s="1038"/>
      <c r="E13" s="263"/>
      <c r="F13" s="263"/>
      <c r="G13" s="264"/>
    </row>
    <row r="14" spans="1:8" s="259" customFormat="1" ht="13.5" hidden="1" customHeight="1">
      <c r="A14" s="272" t="s">
        <v>10</v>
      </c>
      <c r="B14" s="260" t="s">
        <v>2343</v>
      </c>
      <c r="C14" s="256"/>
      <c r="D14" s="1038"/>
      <c r="E14" s="263"/>
      <c r="F14" s="263"/>
      <c r="G14" s="264" t="s">
        <v>2432</v>
      </c>
    </row>
    <row r="15" spans="1:8" s="259" customFormat="1" ht="13.5" hidden="1" customHeight="1">
      <c r="A15" s="272" t="s">
        <v>11</v>
      </c>
      <c r="B15" s="260" t="s">
        <v>2433</v>
      </c>
      <c r="C15" s="265"/>
      <c r="D15" s="1038"/>
      <c r="E15" s="263"/>
      <c r="F15" s="263"/>
      <c r="G15" s="264" t="s">
        <v>2434</v>
      </c>
    </row>
    <row r="16" spans="1:8" s="259" customFormat="1" ht="13.5" hidden="1" customHeight="1">
      <c r="A16" s="272" t="s">
        <v>12</v>
      </c>
      <c r="B16" s="260" t="s">
        <v>2343</v>
      </c>
      <c r="C16" s="265"/>
      <c r="D16" s="1038"/>
      <c r="E16" s="263"/>
      <c r="F16" s="263"/>
      <c r="G16" s="264"/>
    </row>
    <row r="17" spans="1:7" s="259" customFormat="1" ht="13.5" hidden="1" customHeight="1">
      <c r="A17" s="272" t="s">
        <v>13</v>
      </c>
      <c r="B17" s="260" t="s">
        <v>2435</v>
      </c>
      <c r="C17" s="274"/>
      <c r="D17" s="1039"/>
      <c r="E17" s="274"/>
      <c r="F17" s="274"/>
      <c r="G17" s="264" t="s">
        <v>2434</v>
      </c>
    </row>
    <row r="18" spans="1:7" s="259" customFormat="1" ht="13.5" hidden="1" customHeight="1">
      <c r="A18" s="272" t="s">
        <v>14</v>
      </c>
      <c r="B18" s="260" t="s">
        <v>2436</v>
      </c>
      <c r="C18" s="265">
        <v>0</v>
      </c>
      <c r="D18" s="1038"/>
      <c r="E18" s="263"/>
      <c r="F18" s="266">
        <v>3.0499999999999999E-2</v>
      </c>
      <c r="G18" s="264" t="s">
        <v>2437</v>
      </c>
    </row>
    <row r="19" spans="1:7" s="268" customFormat="1" ht="13.5" customHeight="1">
      <c r="A19" s="300" t="s">
        <v>2438</v>
      </c>
      <c r="B19" s="255" t="s">
        <v>2439</v>
      </c>
      <c r="C19" s="256">
        <f ca="1">IF(G19="已包含在土地取得成本中","0",ROUND(D19*E19,0))</f>
        <v>390552</v>
      </c>
      <c r="D19" s="1040">
        <f ca="1">D9+D10</f>
        <v>1952.76</v>
      </c>
      <c r="E19" s="256">
        <f>'数据-取费表'!B31</f>
        <v>200</v>
      </c>
      <c r="F19" s="276"/>
      <c r="G19" s="2557"/>
    </row>
    <row r="20" spans="1:7" s="259" customFormat="1" ht="13.5" customHeight="1">
      <c r="A20" s="300" t="s">
        <v>2440</v>
      </c>
      <c r="B20" s="255" t="s">
        <v>2441</v>
      </c>
      <c r="C20" s="277">
        <f ca="1">ROUND((C5+C19)*F20,0)</f>
        <v>7811</v>
      </c>
      <c r="D20" s="277"/>
      <c r="E20" s="277"/>
      <c r="F20" s="278">
        <f>'数据-取费表'!B37</f>
        <v>0.02</v>
      </c>
      <c r="G20" s="279" t="s">
        <v>2442</v>
      </c>
    </row>
    <row r="21" spans="1:7" s="259" customFormat="1" ht="13.5" customHeight="1">
      <c r="A21" s="300" t="s">
        <v>2443</v>
      </c>
      <c r="B21" s="255" t="s">
        <v>2444</v>
      </c>
      <c r="C21" s="280">
        <f>F21</f>
        <v>0.02</v>
      </c>
      <c r="D21" s="281" t="s">
        <v>2445</v>
      </c>
      <c r="E21" s="277"/>
      <c r="F21" s="278">
        <f>'数据-取费表'!B38</f>
        <v>0.02</v>
      </c>
      <c r="G21" s="279" t="s">
        <v>2446</v>
      </c>
    </row>
    <row r="22" spans="1:7" s="259" customFormat="1" ht="13.5" customHeight="1">
      <c r="A22" s="300" t="s">
        <v>2447</v>
      </c>
      <c r="B22" s="255" t="s">
        <v>2448</v>
      </c>
      <c r="C22" s="1384">
        <f ca="1">ROUND(SUM(C23:C25),0)</f>
        <v>38355</v>
      </c>
      <c r="D22" s="280">
        <f ca="1">C26</f>
        <v>1E-3</v>
      </c>
      <c r="E22" s="281" t="s">
        <v>2445</v>
      </c>
      <c r="F22" s="282">
        <f ca="1">'数据-取费表'!B40</f>
        <v>4.7500000000000001E-2</v>
      </c>
      <c r="G22" s="279" t="str">
        <f>IF('数据-取费表'!B22&lt;=1,"单利计息","复利计息")</f>
        <v>复利计息</v>
      </c>
    </row>
    <row r="23" spans="1:7" s="259" customFormat="1" ht="13.5" customHeight="1">
      <c r="A23" s="955" t="s">
        <v>2338</v>
      </c>
      <c r="B23" s="260" t="s">
        <v>2449</v>
      </c>
      <c r="C23" s="1385">
        <f ca="1">ROUND(IF('数据-取费表'!B22&lt;=1,C5*F22*'数据-取费表'!B22,C5*(POWER((1+F22),'数据-取费表'!B22)-1)),0)</f>
        <v>0</v>
      </c>
      <c r="D23" s="283"/>
      <c r="E23" s="283"/>
      <c r="F23" s="284"/>
      <c r="G23" s="285" t="s">
        <v>2450</v>
      </c>
    </row>
    <row r="24" spans="1:7" s="259" customFormat="1" ht="13.5" customHeight="1">
      <c r="A24" s="955" t="s">
        <v>2340</v>
      </c>
      <c r="B24" s="260" t="s">
        <v>2451</v>
      </c>
      <c r="C24" s="1385">
        <f ca="1">ROUND(IF('数据-取费表'!B22&lt;=1,C19*F22*('数据-取费表'!B19/2+'数据-取费表'!B20),C19*(POWER((1+F22),('数据-取费表'!B19/2+'数据-取费表'!B20))-1)),0)</f>
        <v>37984</v>
      </c>
      <c r="D24" s="283"/>
      <c r="E24" s="283"/>
      <c r="F24" s="284"/>
      <c r="G24" s="285" t="s">
        <v>2452</v>
      </c>
    </row>
    <row r="25" spans="1:7" s="259" customFormat="1" ht="24">
      <c r="A25" s="955" t="s">
        <v>2342</v>
      </c>
      <c r="B25" s="260" t="s">
        <v>2453</v>
      </c>
      <c r="C25" s="1385">
        <f ca="1">ROUND(IF('数据-取费表'!B22&lt;=1,C20*F22*'数据-取费表'!B22/2,C20*(POWER((1+F22),'数据-取费表'!B22/2)-1)),0)</f>
        <v>371</v>
      </c>
      <c r="D25" s="283"/>
      <c r="E25" s="286"/>
      <c r="F25" s="284"/>
      <c r="G25" s="287" t="s">
        <v>2454</v>
      </c>
    </row>
    <row r="26" spans="1:7" s="259" customFormat="1">
      <c r="A26" s="955" t="s">
        <v>795</v>
      </c>
      <c r="B26" s="260" t="s">
        <v>2377</v>
      </c>
      <c r="C26" s="283">
        <f ca="1">ROUND(IF('数据-取费表'!B22&lt;=1,F21*F22*'数据-取费表'!B22/2,F21*(POWER((1+F22),'数据-取费表'!B22/2)-1)),4)</f>
        <v>1E-3</v>
      </c>
      <c r="D26" s="283"/>
      <c r="E26" s="286"/>
      <c r="F26" s="284"/>
      <c r="G26" s="288"/>
    </row>
    <row r="27" spans="1:7" s="259" customFormat="1" ht="24.75">
      <c r="A27" s="300" t="s">
        <v>2378</v>
      </c>
      <c r="B27" s="289" t="s">
        <v>2379</v>
      </c>
      <c r="C27" s="290">
        <f ca="1">C28</f>
        <v>79673</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ROUND((C5+C19+C20)*F27,0)</f>
        <v>79673</v>
      </c>
      <c r="D28" s="280"/>
      <c r="E28" s="281"/>
      <c r="F28" s="291"/>
      <c r="G28" s="292"/>
    </row>
    <row r="29" spans="1:7" s="259" customFormat="1" ht="13.5" customHeight="1">
      <c r="A29" s="955" t="s">
        <v>792</v>
      </c>
      <c r="B29" s="293" t="s">
        <v>2383</v>
      </c>
      <c r="C29" s="283">
        <f ca="1">ROUND(C21*F27,4)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560259</v>
      </c>
      <c r="D31" s="275"/>
      <c r="E31" s="256"/>
      <c r="F31" s="295"/>
      <c r="G31" s="279" t="s">
        <v>2388</v>
      </c>
    </row>
    <row r="32" spans="1:7" s="253" customFormat="1" ht="15.75">
      <c r="A32" s="297" t="s">
        <v>2455</v>
      </c>
      <c r="B32" s="298"/>
      <c r="C32" s="298"/>
      <c r="D32" s="298"/>
      <c r="E32" s="298"/>
      <c r="F32" s="298"/>
      <c r="G32" s="299"/>
    </row>
    <row r="33" spans="1:7" s="259" customFormat="1" ht="13.5" customHeight="1">
      <c r="A33" s="300" t="s">
        <v>782</v>
      </c>
      <c r="B33" s="255" t="s">
        <v>2456</v>
      </c>
      <c r="C33" s="301">
        <f ca="1">SUM(C34:C38)</f>
        <v>6317178</v>
      </c>
      <c r="D33" s="277"/>
      <c r="E33" s="257"/>
      <c r="F33" s="286"/>
      <c r="G33" s="279"/>
    </row>
    <row r="34" spans="1:7" s="303" customFormat="1" ht="13.5" customHeight="1">
      <c r="A34" s="955" t="s">
        <v>791</v>
      </c>
      <c r="B34" s="260" t="s">
        <v>2391</v>
      </c>
      <c r="C34" s="265">
        <f ca="1">ROUND(IF(B1="",SUMPRODUCT('数据-取费表'!K6:K14,'数据-取费表'!L6:L14),INDIRECT("'数据-取费表'!l"&amp;$G$1)*INDIRECT("'数据-取费表'!k"&amp;$G$1)+'数据-取费表'!L14*INDIRECT("'数据-取费表'!S"&amp;$G$1)),0)</f>
        <v>5858280</v>
      </c>
      <c r="D34" s="262"/>
      <c r="E34" s="265"/>
      <c r="F34" s="302"/>
      <c r="G34" s="264"/>
    </row>
    <row r="35" spans="1:7" ht="13.5" customHeight="1">
      <c r="A35" s="955" t="s">
        <v>796</v>
      </c>
      <c r="B35" s="260" t="s">
        <v>2393</v>
      </c>
      <c r="C35" s="265">
        <f ca="1">ROUND(C34*F35,0)</f>
        <v>175748</v>
      </c>
      <c r="D35" s="265"/>
      <c r="E35" s="265"/>
      <c r="F35" s="304">
        <f>'数据-取费表'!B33</f>
        <v>0.03</v>
      </c>
      <c r="G35" s="264" t="s">
        <v>2394</v>
      </c>
    </row>
    <row r="36" spans="1:7" ht="24">
      <c r="A36" s="955" t="s">
        <v>797</v>
      </c>
      <c r="B36" s="260" t="s">
        <v>2395</v>
      </c>
      <c r="C36" s="265">
        <f ca="1">ROUND(IF(B1="",SUM('数据-取费表'!AP6:AP13)*F36,IF(INDIRECT("'数据-取费表'!c"&amp;$G$1)="住宅",INDIRECT("'数据-取费表'!k"&amp;$G$1)*INDIRECT("'数据-取费表'!l"&amp;$G$1)*F36,0)),0)</f>
        <v>0</v>
      </c>
      <c r="D36" s="265"/>
      <c r="E36" s="265"/>
      <c r="F36" s="304">
        <f>'数据-取费表'!B34</f>
        <v>0.03</v>
      </c>
      <c r="G36" s="305" t="s">
        <v>2396</v>
      </c>
    </row>
    <row r="37" spans="1:7" s="303" customFormat="1" ht="13.5" customHeight="1">
      <c r="A37" s="955" t="s">
        <v>798</v>
      </c>
      <c r="B37" s="260" t="s">
        <v>2397</v>
      </c>
      <c r="C37" s="294">
        <f ca="1">ROUND(E37*D37,0)</f>
        <v>195276</v>
      </c>
      <c r="D37" s="262">
        <f ca="1">D19</f>
        <v>1952.76</v>
      </c>
      <c r="E37" s="294">
        <f>'数据-取费表'!B35</f>
        <v>100</v>
      </c>
      <c r="F37" s="304"/>
      <c r="G37" s="306"/>
    </row>
    <row r="38" spans="1:7" ht="13.5" customHeight="1">
      <c r="A38" s="955" t="s">
        <v>799</v>
      </c>
      <c r="B38" s="260" t="s">
        <v>2399</v>
      </c>
      <c r="C38" s="265">
        <f ca="1">ROUND(C34*F38,0)</f>
        <v>87874</v>
      </c>
      <c r="D38" s="265"/>
      <c r="E38" s="265"/>
      <c r="F38" s="304">
        <f>'数据-取费表'!B36</f>
        <v>1.4999999999999999E-2</v>
      </c>
      <c r="G38" s="264" t="s">
        <v>2394</v>
      </c>
    </row>
    <row r="39" spans="1:7" s="259" customFormat="1" ht="13.5" customHeight="1">
      <c r="A39" s="300" t="s">
        <v>2400</v>
      </c>
      <c r="B39" s="255" t="s">
        <v>2401</v>
      </c>
      <c r="C39" s="277">
        <f ca="1">ROUND(C33*F20,0)</f>
        <v>126344</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306067</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ROUND(IF('数据-取费表'!B22&lt;=1,C33*F22*'数据-取费表'!B20/2,C33*(POWER((1+F22),'数据-取费表'!B20/2)-1)),0)</f>
        <v>300066</v>
      </c>
      <c r="D42" s="283"/>
      <c r="E42" s="283"/>
      <c r="F42" s="284"/>
      <c r="G42" s="3210" t="s">
        <v>2457</v>
      </c>
    </row>
    <row r="43" spans="1:7" ht="13.5" customHeight="1">
      <c r="A43" s="955" t="s">
        <v>792</v>
      </c>
      <c r="B43" s="260" t="s">
        <v>2411</v>
      </c>
      <c r="C43" s="283">
        <f ca="1">ROUND(IF('数据-取费表'!B22&lt;=1,C39*F22*'数据-取费表'!B20/2,C39*(POWER((1+F22),'数据-取费表'!B20/2)-1)),0)</f>
        <v>6001</v>
      </c>
      <c r="D43" s="283"/>
      <c r="E43" s="283"/>
      <c r="F43" s="284"/>
      <c r="G43" s="3211"/>
    </row>
    <row r="44" spans="1:7" ht="13.5" customHeight="1">
      <c r="A44" s="955" t="s">
        <v>793</v>
      </c>
      <c r="B44" s="260" t="s">
        <v>2412</v>
      </c>
      <c r="C44" s="283">
        <f ca="1">ROUND(IF('数据-取费表'!B22&lt;=1,C40*F22*'数据-取费表'!B20/2,C40*(POWER((1+F22),'数据-取费表'!B20/2)-1)),4)</f>
        <v>1E-3</v>
      </c>
      <c r="D44" s="283"/>
      <c r="E44" s="283"/>
      <c r="F44" s="284"/>
      <c r="G44" s="3212"/>
    </row>
    <row r="45" spans="1:7" s="259" customFormat="1" ht="13.5" customHeight="1">
      <c r="A45" s="300" t="s">
        <v>2413</v>
      </c>
      <c r="B45" s="289" t="s">
        <v>2379</v>
      </c>
      <c r="C45" s="290">
        <f ca="1">C46</f>
        <v>1288704</v>
      </c>
      <c r="D45" s="280">
        <f ca="1">C47</f>
        <v>4.0000000000000001E-3</v>
      </c>
      <c r="E45" s="281" t="s">
        <v>2405</v>
      </c>
      <c r="F45" s="291"/>
      <c r="G45" s="292" t="s">
        <v>2414</v>
      </c>
    </row>
    <row r="46" spans="1:7" s="259" customFormat="1" ht="13.5" customHeight="1">
      <c r="A46" s="955" t="s">
        <v>791</v>
      </c>
      <c r="B46" s="293" t="s">
        <v>2415</v>
      </c>
      <c r="C46" s="294">
        <f ca="1">ROUND((C33+C39)*F27,0)</f>
        <v>1288704</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307">
        <f>ROUND(F30/(1+'数据-取费表'!C42),4)</f>
        <v>5.33E-2</v>
      </c>
      <c r="D48" s="281" t="s">
        <v>2405</v>
      </c>
      <c r="E48" s="277"/>
      <c r="F48" s="282"/>
      <c r="G48" s="279" t="s">
        <v>2418</v>
      </c>
    </row>
    <row r="49" spans="1:7" ht="16.5" customHeight="1">
      <c r="A49" s="300" t="s">
        <v>2384</v>
      </c>
      <c r="B49" s="255" t="s">
        <v>2458</v>
      </c>
      <c r="C49" s="277">
        <f ca="1">ROUND((C33+C39+C41+C45)/(1-C40-D41-D45-C48),0)</f>
        <v>8721160</v>
      </c>
      <c r="D49" s="277"/>
      <c r="E49" s="277"/>
      <c r="F49" s="309"/>
      <c r="G49" s="279" t="s">
        <v>2420</v>
      </c>
    </row>
    <row r="50" spans="1:7" s="303" customFormat="1">
      <c r="A50" s="300" t="s">
        <v>2421</v>
      </c>
      <c r="B50" s="255" t="s">
        <v>2422</v>
      </c>
      <c r="C50" s="277"/>
      <c r="D50" s="277"/>
      <c r="E50" s="277"/>
      <c r="F50" s="309">
        <f>IF('数据-取费表'!B24=0,'数据-取费表'!N16,1)</f>
        <v>0.85</v>
      </c>
      <c r="G50" s="292"/>
    </row>
    <row r="51" spans="1:7" ht="16.5" customHeight="1">
      <c r="A51" s="300" t="s">
        <v>2424</v>
      </c>
      <c r="B51" s="255" t="s">
        <v>2459</v>
      </c>
      <c r="C51" s="277">
        <f ca="1">ROUND(C49*F50,0)</f>
        <v>7412986</v>
      </c>
      <c r="D51" s="277"/>
      <c r="E51" s="277"/>
      <c r="F51" s="309"/>
      <c r="G51" s="279" t="s">
        <v>2426</v>
      </c>
    </row>
    <row r="52" spans="1:7" s="253" customFormat="1" ht="16.5" thickBot="1">
      <c r="A52" s="310" t="s">
        <v>2427</v>
      </c>
      <c r="B52" s="311"/>
      <c r="C52" s="312">
        <f ca="1">C31+C51</f>
        <v>7973245</v>
      </c>
      <c r="D52" s="311"/>
      <c r="E52" s="311"/>
      <c r="F52" s="311"/>
      <c r="G52" s="313"/>
    </row>
    <row r="55" spans="1:7" ht="15">
      <c r="B55" s="315" t="s">
        <v>2428</v>
      </c>
      <c r="C55" s="316"/>
    </row>
    <row r="56" spans="1:7">
      <c r="B56" s="318" t="s">
        <v>1514</v>
      </c>
      <c r="C56" s="320">
        <f ca="1">1-C57</f>
        <v>6.9999999999999951E-2</v>
      </c>
    </row>
    <row r="57" spans="1:7">
      <c r="B57" s="318" t="s">
        <v>1515</v>
      </c>
      <c r="C57" s="319">
        <f ca="1">ROUND(C51/C52,3)</f>
        <v>0.93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2460</v>
      </c>
      <c r="B1" s="1586"/>
      <c r="C1" s="1587"/>
      <c r="D1" s="1585"/>
      <c r="E1" s="321"/>
      <c r="F1" s="321"/>
      <c r="G1" s="1586"/>
      <c r="H1" s="321"/>
      <c r="I1" s="321"/>
      <c r="J1" s="321"/>
      <c r="K1" s="321">
        <f>MATCH(C1,'数据-取费表'!A6:A16,0)+5</f>
        <v>7</v>
      </c>
    </row>
    <row r="2" spans="1:33" ht="18" customHeight="1">
      <c r="A2" s="246" t="s">
        <v>2328</v>
      </c>
      <c r="B2" s="249">
        <f ca="1">C32</f>
        <v>238</v>
      </c>
      <c r="C2" s="321" t="s">
        <v>2461</v>
      </c>
      <c r="D2" s="321"/>
      <c r="E2" s="321"/>
      <c r="F2" s="321"/>
      <c r="G2" s="321"/>
      <c r="H2" s="321"/>
      <c r="I2" s="321"/>
      <c r="J2" s="321"/>
      <c r="K2" s="321"/>
    </row>
    <row r="3" spans="1:33" ht="18" customHeight="1" thickBot="1">
      <c r="A3" s="248" t="s">
        <v>2330</v>
      </c>
      <c r="B3" s="249">
        <f ca="1">ROUND(B2*10000/IF(C1="",'数据-汇总表'!E3,INDIRECT("'数据-取费表'!K"&amp;$K$1)),0)</f>
        <v>1219</v>
      </c>
      <c r="C3" s="321" t="s">
        <v>2462</v>
      </c>
      <c r="D3" s="321"/>
      <c r="E3" s="321"/>
      <c r="F3" s="321"/>
      <c r="G3" s="321"/>
      <c r="H3" s="321"/>
      <c r="I3" s="321"/>
      <c r="J3" s="321"/>
      <c r="K3" s="321"/>
    </row>
    <row r="4" spans="1:33" s="960" customFormat="1" ht="16.5" customHeight="1">
      <c r="A4" s="957" t="s">
        <v>2463</v>
      </c>
      <c r="B4" s="958"/>
      <c r="C4" s="1000">
        <f>SUM(C8:K8)</f>
        <v>0</v>
      </c>
      <c r="D4" s="958"/>
      <c r="E4" s="958"/>
      <c r="F4" s="958"/>
      <c r="G4" s="958"/>
      <c r="H4" s="958"/>
      <c r="I4" s="958"/>
      <c r="J4" s="958"/>
      <c r="K4" s="959"/>
    </row>
    <row r="5" spans="1:33" s="964" customFormat="1" ht="24.75">
      <c r="A5" s="961" t="s">
        <v>2464</v>
      </c>
      <c r="B5" s="962" t="s">
        <v>2465</v>
      </c>
      <c r="C5" s="2561" t="s">
        <v>2466</v>
      </c>
      <c r="D5" s="2561" t="s">
        <v>2467</v>
      </c>
      <c r="E5" s="2561" t="s">
        <v>2468</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2469</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2470</v>
      </c>
      <c r="B7" s="140" t="s">
        <v>2471</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2472</v>
      </c>
      <c r="B8" s="178" t="s">
        <v>2473</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2474</v>
      </c>
      <c r="B9" s="958"/>
      <c r="C9" s="958"/>
      <c r="D9" s="958"/>
      <c r="E9" s="958"/>
      <c r="F9" s="958"/>
      <c r="G9" s="958"/>
      <c r="H9" s="958"/>
      <c r="I9" s="958"/>
      <c r="J9" s="958"/>
      <c r="K9" s="959"/>
    </row>
    <row r="10" spans="1:33" s="974" customFormat="1" ht="13.5" customHeight="1">
      <c r="A10" s="961" t="s">
        <v>2475</v>
      </c>
      <c r="B10" s="8" t="s">
        <v>2476</v>
      </c>
      <c r="C10" s="970" t="s">
        <v>2477</v>
      </c>
      <c r="D10" s="971" t="s">
        <v>2478</v>
      </c>
      <c r="E10" s="971" t="s">
        <v>2479</v>
      </c>
      <c r="F10" s="971" t="s">
        <v>2480</v>
      </c>
      <c r="G10" s="8"/>
      <c r="H10" s="972"/>
      <c r="I10" s="972"/>
      <c r="J10" s="972"/>
      <c r="K10" s="973"/>
    </row>
    <row r="11" spans="1:33" s="979" customFormat="1" ht="13.5" customHeight="1">
      <c r="A11" s="975" t="s">
        <v>1335</v>
      </c>
      <c r="B11" s="976" t="s">
        <v>2481</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2482</v>
      </c>
      <c r="C12" s="24">
        <f ca="1">ROUND(C11*F12,0)</f>
        <v>0</v>
      </c>
      <c r="D12" s="977"/>
      <c r="E12" s="376"/>
      <c r="F12" s="980">
        <f>'数据-取费表'!B33</f>
        <v>0.03</v>
      </c>
      <c r="G12" s="8" t="s">
        <v>2483</v>
      </c>
      <c r="H12" s="972"/>
      <c r="I12" s="972"/>
      <c r="J12" s="972"/>
      <c r="K12" s="973"/>
    </row>
    <row r="13" spans="1:33" s="979" customFormat="1" ht="13.5" customHeight="1">
      <c r="A13" s="975" t="s">
        <v>1337</v>
      </c>
      <c r="B13" s="976" t="s">
        <v>2484</v>
      </c>
      <c r="C13" s="24">
        <f ca="1">ROUND(IF(C1="",SUMIF('数据-取费表'!C:C,"住宅",'数据-取费表'!P:P)*F13,IF(INDIRECT("'数据-取费表'!c"&amp;$K$1)="住宅",INDIRECT("'数据-取费表'!P"&amp;$K$1)*F13,0)),0)</f>
        <v>0</v>
      </c>
      <c r="D13" s="1037"/>
      <c r="E13" s="376"/>
      <c r="F13" s="980">
        <f>'数据-取费表'!B34</f>
        <v>0.03</v>
      </c>
      <c r="G13" s="8" t="s">
        <v>2485</v>
      </c>
      <c r="H13" s="972"/>
      <c r="I13" s="972"/>
      <c r="J13" s="972"/>
      <c r="K13" s="973"/>
    </row>
    <row r="14" spans="1:33" s="981" customFormat="1" ht="13.5" customHeight="1">
      <c r="A14" s="975" t="s">
        <v>1338</v>
      </c>
      <c r="B14" s="976" t="s">
        <v>2486</v>
      </c>
      <c r="C14" s="24">
        <f ca="1">ROUND(D14*E14*F11/10000,0)</f>
        <v>0</v>
      </c>
      <c r="D14" s="1037">
        <f ca="1">IF(C1="",'数据-汇总表'!E3,INDIRECT("'数据-取费表'!K"&amp;$K$1)+INDIRECT("'数据-取费表'!S"&amp;$K$1))</f>
        <v>1952.76</v>
      </c>
      <c r="E14" s="24">
        <f>'数据-取费表'!B35</f>
        <v>100</v>
      </c>
      <c r="F14" s="980"/>
      <c r="G14" s="8" t="s">
        <v>2487</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2488</v>
      </c>
      <c r="C15" s="987">
        <f ca="1">ROUND(C11*F15,0)</f>
        <v>0</v>
      </c>
      <c r="D15" s="982"/>
      <c r="E15" s="987"/>
      <c r="F15" s="988">
        <f>'数据-取费表'!B36</f>
        <v>1.4999999999999999E-2</v>
      </c>
      <c r="G15" s="140" t="s">
        <v>2489</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2490</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2491</v>
      </c>
      <c r="C17" s="24">
        <f ca="1">ROUND(D17*E17/10000,0)</f>
        <v>0</v>
      </c>
      <c r="D17" s="1037">
        <f ca="1">D14</f>
        <v>1952.76</v>
      </c>
      <c r="E17" s="24">
        <f>'数据-取费表'!B32</f>
        <v>0</v>
      </c>
      <c r="F17" s="982"/>
      <c r="G17" s="140" t="s">
        <v>2492</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2493</v>
      </c>
      <c r="C18" s="24">
        <f ca="1">C19+C20-IF(C1="",'数据-取费表'!B29,IF(G18="已全部缴纳",C19+C20,H18))</f>
        <v>-200</v>
      </c>
      <c r="D18" s="1037"/>
      <c r="E18" s="24"/>
      <c r="F18" s="980"/>
      <c r="G18" s="2563"/>
      <c r="H18" s="1582"/>
      <c r="I18" s="2564" t="s">
        <v>2494</v>
      </c>
      <c r="J18" s="983"/>
      <c r="K18" s="984"/>
    </row>
    <row r="19" spans="1:33" s="979" customFormat="1" ht="13.5" customHeight="1">
      <c r="A19" s="975" t="s">
        <v>805</v>
      </c>
      <c r="B19" s="976" t="s">
        <v>2495</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2496</v>
      </c>
      <c r="C20" s="24">
        <f ca="1">ROUND(D20*E20/10000,0)</f>
        <v>0</v>
      </c>
      <c r="D20" s="1037">
        <f ca="1">IF(C1="",'数据-汇总表'!E6,IF(INDIRECT("'数据-取费表'!c"&amp;$K$1)="住宅",INDIRECT("'数据-取费表'!s"&amp;$K$1),INDIRECT("'数据-取费表'!k"&amp;$K$1)+INDIRECT("'数据-取费表'!s"&amp;$K$1)))</f>
        <v>1952.76</v>
      </c>
      <c r="E20" s="24">
        <f>'数据-取费表'!B28</f>
        <v>0</v>
      </c>
      <c r="F20" s="980"/>
      <c r="G20" s="15"/>
      <c r="H20" s="985"/>
      <c r="I20" s="985"/>
      <c r="J20" s="985"/>
      <c r="K20" s="986"/>
    </row>
    <row r="21" spans="1:33" s="979" customFormat="1" ht="13.5" customHeight="1">
      <c r="A21" s="965" t="s">
        <v>802</v>
      </c>
      <c r="B21" s="989" t="s">
        <v>2497</v>
      </c>
      <c r="C21" s="990">
        <f ca="1">C16+C17+C18</f>
        <v>-200</v>
      </c>
      <c r="D21" s="991"/>
      <c r="E21" s="326"/>
      <c r="F21" s="326"/>
      <c r="G21" s="140" t="s">
        <v>2498</v>
      </c>
      <c r="H21" s="983"/>
      <c r="I21" s="983"/>
      <c r="J21" s="983"/>
      <c r="K21" s="984"/>
    </row>
    <row r="22" spans="1:33" s="979" customFormat="1" ht="13.5" customHeight="1">
      <c r="A22" s="965" t="s">
        <v>2470</v>
      </c>
      <c r="B22" s="989" t="s">
        <v>2499</v>
      </c>
      <c r="C22" s="990">
        <f ca="1">ROUND(C21*F22,0)</f>
        <v>-4</v>
      </c>
      <c r="D22" s="326"/>
      <c r="E22" s="326"/>
      <c r="F22" s="992">
        <f>'数据-取费表'!B37</f>
        <v>0.02</v>
      </c>
      <c r="G22" s="8" t="s">
        <v>2500</v>
      </c>
      <c r="H22" s="972"/>
      <c r="I22" s="972"/>
      <c r="J22" s="972"/>
      <c r="K22" s="973"/>
    </row>
    <row r="23" spans="1:33" s="979" customFormat="1" ht="13.5" customHeight="1">
      <c r="A23" s="965" t="s">
        <v>2472</v>
      </c>
      <c r="B23" s="989" t="s">
        <v>2501</v>
      </c>
      <c r="C23" s="990">
        <f ca="1">ROUND(C4*F23*F11,0)</f>
        <v>0</v>
      </c>
      <c r="D23" s="326"/>
      <c r="E23" s="326"/>
      <c r="F23" s="992">
        <f>'数据-取费表'!B38</f>
        <v>0.02</v>
      </c>
      <c r="G23" s="8" t="s">
        <v>2502</v>
      </c>
      <c r="H23" s="972"/>
      <c r="I23" s="972"/>
      <c r="J23" s="972"/>
      <c r="K23" s="973"/>
    </row>
    <row r="24" spans="1:33" s="979" customFormat="1" ht="13.5" customHeight="1">
      <c r="A24" s="965" t="s">
        <v>2503</v>
      </c>
      <c r="B24" s="989" t="s">
        <v>2504</v>
      </c>
      <c r="C24" s="325">
        <f>ROUND(F24/(1+'数据-取费表'!C42),4)</f>
        <v>2.9000000000000001E-2</v>
      </c>
      <c r="D24" s="326" t="s">
        <v>15</v>
      </c>
      <c r="E24" s="326"/>
      <c r="F24" s="992">
        <f>'数据-取费表'!B48+'数据-取费表'!B49</f>
        <v>3.0499999999999999E-2</v>
      </c>
      <c r="G24" s="8" t="s">
        <v>2505</v>
      </c>
      <c r="H24" s="994"/>
      <c r="I24" s="994"/>
      <c r="J24" s="994"/>
      <c r="K24" s="995"/>
    </row>
    <row r="25" spans="1:33" s="979" customFormat="1" ht="13.5" customHeight="1">
      <c r="A25" s="965" t="s">
        <v>2506</v>
      </c>
      <c r="B25" s="991" t="s">
        <v>2507</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2508</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2509</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2510</v>
      </c>
      <c r="B28" s="2566" t="s">
        <v>2511</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2512</v>
      </c>
      <c r="C29" s="329">
        <f ca="1">ROUND((1+C24)*F28*'数据-取费表'!B24/'数据-取费表'!B20,4)</f>
        <v>0</v>
      </c>
      <c r="D29" s="329"/>
      <c r="E29" s="330"/>
      <c r="F29" s="335"/>
      <c r="G29" s="140" t="s">
        <v>2513</v>
      </c>
      <c r="H29" s="983"/>
      <c r="I29" s="983"/>
      <c r="J29" s="983"/>
      <c r="K29" s="984"/>
    </row>
    <row r="30" spans="1:33" s="336" customFormat="1" ht="13.5" customHeight="1">
      <c r="A30" s="975" t="s">
        <v>804</v>
      </c>
      <c r="B30" s="998" t="s">
        <v>2514</v>
      </c>
      <c r="C30" s="337">
        <f ca="1">ROUND((C21+C22+C23)*F28,0)</f>
        <v>-41</v>
      </c>
      <c r="D30" s="329"/>
      <c r="E30" s="330"/>
      <c r="F30" s="335"/>
      <c r="G30" s="140"/>
      <c r="H30" s="983"/>
      <c r="I30" s="983"/>
      <c r="J30" s="983"/>
      <c r="K30" s="984"/>
    </row>
    <row r="31" spans="1:33" s="979" customFormat="1" ht="13.5" customHeight="1" thickBot="1">
      <c r="A31" s="2567" t="s">
        <v>2515</v>
      </c>
      <c r="B31" s="1009" t="s">
        <v>2516</v>
      </c>
      <c r="C31" s="1010">
        <f>ROUND(C4*F31/(1+'数据-取费表'!C42),0)</f>
        <v>0</v>
      </c>
      <c r="D31" s="1011"/>
      <c r="E31" s="1012"/>
      <c r="F31" s="1013">
        <f>'数据-取费表'!B41</f>
        <v>5.6000000000000001E-2</v>
      </c>
      <c r="G31" s="1014" t="s">
        <v>2517</v>
      </c>
      <c r="H31" s="1015"/>
      <c r="I31" s="1015"/>
      <c r="J31" s="1015"/>
      <c r="K31" s="1016"/>
    </row>
    <row r="32" spans="1:33" s="974" customFormat="1" ht="13.5" customHeight="1" thickBot="1">
      <c r="A32" s="1004" t="s">
        <v>2518</v>
      </c>
      <c r="B32" s="1005"/>
      <c r="C32" s="1006">
        <f ca="1">ROUND((C4-C21-C22-C23-C25-C28-C31)/(1+C24+D25+D28),0)</f>
        <v>238</v>
      </c>
      <c r="D32" s="1005"/>
      <c r="E32" s="1005"/>
      <c r="F32" s="1005"/>
      <c r="G32" s="1007" t="s">
        <v>2519</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82" zoomScale="90" zoomScaleNormal="90" workbookViewId="0">
      <selection activeCell="K105" sqref="K105:M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3206</v>
      </c>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f>IF(C2="——",ROUND(C50*D3/10000,0),ROUND(C50*D3/10000,0)-D2)</f>
        <v>7506</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f>IF(C2="——",C50,ROUND(B2*10000/D3,0))</f>
        <v>38438</v>
      </c>
      <c r="C3" s="401" t="s">
        <v>2645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2646</v>
      </c>
      <c r="B4" s="403"/>
      <c r="C4" s="3231" t="s">
        <v>2647</v>
      </c>
      <c r="D4" s="3232"/>
      <c r="E4" s="3233" t="s">
        <v>2648</v>
      </c>
      <c r="F4" s="3234"/>
      <c r="G4" s="3231" t="s">
        <v>2649</v>
      </c>
      <c r="H4" s="3232"/>
      <c r="I4" s="3231" t="s">
        <v>2650</v>
      </c>
      <c r="J4" s="3232"/>
      <c r="K4" s="611" t="s">
        <v>2651</v>
      </c>
      <c r="L4" s="1134"/>
      <c r="M4" s="1135"/>
      <c r="N4" s="1135"/>
      <c r="O4" s="1135"/>
      <c r="P4" s="3235" t="s">
        <v>2652</v>
      </c>
      <c r="Q4" s="3236"/>
      <c r="R4" s="3241" t="s">
        <v>2648</v>
      </c>
      <c r="S4" s="3242"/>
      <c r="T4" s="3241" t="s">
        <v>2649</v>
      </c>
      <c r="U4" s="3242"/>
      <c r="V4" s="3247" t="s">
        <v>2650</v>
      </c>
      <c r="W4" s="3247"/>
      <c r="X4" s="2677"/>
      <c r="Y4" s="3241" t="s">
        <v>2652</v>
      </c>
      <c r="Z4" s="3242"/>
      <c r="AA4" s="3260" t="s">
        <v>2648</v>
      </c>
      <c r="AB4" s="3260" t="s">
        <v>2649</v>
      </c>
      <c r="AC4" s="3228" t="s">
        <v>2650</v>
      </c>
    </row>
    <row r="5" spans="1:29" ht="15">
      <c r="A5" s="405"/>
      <c r="B5" s="406"/>
      <c r="C5" s="3257" t="s">
        <v>2543</v>
      </c>
      <c r="D5" s="3252"/>
      <c r="E5" s="3263" t="s">
        <v>3122</v>
      </c>
      <c r="F5" s="3264"/>
      <c r="G5" s="3251" t="s">
        <v>3123</v>
      </c>
      <c r="H5" s="3252"/>
      <c r="I5" s="3251" t="s">
        <v>3124</v>
      </c>
      <c r="J5" s="3252"/>
      <c r="K5" s="611"/>
      <c r="L5" s="1134"/>
      <c r="M5" s="1135"/>
      <c r="N5" s="1135"/>
      <c r="O5" s="1135"/>
      <c r="P5" s="3237"/>
      <c r="Q5" s="3238"/>
      <c r="R5" s="3243"/>
      <c r="S5" s="3244"/>
      <c r="T5" s="3243"/>
      <c r="U5" s="3244"/>
      <c r="V5" s="3248"/>
      <c r="W5" s="3248"/>
      <c r="X5" s="1818"/>
      <c r="Y5" s="3243"/>
      <c r="Z5" s="3244"/>
      <c r="AA5" s="3261"/>
      <c r="AB5" s="3261"/>
      <c r="AC5" s="3229"/>
    </row>
    <row r="6" spans="1:29" ht="15.75" thickBot="1">
      <c r="A6" s="407"/>
      <c r="B6" s="408"/>
      <c r="C6" s="3249" t="s">
        <v>2547</v>
      </c>
      <c r="D6" s="3250"/>
      <c r="E6" s="3258" t="s">
        <v>2547</v>
      </c>
      <c r="F6" s="3259"/>
      <c r="G6" s="3249" t="s">
        <v>2547</v>
      </c>
      <c r="H6" s="3250"/>
      <c r="I6" s="3249" t="s">
        <v>2547</v>
      </c>
      <c r="J6" s="3250"/>
      <c r="K6" s="611" t="s">
        <v>2548</v>
      </c>
      <c r="L6" s="1134"/>
      <c r="M6" s="1135"/>
      <c r="N6" s="1135"/>
      <c r="O6" s="1135"/>
      <c r="P6" s="3239"/>
      <c r="Q6" s="3240"/>
      <c r="R6" s="3243"/>
      <c r="S6" s="3244"/>
      <c r="T6" s="3245"/>
      <c r="U6" s="3246"/>
      <c r="V6" s="3248"/>
      <c r="W6" s="3248"/>
      <c r="X6" s="1818"/>
      <c r="Y6" s="3245"/>
      <c r="Z6" s="3246"/>
      <c r="AA6" s="3262"/>
      <c r="AB6" s="3262"/>
      <c r="AC6" s="3230"/>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3" t="s">
        <v>2550</v>
      </c>
      <c r="Q7" s="3256"/>
      <c r="R7" s="771" t="s">
        <v>17</v>
      </c>
      <c r="S7" s="772">
        <f t="shared" ref="S7:S15" si="0">F7</f>
        <v>100</v>
      </c>
      <c r="T7" s="771" t="s">
        <v>17</v>
      </c>
      <c r="U7" s="772">
        <f t="shared" ref="U7:U15" si="1">H7</f>
        <v>100</v>
      </c>
      <c r="V7" s="771" t="s">
        <v>17</v>
      </c>
      <c r="W7" s="772">
        <f t="shared" ref="W7:W15" si="2">J7</f>
        <v>100</v>
      </c>
      <c r="X7" s="773"/>
      <c r="Y7" s="3255" t="s">
        <v>2550</v>
      </c>
      <c r="Z7" s="3254"/>
      <c r="AA7" s="774">
        <f>D7/F7</f>
        <v>1</v>
      </c>
      <c r="AB7" s="774">
        <f>D7/H7</f>
        <v>1</v>
      </c>
      <c r="AC7" s="2678">
        <f>D7/J7</f>
        <v>1</v>
      </c>
    </row>
    <row r="8" spans="1:29" s="117" customFormat="1" ht="15.75" thickBot="1">
      <c r="A8" s="409" t="s">
        <v>2551</v>
      </c>
      <c r="B8" s="410"/>
      <c r="C8" s="415" t="s">
        <v>2653</v>
      </c>
      <c r="D8" s="412">
        <v>100</v>
      </c>
      <c r="E8" s="415" t="s">
        <v>3119</v>
      </c>
      <c r="F8" s="414">
        <f>SUMIF(62:62,E8,63:63)-SUMIF(62:62,C8,63:63)+100</f>
        <v>100</v>
      </c>
      <c r="G8" s="415" t="s">
        <v>3119</v>
      </c>
      <c r="H8" s="412">
        <f>SUMIF(62:62,G8,63:63)-SUMIF(62:62,C8,63:63)+100</f>
        <v>100</v>
      </c>
      <c r="I8" s="415" t="s">
        <v>3119</v>
      </c>
      <c r="J8" s="412">
        <f>SUMIF(62:62,I8,63:63)-SUMIF(62:62,C8,63:63)+100</f>
        <v>100</v>
      </c>
      <c r="K8" s="612"/>
      <c r="L8" s="1136"/>
      <c r="M8" s="1137"/>
      <c r="N8" s="1137"/>
      <c r="O8" s="1137"/>
      <c r="P8" s="3253" t="s">
        <v>2553</v>
      </c>
      <c r="Q8" s="3254"/>
      <c r="R8" s="771" t="s">
        <v>17</v>
      </c>
      <c r="S8" s="772">
        <f t="shared" si="0"/>
        <v>100</v>
      </c>
      <c r="T8" s="771" t="s">
        <v>17</v>
      </c>
      <c r="U8" s="772">
        <f t="shared" si="1"/>
        <v>100</v>
      </c>
      <c r="V8" s="771" t="s">
        <v>17</v>
      </c>
      <c r="W8" s="772">
        <f t="shared" si="2"/>
        <v>100</v>
      </c>
      <c r="X8" s="773"/>
      <c r="Y8" s="3255" t="s">
        <v>2553</v>
      </c>
      <c r="Z8" s="3254"/>
      <c r="AA8" s="774">
        <f t="shared" ref="AA8:AA47" si="3">D8/F8</f>
        <v>1</v>
      </c>
      <c r="AB8" s="774">
        <f t="shared" ref="AB8:AB47" si="4">D8/H8</f>
        <v>1</v>
      </c>
      <c r="AC8" s="2678">
        <f t="shared" ref="AC8:AC47" si="5">D8/J8</f>
        <v>1</v>
      </c>
    </row>
    <row r="9" spans="1:29" s="117" customFormat="1">
      <c r="A9" s="416" t="s">
        <v>2554</v>
      </c>
      <c r="B9" s="71" t="s">
        <v>2555</v>
      </c>
      <c r="C9" s="2948" t="s">
        <v>3120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13" t="s">
        <v>2556</v>
      </c>
      <c r="Q9" s="1800" t="str">
        <f t="shared" ref="Q9:Q15" si="6">B9</f>
        <v>用途</v>
      </c>
      <c r="R9" s="771" t="s">
        <v>17</v>
      </c>
      <c r="S9" s="772">
        <f t="shared" si="0"/>
        <v>100</v>
      </c>
      <c r="T9" s="771" t="s">
        <v>17</v>
      </c>
      <c r="U9" s="772">
        <f t="shared" si="1"/>
        <v>100</v>
      </c>
      <c r="V9" s="771" t="s">
        <v>17</v>
      </c>
      <c r="W9" s="772">
        <f t="shared" si="2"/>
        <v>100</v>
      </c>
      <c r="X9" s="773"/>
      <c r="Y9" s="3068" t="s">
        <v>2557</v>
      </c>
      <c r="Z9" s="55" t="str">
        <f t="shared" ref="Z9:Z15" si="7">Q9</f>
        <v>用途</v>
      </c>
      <c r="AA9" s="774">
        <f t="shared" si="3"/>
        <v>1</v>
      </c>
      <c r="AB9" s="774">
        <f t="shared" si="4"/>
        <v>1</v>
      </c>
      <c r="AC9" s="2678">
        <f t="shared" si="5"/>
        <v>1</v>
      </c>
    </row>
    <row r="10" spans="1:29" s="428" customFormat="1" ht="27">
      <c r="A10" s="422"/>
      <c r="B10" s="423" t="s">
        <v>2558</v>
      </c>
      <c r="C10" s="424" t="s">
        <v>3125</v>
      </c>
      <c r="D10" s="136">
        <v>100</v>
      </c>
      <c r="E10" s="424" t="s">
        <v>3125</v>
      </c>
      <c r="F10" s="136">
        <f>SUMIF(66:66,E10,67:67)-SUMIF(66:66,C10,67:67)+100</f>
        <v>100</v>
      </c>
      <c r="G10" s="425" t="s">
        <v>3125</v>
      </c>
      <c r="H10" s="136">
        <f>SUMIF(66:66,G10,67:67)-SUMIF(66:66,C10,67:67)+100</f>
        <v>100</v>
      </c>
      <c r="I10" s="424" t="s">
        <v>3126</v>
      </c>
      <c r="J10" s="136">
        <f>SUMIF(66:66,I10,67:67)-SUMIF(66:66,C10,67:67)+100</f>
        <v>101</v>
      </c>
      <c r="K10" s="613">
        <v>1</v>
      </c>
      <c r="L10" s="1139"/>
      <c r="M10" s="1140"/>
      <c r="N10" s="1140"/>
      <c r="O10" s="1140"/>
      <c r="P10" s="3213"/>
      <c r="Q10" s="1800" t="str">
        <f t="shared" si="6"/>
        <v>土地使用年限（年）</v>
      </c>
      <c r="R10" s="771" t="s">
        <v>17</v>
      </c>
      <c r="S10" s="772">
        <f t="shared" si="0"/>
        <v>100</v>
      </c>
      <c r="T10" s="771" t="s">
        <v>17</v>
      </c>
      <c r="U10" s="772">
        <f t="shared" si="1"/>
        <v>100</v>
      </c>
      <c r="V10" s="771" t="s">
        <v>17</v>
      </c>
      <c r="W10" s="772">
        <f t="shared" si="2"/>
        <v>101</v>
      </c>
      <c r="X10" s="773"/>
      <c r="Y10" s="3068"/>
      <c r="Z10" s="55" t="str">
        <f t="shared" si="7"/>
        <v>土地使用年限（年）</v>
      </c>
      <c r="AA10" s="774">
        <f t="shared" si="3"/>
        <v>1</v>
      </c>
      <c r="AB10" s="774">
        <f t="shared" si="4"/>
        <v>1</v>
      </c>
      <c r="AC10" s="2678">
        <f t="shared" si="5"/>
        <v>0.99009900990099009</v>
      </c>
    </row>
    <row r="11" spans="1:29" ht="15">
      <c r="A11" s="429"/>
      <c r="B11" s="423"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13"/>
      <c r="Q11" s="1800" t="str">
        <f t="shared" si="6"/>
        <v>容积率</v>
      </c>
      <c r="R11" s="771" t="s">
        <v>17</v>
      </c>
      <c r="S11" s="772">
        <f t="shared" si="0"/>
        <v>100</v>
      </c>
      <c r="T11" s="771" t="s">
        <v>17</v>
      </c>
      <c r="U11" s="772">
        <f t="shared" si="1"/>
        <v>100</v>
      </c>
      <c r="V11" s="771" t="s">
        <v>17</v>
      </c>
      <c r="W11" s="772">
        <f t="shared" si="2"/>
        <v>100</v>
      </c>
      <c r="X11" s="773"/>
      <c r="Y11" s="3068"/>
      <c r="Z11" s="55"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13"/>
      <c r="Q12" s="1800">
        <f t="shared" si="6"/>
        <v>111</v>
      </c>
      <c r="R12" s="771" t="s">
        <v>17</v>
      </c>
      <c r="S12" s="772">
        <f t="shared" si="0"/>
        <v>100</v>
      </c>
      <c r="T12" s="771" t="s">
        <v>17</v>
      </c>
      <c r="U12" s="772">
        <f t="shared" si="1"/>
        <v>100</v>
      </c>
      <c r="V12" s="771" t="s">
        <v>17</v>
      </c>
      <c r="W12" s="772">
        <f t="shared" si="2"/>
        <v>100</v>
      </c>
      <c r="X12" s="773"/>
      <c r="Y12" s="3068"/>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13"/>
      <c r="Q13" s="1800">
        <f t="shared" si="6"/>
        <v>111</v>
      </c>
      <c r="R13" s="771" t="s">
        <v>17</v>
      </c>
      <c r="S13" s="772">
        <f t="shared" si="0"/>
        <v>100</v>
      </c>
      <c r="T13" s="771" t="s">
        <v>17</v>
      </c>
      <c r="U13" s="772">
        <f t="shared" si="1"/>
        <v>100</v>
      </c>
      <c r="V13" s="771" t="s">
        <v>17</v>
      </c>
      <c r="W13" s="772">
        <f t="shared" si="2"/>
        <v>100</v>
      </c>
      <c r="X13" s="773"/>
      <c r="Y13" s="3068"/>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13"/>
      <c r="Q14" s="1800">
        <f t="shared" si="6"/>
        <v>111</v>
      </c>
      <c r="R14" s="771" t="s">
        <v>17</v>
      </c>
      <c r="S14" s="772">
        <f t="shared" si="0"/>
        <v>100</v>
      </c>
      <c r="T14" s="771" t="s">
        <v>17</v>
      </c>
      <c r="U14" s="772">
        <f t="shared" si="1"/>
        <v>100</v>
      </c>
      <c r="V14" s="771" t="s">
        <v>17</v>
      </c>
      <c r="W14" s="772">
        <f t="shared" si="2"/>
        <v>100</v>
      </c>
      <c r="X14" s="773"/>
      <c r="Y14" s="3068"/>
      <c r="Z14" s="55">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19" t="s">
        <v>2561</v>
      </c>
      <c r="Q15" s="1815" t="str">
        <f t="shared" si="6"/>
        <v>办公集聚程度</v>
      </c>
      <c r="R15" s="775" t="s">
        <v>17</v>
      </c>
      <c r="S15" s="776">
        <f t="shared" si="0"/>
        <v>100</v>
      </c>
      <c r="T15" s="775" t="s">
        <v>17</v>
      </c>
      <c r="U15" s="776">
        <f t="shared" si="1"/>
        <v>100</v>
      </c>
      <c r="V15" s="775" t="s">
        <v>17</v>
      </c>
      <c r="W15" s="776">
        <f t="shared" si="2"/>
        <v>100</v>
      </c>
      <c r="X15" s="1818"/>
      <c r="Y15" s="3221" t="s">
        <v>2561</v>
      </c>
      <c r="Z15" s="1819" t="str">
        <f t="shared" si="7"/>
        <v>办公集聚程度</v>
      </c>
      <c r="AA15" s="1816">
        <f t="shared" si="3"/>
        <v>1</v>
      </c>
      <c r="AB15" s="1816">
        <f t="shared" si="4"/>
        <v>1</v>
      </c>
      <c r="AC15" s="2681">
        <f t="shared" si="5"/>
        <v>1</v>
      </c>
    </row>
    <row r="16" spans="1:29" ht="15">
      <c r="A16" s="429"/>
      <c r="B16" s="631"/>
      <c r="C16" s="2618" t="s">
        <v>3127</v>
      </c>
      <c r="D16" s="449"/>
      <c r="E16" s="448" t="s">
        <v>3127</v>
      </c>
      <c r="F16" s="449"/>
      <c r="G16" s="2618" t="s">
        <v>3127</v>
      </c>
      <c r="H16" s="451"/>
      <c r="I16" s="448" t="s">
        <v>3127</v>
      </c>
      <c r="J16" s="449"/>
      <c r="K16" s="616"/>
      <c r="L16" s="1144"/>
      <c r="M16" s="1135"/>
      <c r="N16" s="1135"/>
      <c r="O16" s="1135"/>
      <c r="P16" s="3220"/>
      <c r="Q16" s="1815"/>
      <c r="R16" s="775"/>
      <c r="S16" s="776"/>
      <c r="T16" s="775"/>
      <c r="U16" s="776"/>
      <c r="V16" s="775"/>
      <c r="W16" s="776"/>
      <c r="X16" s="1818"/>
      <c r="Y16" s="3222"/>
      <c r="Z16" s="1819"/>
      <c r="AA16" s="1816">
        <v>1</v>
      </c>
      <c r="AB16" s="1816">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98</v>
      </c>
      <c r="G17" s="453"/>
      <c r="H17" s="456">
        <f>SUMIF(79:79,G18,80:80)-SUMIF(79:79,C18,80:80)+100</f>
        <v>100</v>
      </c>
      <c r="I17" s="453"/>
      <c r="J17" s="456">
        <f>SUMIF(79:79,I18,80:80)-SUMIF(79:79,C18,80:80)+100</f>
        <v>98</v>
      </c>
      <c r="K17" s="615">
        <v>2</v>
      </c>
      <c r="L17" s="1144"/>
      <c r="M17" s="1135"/>
      <c r="N17" s="1135"/>
      <c r="O17" s="1135"/>
      <c r="P17" s="3220"/>
      <c r="Q17" s="1815" t="str">
        <f>B17</f>
        <v>交通便捷度</v>
      </c>
      <c r="R17" s="775" t="s">
        <v>17</v>
      </c>
      <c r="S17" s="776">
        <f>F17</f>
        <v>98</v>
      </c>
      <c r="T17" s="775" t="s">
        <v>17</v>
      </c>
      <c r="U17" s="776">
        <f>H17</f>
        <v>100</v>
      </c>
      <c r="V17" s="775" t="s">
        <v>17</v>
      </c>
      <c r="W17" s="776">
        <f>J17</f>
        <v>98</v>
      </c>
      <c r="X17" s="1818"/>
      <c r="Y17" s="3222"/>
      <c r="Z17" s="1819" t="str">
        <f>Q17</f>
        <v>交通便捷度</v>
      </c>
      <c r="AA17" s="1816">
        <f t="shared" si="3"/>
        <v>1.0204081632653061</v>
      </c>
      <c r="AB17" s="1816">
        <f t="shared" si="4"/>
        <v>1</v>
      </c>
      <c r="AC17" s="2681">
        <f t="shared" si="5"/>
        <v>1.0204081632653061</v>
      </c>
    </row>
    <row r="18" spans="1:29" ht="15">
      <c r="A18" s="429"/>
      <c r="B18" s="633"/>
      <c r="C18" s="2683" t="s">
        <v>3128</v>
      </c>
      <c r="D18" s="451"/>
      <c r="E18" s="2616" t="s">
        <v>3127</v>
      </c>
      <c r="F18" s="451"/>
      <c r="G18" s="2617" t="s">
        <v>3128</v>
      </c>
      <c r="H18" s="449"/>
      <c r="I18" s="2617" t="s">
        <v>3127</v>
      </c>
      <c r="J18" s="449"/>
      <c r="K18" s="616"/>
      <c r="L18" s="1144"/>
      <c r="M18" s="1135"/>
      <c r="N18" s="1135"/>
      <c r="O18" s="1135"/>
      <c r="P18" s="3220"/>
      <c r="Q18" s="1815"/>
      <c r="R18" s="775"/>
      <c r="S18" s="776"/>
      <c r="T18" s="775"/>
      <c r="U18" s="776"/>
      <c r="V18" s="775"/>
      <c r="W18" s="776"/>
      <c r="X18" s="1818"/>
      <c r="Y18" s="3222"/>
      <c r="Z18" s="1819"/>
      <c r="AA18" s="1816">
        <v>1</v>
      </c>
      <c r="AB18" s="1816">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20"/>
      <c r="Q19" s="1815" t="str">
        <f>B19</f>
        <v>公共配套设施</v>
      </c>
      <c r="R19" s="775" t="s">
        <v>17</v>
      </c>
      <c r="S19" s="776">
        <f>F19</f>
        <v>100</v>
      </c>
      <c r="T19" s="775" t="s">
        <v>17</v>
      </c>
      <c r="U19" s="776">
        <f>H19</f>
        <v>100</v>
      </c>
      <c r="V19" s="775" t="s">
        <v>17</v>
      </c>
      <c r="W19" s="776">
        <f>J19</f>
        <v>100</v>
      </c>
      <c r="X19" s="1818"/>
      <c r="Y19" s="3222"/>
      <c r="Z19" s="1819" t="str">
        <f>Q19</f>
        <v>公共配套设施</v>
      </c>
      <c r="AA19" s="1816">
        <f t="shared" si="3"/>
        <v>1</v>
      </c>
      <c r="AB19" s="1816">
        <f t="shared" si="4"/>
        <v>1</v>
      </c>
      <c r="AC19" s="2681">
        <f t="shared" si="5"/>
        <v>1</v>
      </c>
    </row>
    <row r="20" spans="1:29" ht="15">
      <c r="A20" s="429"/>
      <c r="B20" s="633"/>
      <c r="C20" s="2618" t="s">
        <v>3128</v>
      </c>
      <c r="D20" s="449"/>
      <c r="E20" s="2611" t="s">
        <v>3128</v>
      </c>
      <c r="F20" s="449"/>
      <c r="G20" s="2612" t="s">
        <v>3128</v>
      </c>
      <c r="H20" s="449"/>
      <c r="I20" s="2612" t="s">
        <v>3128</v>
      </c>
      <c r="J20" s="449"/>
      <c r="K20" s="616"/>
      <c r="L20" s="1144"/>
      <c r="M20" s="1135"/>
      <c r="N20" s="1135"/>
      <c r="O20" s="1135"/>
      <c r="P20" s="3220"/>
      <c r="Q20" s="1815"/>
      <c r="R20" s="775"/>
      <c r="S20" s="776"/>
      <c r="T20" s="775"/>
      <c r="U20" s="776"/>
      <c r="V20" s="775"/>
      <c r="W20" s="776"/>
      <c r="X20" s="1818"/>
      <c r="Y20" s="3222"/>
      <c r="Z20" s="1819"/>
      <c r="AA20" s="1816">
        <v>1</v>
      </c>
      <c r="AB20" s="1816">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20"/>
      <c r="Q21" s="1815" t="str">
        <f>B21</f>
        <v>基础设施水平</v>
      </c>
      <c r="R21" s="775" t="s">
        <v>17</v>
      </c>
      <c r="S21" s="776">
        <f>F21</f>
        <v>100</v>
      </c>
      <c r="T21" s="775" t="s">
        <v>17</v>
      </c>
      <c r="U21" s="776">
        <f>H21</f>
        <v>100</v>
      </c>
      <c r="V21" s="775" t="s">
        <v>17</v>
      </c>
      <c r="W21" s="776">
        <f>J21</f>
        <v>100</v>
      </c>
      <c r="X21" s="1818"/>
      <c r="Y21" s="3222"/>
      <c r="Z21" s="1819" t="str">
        <f>Q21</f>
        <v>基础设施水平</v>
      </c>
      <c r="AA21" s="1816">
        <f t="shared" ref="AA21" si="8">D21/F21</f>
        <v>1</v>
      </c>
      <c r="AB21" s="1816">
        <f t="shared" ref="AB21" si="9">D21/H21</f>
        <v>1</v>
      </c>
      <c r="AC21" s="2681">
        <f t="shared" ref="AC21" si="10">D21/J21</f>
        <v>1</v>
      </c>
    </row>
    <row r="22" spans="1:29" ht="15">
      <c r="A22" s="429"/>
      <c r="B22" s="634"/>
      <c r="C22" s="2683" t="s">
        <v>3105</v>
      </c>
      <c r="D22" s="449"/>
      <c r="E22" s="448" t="s">
        <v>3105</v>
      </c>
      <c r="F22" s="449"/>
      <c r="G22" s="2618" t="s">
        <v>3105</v>
      </c>
      <c r="H22" s="449"/>
      <c r="I22" s="2618" t="s">
        <v>3105</v>
      </c>
      <c r="J22" s="449"/>
      <c r="K22" s="1387"/>
      <c r="L22" s="1144"/>
      <c r="M22" s="1135"/>
      <c r="N22" s="1135"/>
      <c r="O22" s="1135"/>
      <c r="P22" s="3220"/>
      <c r="Q22" s="1815"/>
      <c r="R22" s="775"/>
      <c r="S22" s="776"/>
      <c r="T22" s="775"/>
      <c r="U22" s="776"/>
      <c r="V22" s="775"/>
      <c r="W22" s="776"/>
      <c r="X22" s="1818"/>
      <c r="Y22" s="3222"/>
      <c r="Z22" s="1819"/>
      <c r="AA22" s="1816">
        <v>1</v>
      </c>
      <c r="AB22" s="1816">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20"/>
      <c r="Q23" s="1815" t="str">
        <f>B23</f>
        <v>环境质量</v>
      </c>
      <c r="R23" s="775" t="s">
        <v>17</v>
      </c>
      <c r="S23" s="776">
        <f>F23</f>
        <v>100</v>
      </c>
      <c r="T23" s="775" t="s">
        <v>17</v>
      </c>
      <c r="U23" s="776">
        <f>H23</f>
        <v>100</v>
      </c>
      <c r="V23" s="775" t="s">
        <v>17</v>
      </c>
      <c r="W23" s="776">
        <f>J23</f>
        <v>100</v>
      </c>
      <c r="X23" s="1818"/>
      <c r="Y23" s="3222"/>
      <c r="Z23" s="1819" t="str">
        <f>Q23</f>
        <v>环境质量</v>
      </c>
      <c r="AA23" s="1816">
        <f t="shared" si="3"/>
        <v>1</v>
      </c>
      <c r="AB23" s="1816">
        <f t="shared" si="4"/>
        <v>1</v>
      </c>
      <c r="AC23" s="2681">
        <f t="shared" si="5"/>
        <v>1</v>
      </c>
    </row>
    <row r="24" spans="1:29" ht="15">
      <c r="A24" s="429"/>
      <c r="B24" s="634"/>
      <c r="C24" s="2618" t="s">
        <v>3127</v>
      </c>
      <c r="D24" s="449"/>
      <c r="E24" s="2611" t="s">
        <v>3127</v>
      </c>
      <c r="F24" s="449"/>
      <c r="G24" s="2612" t="s">
        <v>3127</v>
      </c>
      <c r="H24" s="449"/>
      <c r="I24" s="2612" t="s">
        <v>3127</v>
      </c>
      <c r="J24" s="449"/>
      <c r="K24" s="616"/>
      <c r="L24" s="1144"/>
      <c r="M24" s="1135"/>
      <c r="N24" s="1135"/>
      <c r="O24" s="1135"/>
      <c r="P24" s="3220"/>
      <c r="Q24" s="1815"/>
      <c r="R24" s="775"/>
      <c r="S24" s="776"/>
      <c r="T24" s="775"/>
      <c r="U24" s="776"/>
      <c r="V24" s="775"/>
      <c r="W24" s="776"/>
      <c r="X24" s="1818"/>
      <c r="Y24" s="3222"/>
      <c r="Z24" s="1819"/>
      <c r="AA24" s="1816">
        <v>1</v>
      </c>
      <c r="AB24" s="1816">
        <v>1</v>
      </c>
      <c r="AC24" s="2681">
        <v>1</v>
      </c>
    </row>
    <row r="25" spans="1:29" ht="27.75">
      <c r="A25" s="405"/>
      <c r="B25" s="632" t="s">
        <v>2692</v>
      </c>
      <c r="C25" s="2949" t="s">
        <v>3129</v>
      </c>
      <c r="D25" s="436">
        <v>100</v>
      </c>
      <c r="E25" s="435" t="s">
        <v>3130</v>
      </c>
      <c r="F25" s="436">
        <f>SUMIF(87:87,E26,88:88)-SUMIF(87:87,C26,88:88)+100</f>
        <v>100</v>
      </c>
      <c r="G25" s="2622" t="s">
        <v>3130</v>
      </c>
      <c r="H25" s="436">
        <f>SUMIF(87:87,G26,88:88)-SUMIF(87:87,C26,88:88)+100</f>
        <v>100</v>
      </c>
      <c r="I25" s="435" t="s">
        <v>3131</v>
      </c>
      <c r="J25" s="436">
        <f>SUMIF(87:87,I26,88:88)-SUMIF(87:87,C26,88:88)+100</f>
        <v>100</v>
      </c>
      <c r="K25" s="615">
        <v>2</v>
      </c>
      <c r="L25" s="1144"/>
      <c r="M25" s="1135"/>
      <c r="N25" s="1135"/>
      <c r="O25" s="1135"/>
      <c r="P25" s="3220"/>
      <c r="Q25" s="1815" t="str">
        <f>B25</f>
        <v>毗邻道路的类型与等级</v>
      </c>
      <c r="R25" s="775" t="s">
        <v>17</v>
      </c>
      <c r="S25" s="776">
        <f>F25</f>
        <v>100</v>
      </c>
      <c r="T25" s="775" t="s">
        <v>17</v>
      </c>
      <c r="U25" s="776">
        <f>H25</f>
        <v>100</v>
      </c>
      <c r="V25" s="775" t="s">
        <v>17</v>
      </c>
      <c r="W25" s="776">
        <f>J25</f>
        <v>100</v>
      </c>
      <c r="X25" s="1818"/>
      <c r="Y25" s="3222"/>
      <c r="Z25" s="1819" t="str">
        <f>Q25</f>
        <v>毗邻道路的类型与等级</v>
      </c>
      <c r="AA25" s="1816">
        <f t="shared" si="3"/>
        <v>1</v>
      </c>
      <c r="AB25" s="1816">
        <f t="shared" si="4"/>
        <v>1</v>
      </c>
      <c r="AC25" s="2681">
        <f t="shared" si="5"/>
        <v>1</v>
      </c>
    </row>
    <row r="26" spans="1:29" ht="15">
      <c r="A26" s="405"/>
      <c r="B26" s="633"/>
      <c r="C26" s="635" t="s">
        <v>3109</v>
      </c>
      <c r="D26" s="436"/>
      <c r="E26" s="617" t="s">
        <v>3109</v>
      </c>
      <c r="F26" s="436"/>
      <c r="G26" s="635" t="s">
        <v>3109</v>
      </c>
      <c r="H26" s="436"/>
      <c r="I26" s="617" t="s">
        <v>3109</v>
      </c>
      <c r="J26" s="436"/>
      <c r="K26" s="616"/>
      <c r="L26" s="1144"/>
      <c r="M26" s="1135"/>
      <c r="N26" s="1135"/>
      <c r="O26" s="1135"/>
      <c r="P26" s="3220"/>
      <c r="Q26" s="1815"/>
      <c r="R26" s="775"/>
      <c r="S26" s="776"/>
      <c r="T26" s="775"/>
      <c r="U26" s="776"/>
      <c r="V26" s="775"/>
      <c r="W26" s="776"/>
      <c r="X26" s="1818"/>
      <c r="Y26" s="3222"/>
      <c r="Z26" s="1819"/>
      <c r="AA26" s="1816">
        <v>1</v>
      </c>
      <c r="AB26" s="1816">
        <v>1</v>
      </c>
      <c r="AC26" s="2681">
        <v>1</v>
      </c>
    </row>
    <row r="27" spans="1:29" ht="15">
      <c r="A27" s="429"/>
      <c r="B27" s="633" t="s">
        <v>2660</v>
      </c>
      <c r="C27" s="635" t="s">
        <v>3117</v>
      </c>
      <c r="D27" s="436">
        <v>100</v>
      </c>
      <c r="E27" s="617" t="s">
        <v>3117</v>
      </c>
      <c r="F27" s="436">
        <f>SUMIF(89:89,E27,90:90)-SUMIF(89:89,C27,90:90)+100</f>
        <v>100</v>
      </c>
      <c r="G27" s="635" t="s">
        <v>3115</v>
      </c>
      <c r="H27" s="436">
        <f>SUMIF(89:89,G27,90:90)-SUMIF(89:89,C27,90:90)+100</f>
        <v>102</v>
      </c>
      <c r="I27" s="617" t="s">
        <v>3115</v>
      </c>
      <c r="J27" s="436">
        <f>SUMIF(89:89,I27,90:90)-SUMIF(89:89,C27,90:90)+100</f>
        <v>102</v>
      </c>
      <c r="K27" s="3021">
        <v>2</v>
      </c>
      <c r="L27" s="1144"/>
      <c r="M27" s="1135"/>
      <c r="N27" s="1135"/>
      <c r="O27" s="1135"/>
      <c r="P27" s="3220"/>
      <c r="Q27" s="1815" t="str">
        <f t="shared" ref="Q27:Q47" si="11">B27</f>
        <v>楼层</v>
      </c>
      <c r="R27" s="775" t="s">
        <v>17</v>
      </c>
      <c r="S27" s="776">
        <f>F27</f>
        <v>100</v>
      </c>
      <c r="T27" s="775" t="s">
        <v>17</v>
      </c>
      <c r="U27" s="776">
        <f>H27</f>
        <v>102</v>
      </c>
      <c r="V27" s="775" t="s">
        <v>17</v>
      </c>
      <c r="W27" s="776">
        <f>J27</f>
        <v>102</v>
      </c>
      <c r="X27" s="1818"/>
      <c r="Y27" s="3222"/>
      <c r="Z27" s="1819" t="str">
        <f>Q27</f>
        <v>楼层</v>
      </c>
      <c r="AA27" s="1816">
        <f t="shared" si="3"/>
        <v>1</v>
      </c>
      <c r="AB27" s="1816">
        <f t="shared" si="4"/>
        <v>0.98039215686274506</v>
      </c>
      <c r="AC27" s="2681">
        <f t="shared" si="5"/>
        <v>0.98039215686274506</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20"/>
      <c r="Q28" s="1800" t="str">
        <f t="shared" si="11"/>
        <v>朝向</v>
      </c>
      <c r="R28" s="771" t="s">
        <v>17</v>
      </c>
      <c r="S28" s="772">
        <f>F28</f>
        <v>100</v>
      </c>
      <c r="T28" s="771" t="s">
        <v>17</v>
      </c>
      <c r="U28" s="772">
        <f>H28</f>
        <v>100</v>
      </c>
      <c r="V28" s="771" t="s">
        <v>17</v>
      </c>
      <c r="W28" s="772">
        <f>J28</f>
        <v>100</v>
      </c>
      <c r="X28" s="773"/>
      <c r="Y28" s="3222"/>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20"/>
      <c r="Q29" s="1815">
        <f t="shared" si="11"/>
        <v>111</v>
      </c>
      <c r="R29" s="775" t="s">
        <v>17</v>
      </c>
      <c r="S29" s="776">
        <f t="shared" ref="S29:S47" si="12">F29</f>
        <v>100</v>
      </c>
      <c r="T29" s="775" t="s">
        <v>17</v>
      </c>
      <c r="U29" s="776">
        <f t="shared" ref="U29:U47" si="13">H29</f>
        <v>100</v>
      </c>
      <c r="V29" s="775" t="s">
        <v>17</v>
      </c>
      <c r="W29" s="776">
        <f t="shared" ref="W29:W47" si="14">J29</f>
        <v>100</v>
      </c>
      <c r="X29" s="1818"/>
      <c r="Y29" s="3222"/>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20"/>
      <c r="Q30" s="1815">
        <f t="shared" si="11"/>
        <v>111</v>
      </c>
      <c r="R30" s="775" t="s">
        <v>17</v>
      </c>
      <c r="S30" s="776">
        <f t="shared" si="12"/>
        <v>100</v>
      </c>
      <c r="T30" s="775" t="s">
        <v>17</v>
      </c>
      <c r="U30" s="776">
        <f t="shared" si="13"/>
        <v>100</v>
      </c>
      <c r="V30" s="775" t="s">
        <v>17</v>
      </c>
      <c r="W30" s="776">
        <f t="shared" si="14"/>
        <v>100</v>
      </c>
      <c r="X30" s="1818"/>
      <c r="Y30" s="3222"/>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20"/>
      <c r="Q31" s="1815">
        <f t="shared" si="11"/>
        <v>111</v>
      </c>
      <c r="R31" s="775" t="s">
        <v>17</v>
      </c>
      <c r="S31" s="776">
        <f t="shared" si="12"/>
        <v>100</v>
      </c>
      <c r="T31" s="775" t="s">
        <v>17</v>
      </c>
      <c r="U31" s="776">
        <f t="shared" si="13"/>
        <v>100</v>
      </c>
      <c r="V31" s="775" t="s">
        <v>17</v>
      </c>
      <c r="W31" s="776">
        <f t="shared" si="14"/>
        <v>100</v>
      </c>
      <c r="X31" s="1818"/>
      <c r="Y31" s="3222"/>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20"/>
      <c r="Q32" s="1815">
        <f t="shared" si="11"/>
        <v>111</v>
      </c>
      <c r="R32" s="775" t="s">
        <v>17</v>
      </c>
      <c r="S32" s="776">
        <f t="shared" si="12"/>
        <v>100</v>
      </c>
      <c r="T32" s="775" t="s">
        <v>17</v>
      </c>
      <c r="U32" s="776">
        <f t="shared" si="13"/>
        <v>100</v>
      </c>
      <c r="V32" s="775" t="s">
        <v>17</v>
      </c>
      <c r="W32" s="776">
        <f t="shared" si="14"/>
        <v>100</v>
      </c>
      <c r="X32" s="1818"/>
      <c r="Y32" s="3222"/>
      <c r="Z32" s="1819">
        <f t="shared" si="15"/>
        <v>111</v>
      </c>
      <c r="AA32" s="1816">
        <f t="shared" si="3"/>
        <v>1</v>
      </c>
      <c r="AB32" s="1816">
        <f t="shared" si="4"/>
        <v>1</v>
      </c>
      <c r="AC32" s="2681">
        <f t="shared" si="5"/>
        <v>1</v>
      </c>
    </row>
    <row r="33" spans="1:29" ht="15">
      <c r="A33" s="441" t="s">
        <v>2564</v>
      </c>
      <c r="B33" s="71" t="s">
        <v>2694</v>
      </c>
      <c r="C33" s="2686" t="s">
        <v>3132</v>
      </c>
      <c r="D33" s="468">
        <v>100</v>
      </c>
      <c r="E33" s="2686" t="s">
        <v>3132</v>
      </c>
      <c r="F33" s="462">
        <f>SUMIF(101:101,E33,102:102)-SUMIF(101:101,C33,102:102)+100</f>
        <v>100</v>
      </c>
      <c r="G33" s="2686" t="s">
        <v>3132</v>
      </c>
      <c r="H33" s="436">
        <f>SUMIF(101:101,G33,102:102)-SUMIF(101:101,C33,102:102)+100</f>
        <v>100</v>
      </c>
      <c r="I33" s="2686" t="s">
        <v>3132</v>
      </c>
      <c r="J33" s="468">
        <f>SUMIF(101:101,I33,102:102)-SUMIF(101:101,C33,102:102)+100</f>
        <v>100</v>
      </c>
      <c r="K33" s="613">
        <v>1</v>
      </c>
      <c r="L33" s="1144"/>
      <c r="M33" s="1135"/>
      <c r="N33" s="1135"/>
      <c r="O33" s="1135"/>
      <c r="P33" s="3223" t="s">
        <v>2566</v>
      </c>
      <c r="Q33" s="1815" t="str">
        <f t="shared" si="11"/>
        <v>建筑类型</v>
      </c>
      <c r="R33" s="775" t="s">
        <v>17</v>
      </c>
      <c r="S33" s="776">
        <f t="shared" si="12"/>
        <v>100</v>
      </c>
      <c r="T33" s="775" t="s">
        <v>17</v>
      </c>
      <c r="U33" s="776">
        <f t="shared" si="13"/>
        <v>100</v>
      </c>
      <c r="V33" s="775" t="s">
        <v>17</v>
      </c>
      <c r="W33" s="776">
        <f t="shared" si="14"/>
        <v>100</v>
      </c>
      <c r="X33" s="1818"/>
      <c r="Y33" s="3226" t="s">
        <v>2566</v>
      </c>
      <c r="Z33" s="1819" t="str">
        <f t="shared" si="15"/>
        <v>建筑类型</v>
      </c>
      <c r="AA33" s="1816">
        <f t="shared" si="3"/>
        <v>1</v>
      </c>
      <c r="AB33" s="1816">
        <f t="shared" si="4"/>
        <v>1</v>
      </c>
      <c r="AC33" s="2681">
        <f t="shared" si="5"/>
        <v>1</v>
      </c>
    </row>
    <row r="34" spans="1:29" s="472" customFormat="1" ht="15">
      <c r="A34" s="469"/>
      <c r="B34" s="3022" t="s">
        <v>2567</v>
      </c>
      <c r="C34" s="470">
        <v>1952.76</v>
      </c>
      <c r="D34" s="136">
        <v>100</v>
      </c>
      <c r="E34" s="431">
        <v>119</v>
      </c>
      <c r="F34" s="426">
        <f>LOOKUP(E34,104:104,105:105)-LOOKUP(C34,104:104,105:105)+100</f>
        <v>100</v>
      </c>
      <c r="G34" s="430">
        <v>656</v>
      </c>
      <c r="H34" s="136">
        <f>LOOKUP(G34,104:104,105:105)-LOOKUP(C34,104:104,105:105)+100</f>
        <v>101</v>
      </c>
      <c r="I34" s="430">
        <v>100</v>
      </c>
      <c r="J34" s="136">
        <f>LOOKUP(I34,104:104,105:105)-LOOKUP(C34,104:104,105:105)+100</f>
        <v>100</v>
      </c>
      <c r="K34" s="614"/>
      <c r="L34" s="1142"/>
      <c r="M34" s="1145"/>
      <c r="N34" s="1145"/>
      <c r="O34" s="1145"/>
      <c r="P34" s="3224"/>
      <c r="Q34" s="777" t="str">
        <f t="shared" si="11"/>
        <v>项目建筑规模</v>
      </c>
      <c r="R34" s="778" t="s">
        <v>17</v>
      </c>
      <c r="S34" s="779">
        <f t="shared" si="12"/>
        <v>100</v>
      </c>
      <c r="T34" s="778" t="s">
        <v>17</v>
      </c>
      <c r="U34" s="779">
        <f t="shared" si="13"/>
        <v>101</v>
      </c>
      <c r="V34" s="778" t="s">
        <v>17</v>
      </c>
      <c r="W34" s="779">
        <f t="shared" si="14"/>
        <v>100</v>
      </c>
      <c r="X34" s="780"/>
      <c r="Y34" s="3226"/>
      <c r="Z34" s="781" t="str">
        <f t="shared" si="15"/>
        <v>项目建筑规模</v>
      </c>
      <c r="AA34" s="1816">
        <f t="shared" si="3"/>
        <v>1</v>
      </c>
      <c r="AB34" s="1816">
        <f t="shared" si="4"/>
        <v>0.99009900990099009</v>
      </c>
      <c r="AC34" s="2681">
        <f t="shared" si="5"/>
        <v>1</v>
      </c>
    </row>
    <row r="35" spans="1:29" ht="15">
      <c r="A35" s="473"/>
      <c r="B35" s="423" t="s">
        <v>2568</v>
      </c>
      <c r="C35" s="461" t="s">
        <v>3092</v>
      </c>
      <c r="D35" s="436">
        <v>100</v>
      </c>
      <c r="E35" s="461" t="s">
        <v>3092</v>
      </c>
      <c r="F35" s="462">
        <f>SUMIF(106:106,E35,107:107)-SUMIF(106:106,C35,107:107)+100</f>
        <v>100</v>
      </c>
      <c r="G35" s="461" t="s">
        <v>3092</v>
      </c>
      <c r="H35" s="436">
        <f>SUMIF(106:106,G35,107:107)-SUMIF(106:106,C35,107:107)+100</f>
        <v>100</v>
      </c>
      <c r="I35" s="461" t="s">
        <v>3092</v>
      </c>
      <c r="J35" s="436">
        <f>SUMIF(106:106,I35,107:107)-SUMIF(106:106,C35,107:107)+100</f>
        <v>100</v>
      </c>
      <c r="K35" s="613">
        <v>2</v>
      </c>
      <c r="L35" s="1144"/>
      <c r="M35" s="1135"/>
      <c r="N35" s="1135"/>
      <c r="O35" s="1135"/>
      <c r="P35" s="3224"/>
      <c r="Q35" s="1815" t="str">
        <f t="shared" si="11"/>
        <v>建筑结构</v>
      </c>
      <c r="R35" s="775" t="s">
        <v>17</v>
      </c>
      <c r="S35" s="776">
        <f t="shared" si="12"/>
        <v>100</v>
      </c>
      <c r="T35" s="775" t="s">
        <v>17</v>
      </c>
      <c r="U35" s="776">
        <f t="shared" si="13"/>
        <v>100</v>
      </c>
      <c r="V35" s="775" t="s">
        <v>17</v>
      </c>
      <c r="W35" s="776">
        <f t="shared" si="14"/>
        <v>100</v>
      </c>
      <c r="X35" s="1818"/>
      <c r="Y35" s="3226"/>
      <c r="Z35" s="1819" t="str">
        <f t="shared" si="15"/>
        <v>建筑结构</v>
      </c>
      <c r="AA35" s="1816">
        <f t="shared" si="3"/>
        <v>1</v>
      </c>
      <c r="AB35" s="1816">
        <f t="shared" si="4"/>
        <v>1</v>
      </c>
      <c r="AC35" s="2681">
        <f t="shared" si="5"/>
        <v>1</v>
      </c>
    </row>
    <row r="36" spans="1:29" ht="15">
      <c r="A36" s="473"/>
      <c r="B36" s="423" t="s">
        <v>2662</v>
      </c>
      <c r="C36" s="461" t="s">
        <v>3095</v>
      </c>
      <c r="D36" s="436">
        <v>100</v>
      </c>
      <c r="E36" s="461" t="s">
        <v>3095</v>
      </c>
      <c r="F36" s="462">
        <f>SUMIF(108:108,E36,109:109)-SUMIF(108:108,C36,109:109)+100</f>
        <v>100</v>
      </c>
      <c r="G36" s="461" t="s">
        <v>3095</v>
      </c>
      <c r="H36" s="436">
        <f>SUMIF(108:108,G36,109:109)-SUMIF(108:108,C36,109:109)+100</f>
        <v>100</v>
      </c>
      <c r="I36" s="461" t="s">
        <v>3095</v>
      </c>
      <c r="J36" s="436">
        <f>SUMIF(108:108,I36,109:109)-SUMIF(108:108,C36,109:109)+100</f>
        <v>100</v>
      </c>
      <c r="K36" s="613">
        <v>1</v>
      </c>
      <c r="L36" s="1144"/>
      <c r="M36" s="1135"/>
      <c r="N36" s="1135"/>
      <c r="O36" s="1135"/>
      <c r="P36" s="3224"/>
      <c r="Q36" s="1815" t="str">
        <f t="shared" si="11"/>
        <v>公共部分装修</v>
      </c>
      <c r="R36" s="775" t="s">
        <v>17</v>
      </c>
      <c r="S36" s="776">
        <f t="shared" si="12"/>
        <v>100</v>
      </c>
      <c r="T36" s="775" t="s">
        <v>17</v>
      </c>
      <c r="U36" s="776">
        <f t="shared" si="13"/>
        <v>100</v>
      </c>
      <c r="V36" s="775" t="s">
        <v>17</v>
      </c>
      <c r="W36" s="776">
        <f t="shared" si="14"/>
        <v>100</v>
      </c>
      <c r="X36" s="1818"/>
      <c r="Y36" s="3226"/>
      <c r="Z36" s="1819" t="str">
        <f t="shared" si="15"/>
        <v>公共部分装修</v>
      </c>
      <c r="AA36" s="1816">
        <f t="shared" si="3"/>
        <v>1</v>
      </c>
      <c r="AB36" s="1816">
        <f t="shared" si="4"/>
        <v>1</v>
      </c>
      <c r="AC36" s="2681">
        <f t="shared" si="5"/>
        <v>1</v>
      </c>
    </row>
    <row r="37" spans="1:29" ht="15">
      <c r="A37" s="473"/>
      <c r="B37" s="423" t="s">
        <v>2663</v>
      </c>
      <c r="C37" s="475">
        <v>0.85</v>
      </c>
      <c r="D37" s="436">
        <v>100</v>
      </c>
      <c r="E37" s="475">
        <v>0.8</v>
      </c>
      <c r="F37" s="462">
        <f>LOOKUP(E37,111:111,112:112)-LOOKUP(C37,111:111,112:112)+100</f>
        <v>100</v>
      </c>
      <c r="G37" s="475">
        <v>0.82</v>
      </c>
      <c r="H37" s="462">
        <f>LOOKUP(G37,111:111,112:112)-LOOKUP(C37,111:111,112:112)+100</f>
        <v>100</v>
      </c>
      <c r="I37" s="475">
        <v>0.92</v>
      </c>
      <c r="J37" s="436">
        <f>LOOKUP(I37,111:111,112:112)-LOOKUP(C37,111:111,112:112)+100</f>
        <v>101</v>
      </c>
      <c r="K37" s="613">
        <v>1</v>
      </c>
      <c r="L37" s="1144"/>
      <c r="M37" s="1135"/>
      <c r="N37" s="1135"/>
      <c r="O37" s="1135"/>
      <c r="P37" s="3224"/>
      <c r="Q37" s="1815" t="str">
        <f t="shared" si="11"/>
        <v>成新度</v>
      </c>
      <c r="R37" s="775" t="s">
        <v>17</v>
      </c>
      <c r="S37" s="776">
        <f t="shared" si="12"/>
        <v>100</v>
      </c>
      <c r="T37" s="775" t="s">
        <v>17</v>
      </c>
      <c r="U37" s="776">
        <f t="shared" si="13"/>
        <v>100</v>
      </c>
      <c r="V37" s="775" t="s">
        <v>17</v>
      </c>
      <c r="W37" s="776">
        <f t="shared" si="14"/>
        <v>101</v>
      </c>
      <c r="X37" s="1818"/>
      <c r="Y37" s="3226"/>
      <c r="Z37" s="1819" t="str">
        <f t="shared" si="15"/>
        <v>成新度</v>
      </c>
      <c r="AA37" s="1816">
        <f t="shared" si="3"/>
        <v>1</v>
      </c>
      <c r="AB37" s="1816">
        <f t="shared" si="4"/>
        <v>1</v>
      </c>
      <c r="AC37" s="2681">
        <f t="shared" si="5"/>
        <v>0.99009900990099009</v>
      </c>
    </row>
    <row r="38" spans="1:29" s="117" customFormat="1" ht="15">
      <c r="A38" s="474"/>
      <c r="B38" s="423" t="s">
        <v>2695</v>
      </c>
      <c r="C38" s="461" t="s">
        <v>3099</v>
      </c>
      <c r="D38" s="136">
        <v>100</v>
      </c>
      <c r="E38" s="461" t="s">
        <v>3099</v>
      </c>
      <c r="F38" s="462">
        <f>SUMIF(113:113,E38,114:114)-SUMIF(113:113,C38,114:114)+100</f>
        <v>100</v>
      </c>
      <c r="G38" s="461" t="s">
        <v>3099</v>
      </c>
      <c r="H38" s="436">
        <f>SUMIF(113:113,G38,114:114)-SUMIF(113:113,C38,114:114)+100</f>
        <v>100</v>
      </c>
      <c r="I38" s="461" t="s">
        <v>3099</v>
      </c>
      <c r="J38" s="436">
        <f>SUMIF(113:113,I38,114:114)-SUMIF(113:113,C38,114:114)+100</f>
        <v>100</v>
      </c>
      <c r="K38" s="613">
        <v>2</v>
      </c>
      <c r="L38" s="1136"/>
      <c r="M38" s="1137"/>
      <c r="N38" s="1137"/>
      <c r="O38" s="1137"/>
      <c r="P38" s="3224"/>
      <c r="Q38" s="1800" t="str">
        <f t="shared" si="11"/>
        <v>写字楼等级</v>
      </c>
      <c r="R38" s="771" t="s">
        <v>17</v>
      </c>
      <c r="S38" s="772">
        <f t="shared" si="12"/>
        <v>100</v>
      </c>
      <c r="T38" s="771" t="s">
        <v>17</v>
      </c>
      <c r="U38" s="772">
        <f t="shared" si="13"/>
        <v>100</v>
      </c>
      <c r="V38" s="771" t="s">
        <v>17</v>
      </c>
      <c r="W38" s="772">
        <f t="shared" si="14"/>
        <v>100</v>
      </c>
      <c r="X38" s="773"/>
      <c r="Y38" s="3226"/>
      <c r="Z38" s="55" t="str">
        <f t="shared" si="15"/>
        <v>写字楼等级</v>
      </c>
      <c r="AA38" s="774">
        <f t="shared" si="3"/>
        <v>1</v>
      </c>
      <c r="AB38" s="774">
        <f t="shared" si="4"/>
        <v>1</v>
      </c>
      <c r="AC38" s="2678">
        <f t="shared" si="5"/>
        <v>1</v>
      </c>
    </row>
    <row r="39" spans="1:29" ht="15">
      <c r="A39" s="473"/>
      <c r="B39" s="423" t="s">
        <v>2696</v>
      </c>
      <c r="C39" s="461" t="s">
        <v>3103</v>
      </c>
      <c r="D39" s="436">
        <v>100</v>
      </c>
      <c r="E39" s="461" t="s">
        <v>3103</v>
      </c>
      <c r="F39" s="462">
        <f>SUMIF(115:115,E39,116:116)-SUMIF(115:115,C39,116:116)+100</f>
        <v>100</v>
      </c>
      <c r="G39" s="461" t="s">
        <v>3103</v>
      </c>
      <c r="H39" s="436">
        <f>SUMIF(115:115,G39,116:116)-SUMIF(115:115,C39,116:116)+100</f>
        <v>100</v>
      </c>
      <c r="I39" s="461" t="s">
        <v>3103</v>
      </c>
      <c r="J39" s="436">
        <f>SUMIF(115:115,I39,116:116)-SUMIF(115:115,C39,116:116)+100</f>
        <v>100</v>
      </c>
      <c r="K39" s="613">
        <v>2</v>
      </c>
      <c r="L39" s="1144"/>
      <c r="M39" s="1135"/>
      <c r="N39" s="1135"/>
      <c r="O39" s="1135"/>
      <c r="P39" s="3224" t="s">
        <v>2566</v>
      </c>
      <c r="Q39" s="1815" t="str">
        <f t="shared" si="11"/>
        <v>物业管理</v>
      </c>
      <c r="R39" s="775" t="s">
        <v>17</v>
      </c>
      <c r="S39" s="776">
        <f t="shared" si="12"/>
        <v>100</v>
      </c>
      <c r="T39" s="775" t="s">
        <v>17</v>
      </c>
      <c r="U39" s="776">
        <f t="shared" si="13"/>
        <v>100</v>
      </c>
      <c r="V39" s="775" t="s">
        <v>17</v>
      </c>
      <c r="W39" s="776">
        <f t="shared" si="14"/>
        <v>100</v>
      </c>
      <c r="X39" s="1818"/>
      <c r="Y39" s="3226" t="s">
        <v>2566</v>
      </c>
      <c r="Z39" s="1819" t="str">
        <f t="shared" si="15"/>
        <v>物业管理</v>
      </c>
      <c r="AA39" s="1816">
        <f t="shared" si="3"/>
        <v>1</v>
      </c>
      <c r="AB39" s="1816">
        <f t="shared" si="4"/>
        <v>1</v>
      </c>
      <c r="AC39" s="2681">
        <f t="shared" si="5"/>
        <v>1</v>
      </c>
    </row>
    <row r="40" spans="1:29" ht="15">
      <c r="A40" s="473"/>
      <c r="B40" s="423" t="s">
        <v>2664</v>
      </c>
      <c r="C40" s="461" t="s">
        <v>3105</v>
      </c>
      <c r="D40" s="436">
        <v>100</v>
      </c>
      <c r="E40" s="461" t="s">
        <v>3105</v>
      </c>
      <c r="F40" s="462">
        <f>SUMIF(117:117,E40,118:118)-SUMIF(117:117,C40,118:118)+100</f>
        <v>100</v>
      </c>
      <c r="G40" s="461" t="s">
        <v>3105</v>
      </c>
      <c r="H40" s="436">
        <f>SUMIF(117:117,G40,118:118)-SUMIF(117:117,C40,118:118)+100</f>
        <v>100</v>
      </c>
      <c r="I40" s="461" t="s">
        <v>3105</v>
      </c>
      <c r="J40" s="436">
        <f>SUMIF(117:117,I40,118:118)-SUMIF(117:117,C40,118:118)+100</f>
        <v>100</v>
      </c>
      <c r="K40" s="613">
        <v>1</v>
      </c>
      <c r="L40" s="1144"/>
      <c r="M40" s="1135"/>
      <c r="N40" s="1135"/>
      <c r="O40" s="1135"/>
      <c r="P40" s="3224"/>
      <c r="Q40" s="1815" t="str">
        <f t="shared" si="11"/>
        <v>市政基础设施</v>
      </c>
      <c r="R40" s="775" t="s">
        <v>17</v>
      </c>
      <c r="S40" s="776">
        <f t="shared" si="12"/>
        <v>100</v>
      </c>
      <c r="T40" s="775" t="s">
        <v>17</v>
      </c>
      <c r="U40" s="776">
        <f t="shared" si="13"/>
        <v>100</v>
      </c>
      <c r="V40" s="775" t="s">
        <v>17</v>
      </c>
      <c r="W40" s="776">
        <f t="shared" si="14"/>
        <v>100</v>
      </c>
      <c r="X40" s="1818"/>
      <c r="Y40" s="3226"/>
      <c r="Z40" s="1819" t="str">
        <f t="shared" si="15"/>
        <v>市政基础设施</v>
      </c>
      <c r="AA40" s="1816">
        <f t="shared" si="3"/>
        <v>1</v>
      </c>
      <c r="AB40" s="1816">
        <f t="shared" si="4"/>
        <v>1</v>
      </c>
      <c r="AC40" s="2681">
        <f t="shared" si="5"/>
        <v>1</v>
      </c>
    </row>
    <row r="41" spans="1:29" ht="15">
      <c r="A41" s="473"/>
      <c r="B41" s="423" t="s">
        <v>2666</v>
      </c>
      <c r="C41" s="617" t="s">
        <v>3134</v>
      </c>
      <c r="D41" s="436">
        <v>100</v>
      </c>
      <c r="E41" s="617" t="s">
        <v>3134</v>
      </c>
      <c r="F41" s="462">
        <f>SUMIF(119:119,E41,120:120)-SUMIF(119:119,C41,120:120)+100</f>
        <v>100</v>
      </c>
      <c r="G41" s="617" t="s">
        <v>3134</v>
      </c>
      <c r="H41" s="436">
        <f>SUMIF(119:119,G41,120:120)-SUMIF(119:119,C41,120:120)+100</f>
        <v>100</v>
      </c>
      <c r="I41" s="617" t="s">
        <v>3134</v>
      </c>
      <c r="J41" s="436">
        <f>SUMIF(119:119,I41,120:120)-SUMIF(119:119,C41,120:120)+100</f>
        <v>100</v>
      </c>
      <c r="K41" s="613">
        <v>1</v>
      </c>
      <c r="L41" s="1144"/>
      <c r="M41" s="1135"/>
      <c r="N41" s="1135"/>
      <c r="O41" s="1135"/>
      <c r="P41" s="3224"/>
      <c r="Q41" s="1815" t="str">
        <f t="shared" si="11"/>
        <v>层高</v>
      </c>
      <c r="R41" s="775" t="s">
        <v>17</v>
      </c>
      <c r="S41" s="776">
        <f t="shared" si="12"/>
        <v>100</v>
      </c>
      <c r="T41" s="775" t="s">
        <v>17</v>
      </c>
      <c r="U41" s="776">
        <f t="shared" si="13"/>
        <v>100</v>
      </c>
      <c r="V41" s="775" t="s">
        <v>17</v>
      </c>
      <c r="W41" s="776">
        <f t="shared" si="14"/>
        <v>100</v>
      </c>
      <c r="X41" s="1818"/>
      <c r="Y41" s="3226"/>
      <c r="Z41" s="1819" t="str">
        <f t="shared" si="15"/>
        <v>层高</v>
      </c>
      <c r="AA41" s="1816">
        <f t="shared" si="3"/>
        <v>1</v>
      </c>
      <c r="AB41" s="1816">
        <f t="shared" si="4"/>
        <v>1</v>
      </c>
      <c r="AC41" s="2681">
        <f t="shared" si="5"/>
        <v>1</v>
      </c>
    </row>
    <row r="42" spans="1:29" s="472" customFormat="1" ht="15">
      <c r="A42" s="469"/>
      <c r="B42" s="1817"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24"/>
      <c r="Q42" s="777" t="str">
        <f t="shared" si="11"/>
        <v>单套建筑面积</v>
      </c>
      <c r="R42" s="778" t="s">
        <v>17</v>
      </c>
      <c r="S42" s="779">
        <f t="shared" si="12"/>
        <v>100</v>
      </c>
      <c r="T42" s="778" t="s">
        <v>17</v>
      </c>
      <c r="U42" s="779">
        <f t="shared" si="13"/>
        <v>100</v>
      </c>
      <c r="V42" s="778" t="s">
        <v>17</v>
      </c>
      <c r="W42" s="779">
        <f t="shared" si="14"/>
        <v>100</v>
      </c>
      <c r="X42" s="780"/>
      <c r="Y42" s="3226"/>
      <c r="Z42" s="781" t="str">
        <f t="shared" si="15"/>
        <v>单套建筑面积</v>
      </c>
      <c r="AA42" s="1816">
        <f t="shared" si="3"/>
        <v>1</v>
      </c>
      <c r="AB42" s="1816">
        <f t="shared" si="4"/>
        <v>1</v>
      </c>
      <c r="AC42" s="2681">
        <f t="shared" si="5"/>
        <v>1</v>
      </c>
    </row>
    <row r="43" spans="1:29" ht="15">
      <c r="A43" s="473"/>
      <c r="B43" s="423" t="s">
        <v>2669</v>
      </c>
      <c r="C43" s="461" t="s">
        <v>3095</v>
      </c>
      <c r="D43" s="436">
        <v>100</v>
      </c>
      <c r="E43" s="461" t="s">
        <v>3095</v>
      </c>
      <c r="F43" s="462">
        <f>SUMIF(123:123,E43,124:124)-SUMIF(123:123,C43,124:124)+100</f>
        <v>100</v>
      </c>
      <c r="G43" s="461" t="s">
        <v>3095</v>
      </c>
      <c r="H43" s="436">
        <f>SUMIF(123:123,G43,124:124)-SUMIF(123:123,C43,124:124)+100</f>
        <v>100</v>
      </c>
      <c r="I43" s="461" t="s">
        <v>3095</v>
      </c>
      <c r="J43" s="436">
        <f>SUMIF(123:123,I43,124:124)-SUMIF(123:123,C43,124:124)+100</f>
        <v>100</v>
      </c>
      <c r="K43" s="613">
        <v>1</v>
      </c>
      <c r="L43" s="1144"/>
      <c r="M43" s="1135"/>
      <c r="N43" s="1135"/>
      <c r="O43" s="1135"/>
      <c r="P43" s="3224"/>
      <c r="Q43" s="1815" t="str">
        <f t="shared" si="11"/>
        <v>内部装修</v>
      </c>
      <c r="R43" s="775" t="s">
        <v>17</v>
      </c>
      <c r="S43" s="776">
        <f t="shared" si="12"/>
        <v>100</v>
      </c>
      <c r="T43" s="775" t="s">
        <v>17</v>
      </c>
      <c r="U43" s="776">
        <f t="shared" si="13"/>
        <v>100</v>
      </c>
      <c r="V43" s="775" t="s">
        <v>17</v>
      </c>
      <c r="W43" s="776">
        <f t="shared" si="14"/>
        <v>100</v>
      </c>
      <c r="X43" s="1818"/>
      <c r="Y43" s="3226"/>
      <c r="Z43" s="1819" t="str">
        <f t="shared" si="15"/>
        <v>内部装修</v>
      </c>
      <c r="AA43" s="1816">
        <f t="shared" si="3"/>
        <v>1</v>
      </c>
      <c r="AB43" s="1816">
        <f t="shared" si="4"/>
        <v>1</v>
      </c>
      <c r="AC43" s="2681">
        <f t="shared" si="5"/>
        <v>1</v>
      </c>
    </row>
    <row r="44" spans="1:29" ht="15">
      <c r="A44" s="473"/>
      <c r="B44" s="423" t="s">
        <v>2577</v>
      </c>
      <c r="C44" s="461" t="s">
        <v>3127</v>
      </c>
      <c r="D44" s="436">
        <v>100</v>
      </c>
      <c r="E44" s="2620" t="s">
        <v>3127</v>
      </c>
      <c r="F44" s="462">
        <f>SUMIF(125:125,E44,126:126)-SUMIF(125:125,C44,126:126)+100</f>
        <v>100</v>
      </c>
      <c r="G44" s="2620" t="s">
        <v>3127</v>
      </c>
      <c r="H44" s="436">
        <f>SUMIF(125:125,G44,126:126)-SUMIF(125:125,C44,126:126)+100</f>
        <v>100</v>
      </c>
      <c r="I44" s="2620" t="s">
        <v>3127</v>
      </c>
      <c r="J44" s="436">
        <f>SUMIF(125:125,I44,126:126)-SUMIF(125:125,C44,126:126)+100</f>
        <v>100</v>
      </c>
      <c r="K44" s="613">
        <v>2</v>
      </c>
      <c r="L44" s="1144"/>
      <c r="M44" s="1135"/>
      <c r="N44" s="1135"/>
      <c r="O44" s="1135"/>
      <c r="P44" s="3224"/>
      <c r="Q44" s="1815" t="str">
        <f t="shared" si="11"/>
        <v>内部装修维护情况</v>
      </c>
      <c r="R44" s="775" t="s">
        <v>17</v>
      </c>
      <c r="S44" s="776">
        <f t="shared" si="12"/>
        <v>100</v>
      </c>
      <c r="T44" s="775" t="s">
        <v>17</v>
      </c>
      <c r="U44" s="776">
        <f t="shared" si="13"/>
        <v>100</v>
      </c>
      <c r="V44" s="775" t="s">
        <v>17</v>
      </c>
      <c r="W44" s="776">
        <f t="shared" si="14"/>
        <v>100</v>
      </c>
      <c r="X44" s="1818"/>
      <c r="Y44" s="3226"/>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24"/>
      <c r="Q45" s="1800">
        <f t="shared" si="11"/>
        <v>111</v>
      </c>
      <c r="R45" s="771" t="s">
        <v>17</v>
      </c>
      <c r="S45" s="772">
        <f t="shared" si="12"/>
        <v>100</v>
      </c>
      <c r="T45" s="771" t="s">
        <v>17</v>
      </c>
      <c r="U45" s="772">
        <f t="shared" si="13"/>
        <v>100</v>
      </c>
      <c r="V45" s="771" t="s">
        <v>17</v>
      </c>
      <c r="W45" s="772">
        <f t="shared" si="14"/>
        <v>100</v>
      </c>
      <c r="X45" s="773"/>
      <c r="Y45" s="3226"/>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24"/>
      <c r="Q46" s="1815">
        <f t="shared" si="11"/>
        <v>111</v>
      </c>
      <c r="R46" s="775" t="s">
        <v>17</v>
      </c>
      <c r="S46" s="776">
        <f t="shared" si="12"/>
        <v>100</v>
      </c>
      <c r="T46" s="775" t="s">
        <v>17</v>
      </c>
      <c r="U46" s="776">
        <f t="shared" si="13"/>
        <v>100</v>
      </c>
      <c r="V46" s="775" t="s">
        <v>17</v>
      </c>
      <c r="W46" s="776">
        <f t="shared" si="14"/>
        <v>100</v>
      </c>
      <c r="X46" s="1818"/>
      <c r="Y46" s="3226"/>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25"/>
      <c r="Q47" s="1815">
        <f t="shared" si="11"/>
        <v>111</v>
      </c>
      <c r="R47" s="775" t="s">
        <v>17</v>
      </c>
      <c r="S47" s="776">
        <f t="shared" si="12"/>
        <v>100</v>
      </c>
      <c r="T47" s="775" t="s">
        <v>17</v>
      </c>
      <c r="U47" s="776">
        <f t="shared" si="13"/>
        <v>100</v>
      </c>
      <c r="V47" s="775" t="s">
        <v>17</v>
      </c>
      <c r="W47" s="776">
        <f t="shared" si="14"/>
        <v>100</v>
      </c>
      <c r="X47" s="1818"/>
      <c r="Y47" s="3227"/>
      <c r="Z47" s="1819">
        <f t="shared" si="15"/>
        <v>111</v>
      </c>
      <c r="AA47" s="1816">
        <f t="shared" si="3"/>
        <v>1</v>
      </c>
      <c r="AB47" s="1816">
        <f t="shared" si="4"/>
        <v>1</v>
      </c>
      <c r="AC47" s="2681">
        <f t="shared" si="5"/>
        <v>1</v>
      </c>
    </row>
    <row r="48" spans="1:29" ht="15">
      <c r="A48" s="480" t="s">
        <v>2578</v>
      </c>
      <c r="B48" s="481"/>
      <c r="C48" s="1411" t="s">
        <v>1</v>
      </c>
      <c r="D48" s="1412"/>
      <c r="E48" s="1413">
        <v>38992</v>
      </c>
      <c r="F48" s="1414"/>
      <c r="G48" s="1415">
        <v>37393</v>
      </c>
      <c r="H48" s="1416"/>
      <c r="I48" s="1413">
        <v>40000</v>
      </c>
      <c r="J48" s="486"/>
      <c r="K48" s="784"/>
      <c r="L48" s="1147"/>
      <c r="M48" s="1135"/>
      <c r="N48" s="1135"/>
      <c r="O48" s="1135"/>
      <c r="P48" s="3213" t="str">
        <f>A48</f>
        <v>成交单价（元/平方米）</v>
      </c>
      <c r="Q48" s="3214"/>
      <c r="R48" s="3215">
        <f>E48</f>
        <v>38992</v>
      </c>
      <c r="S48" s="3215"/>
      <c r="T48" s="3215">
        <f>G48</f>
        <v>37393</v>
      </c>
      <c r="U48" s="3215"/>
      <c r="V48" s="3215">
        <f>I48</f>
        <v>40000</v>
      </c>
      <c r="W48" s="3215"/>
      <c r="X48" s="447"/>
      <c r="Y48" s="782"/>
      <c r="Z48" s="447"/>
      <c r="AA48" s="447"/>
      <c r="AB48" s="447"/>
      <c r="AC48" s="631"/>
    </row>
    <row r="49" spans="1:29" ht="15.75" thickBot="1">
      <c r="A49" s="487" t="s">
        <v>2670</v>
      </c>
      <c r="B49" s="488"/>
      <c r="C49" s="1417">
        <f>R50</f>
        <v>38438</v>
      </c>
      <c r="D49" s="1418"/>
      <c r="E49" s="1419">
        <f>R49</f>
        <v>39788</v>
      </c>
      <c r="F49" s="1419"/>
      <c r="G49" s="1417">
        <f>T49</f>
        <v>36297</v>
      </c>
      <c r="H49" s="1418"/>
      <c r="I49" s="1419">
        <f>V49</f>
        <v>39228</v>
      </c>
      <c r="J49" s="490"/>
      <c r="K49" s="785"/>
      <c r="L49" s="1147"/>
      <c r="M49" s="1135"/>
      <c r="N49" s="1135"/>
      <c r="O49" s="1135"/>
      <c r="P49" s="3213" t="str">
        <f>A49</f>
        <v>比较价值（元/平方米）</v>
      </c>
      <c r="Q49" s="3214"/>
      <c r="R49" s="3215">
        <f>IF(F1="售价",ROUND(PRODUCT(R48,AA7:AA47),0),ROUND(PRODUCT(R48,AA7:AA47),1))</f>
        <v>39788</v>
      </c>
      <c r="S49" s="3215"/>
      <c r="T49" s="3215">
        <f>IF(F1="售价",ROUND(PRODUCT(T48,AB7:AB47),0),ROUND(PRODUCT(T48,AB7:AB47),1))</f>
        <v>36297</v>
      </c>
      <c r="U49" s="3215"/>
      <c r="V49" s="3215">
        <f>IF(F1="售价",ROUND(PRODUCT(V48,AC7:AC47),0),ROUND(PRODUCT(V48,AC7:AC47),1))</f>
        <v>39228</v>
      </c>
      <c r="W49" s="3215"/>
      <c r="X49" s="447"/>
      <c r="Y49" s="447"/>
      <c r="Z49" s="447"/>
      <c r="AA49" s="447"/>
      <c r="AB49" s="447"/>
      <c r="AC49" s="631"/>
    </row>
    <row r="50" spans="1:29" ht="15.75" thickBot="1">
      <c r="A50" s="493" t="s">
        <v>3121</v>
      </c>
      <c r="B50" s="494"/>
      <c r="C50" s="1421">
        <f>R50</f>
        <v>38438</v>
      </c>
      <c r="D50" s="1421"/>
      <c r="E50" s="1421"/>
      <c r="F50" s="1421"/>
      <c r="G50" s="1421"/>
      <c r="H50" s="1421"/>
      <c r="I50" s="1421"/>
      <c r="J50" s="495"/>
      <c r="K50" s="786"/>
      <c r="L50" s="1147"/>
      <c r="M50" s="1135"/>
      <c r="N50" s="1135"/>
      <c r="O50" s="1135"/>
      <c r="P50" s="3216" t="str">
        <f>A50</f>
        <v>估价对象办公用房的比较价值（楼面单价，元/平方米）</v>
      </c>
      <c r="Q50" s="3217"/>
      <c r="R50" s="3218">
        <f>IF(F1="售价",ROUND(AVERAGE(R49:V49),0),ROUND(AVERAGE(R49:V49),1))</f>
        <v>38438</v>
      </c>
      <c r="S50" s="3218"/>
      <c r="T50" s="3218"/>
      <c r="U50" s="3218"/>
      <c r="V50" s="3218"/>
      <c r="W50" s="3218"/>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2672</v>
      </c>
      <c r="D53" s="499"/>
      <c r="E53" s="500">
        <f>IF(E48&lt;E49,E49/E48-1,E48/E49-1)</f>
        <v>2.0414443988510556E-2</v>
      </c>
      <c r="F53" s="501" t="str">
        <f>IF(OR(E53&gt;=0.3,E53&lt;=-0.3),"超过30%","")</f>
        <v/>
      </c>
      <c r="G53" s="500">
        <f>IF(G48&lt;G49,G49/G48-1,G48/G49-1)</f>
        <v>3.0195332947626552E-2</v>
      </c>
      <c r="H53" s="501" t="str">
        <f>IF(OR(G53&gt;=0.3,G53&lt;=-0.3),"超过30%","")</f>
        <v/>
      </c>
      <c r="I53" s="500">
        <f>IF(I48&lt;I49,I49/I48-1,I48/I49-1)</f>
        <v>1.9679820536351533E-2</v>
      </c>
      <c r="J53" s="501" t="str">
        <f>IF(OR(I53&gt;=0.3,I53&lt;=-0.3),"超过30%","")</f>
        <v/>
      </c>
      <c r="K53" s="1109"/>
      <c r="L53" s="1110"/>
      <c r="M53" s="1148"/>
      <c r="N53" s="1148"/>
      <c r="O53" s="1148"/>
    </row>
    <row r="54" spans="1:29" ht="13.5" customHeight="1">
      <c r="A54" s="1148"/>
      <c r="B54" s="1148"/>
      <c r="C54" s="498" t="s">
        <v>2673</v>
      </c>
      <c r="D54" s="502"/>
      <c r="E54" s="500">
        <f>IF(E49&lt;G49,G49/E49-1,E49/G49-1)</f>
        <v>9.6178747554894306E-2</v>
      </c>
      <c r="F54" s="501" t="str">
        <f>IF(OR(E54&gt;=0.2,E54&lt;=-0.2),"超过20%","")</f>
        <v/>
      </c>
      <c r="G54" s="500">
        <f>IF(G49&lt;I49,I49/G49-1,G49/I49-1)</f>
        <v>8.0750475245888076E-2</v>
      </c>
      <c r="H54" s="501" t="str">
        <f>IF(OR(G54&gt;=0.2,G54&lt;=-0.2),"超过20%","")</f>
        <v/>
      </c>
      <c r="I54" s="500">
        <f>IF(I49&lt;E49,E49/I49-1,I49/E49-1)</f>
        <v>1.4275517487508882E-2</v>
      </c>
      <c r="J54" s="501" t="str">
        <f>IF(OR(I54&gt;=0.2,I54&lt;=-0.2),"超过20%","")</f>
        <v/>
      </c>
      <c r="K54" s="1109"/>
      <c r="L54" s="1110"/>
      <c r="M54" s="1148"/>
      <c r="N54" s="1148"/>
      <c r="O54" s="1148"/>
    </row>
    <row r="55" spans="1:29" s="503" customFormat="1" ht="13.5" customHeight="1">
      <c r="A55" s="1149"/>
      <c r="B55" s="1149"/>
      <c r="C55" s="498" t="s">
        <v>2674</v>
      </c>
      <c r="D55" s="502"/>
      <c r="E55" s="500">
        <f>IF(E48&lt;G48,G48/E48-1,E48/G48-1)</f>
        <v>4.2762014280747662E-2</v>
      </c>
      <c r="F55" s="501" t="str">
        <f>IF(OR(E55&gt;=0.3,E55&lt;=-0.3),"超过30%","")</f>
        <v/>
      </c>
      <c r="G55" s="500">
        <f>IF(G48&lt;I48,I48/G48-1,G48/I48-1)</f>
        <v>6.971893135078755E-2</v>
      </c>
      <c r="H55" s="501" t="str">
        <f>IF(OR(G55&gt;=0.3,G55&lt;=-0.3),"超过30%","")</f>
        <v/>
      </c>
      <c r="I55" s="500">
        <f>IF(I48&lt;E48,E48/I48-1,I48/E48-1)</f>
        <v>2.5851456709068632E-2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2675</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2653</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3108</v>
      </c>
      <c r="D87" s="2946" t="s">
        <v>3110</v>
      </c>
      <c r="E87" s="2946" t="s">
        <v>3111</v>
      </c>
      <c r="F87" s="2946" t="s">
        <v>3112</v>
      </c>
      <c r="G87" s="2946" t="s">
        <v>3113</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3114</v>
      </c>
      <c r="D89" s="2946" t="s">
        <v>3116</v>
      </c>
      <c r="E89" s="2946" t="s">
        <v>3118</v>
      </c>
      <c r="F89" s="2642"/>
      <c r="G89" s="555"/>
      <c r="H89" s="555"/>
      <c r="I89" s="555"/>
      <c r="J89" s="555"/>
      <c r="K89" s="555"/>
      <c r="L89" s="555"/>
      <c r="M89" s="582"/>
      <c r="N89" s="1155"/>
      <c r="O89" s="1155"/>
      <c r="P89" s="2691"/>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3133</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2"/>
      <c r="Q105" s="560"/>
    </row>
    <row r="106" spans="1:17" ht="15" thickTop="1">
      <c r="A106" s="600"/>
      <c r="B106" s="539" t="s">
        <v>2615</v>
      </c>
      <c r="C106" s="2946" t="s">
        <v>3093</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3094</v>
      </c>
      <c r="D108" s="2946" t="s">
        <v>3096</v>
      </c>
      <c r="E108" s="2946" t="s">
        <v>3097</v>
      </c>
      <c r="F108" s="2947" t="s">
        <v>3098</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3100</v>
      </c>
      <c r="D113" s="2946" t="s">
        <v>3101</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3102</v>
      </c>
      <c r="D115" s="2946" t="s">
        <v>3104</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3106</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3107</v>
      </c>
      <c r="D119" s="2947" t="s">
        <v>3135</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3094</v>
      </c>
      <c r="D123" s="2946" t="s">
        <v>3096</v>
      </c>
      <c r="E123" s="2946" t="s">
        <v>3097</v>
      </c>
      <c r="F123" s="2947" t="s">
        <v>3098</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39.020000000000003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9508</v>
      </c>
      <c r="C2" s="1850" t="s">
        <v>1517</v>
      </c>
      <c r="D2" s="1850"/>
      <c r="E2" s="1851"/>
      <c r="F2" s="1852"/>
      <c r="G2" s="1853"/>
      <c r="H2" s="1845"/>
      <c r="I2" s="1845"/>
      <c r="J2" s="1845"/>
      <c r="K2" s="1846"/>
      <c r="L2" s="1845"/>
      <c r="M2" s="1845"/>
    </row>
    <row r="3" spans="1:37" ht="18" customHeight="1" thickBot="1">
      <c r="A3" s="1854" t="s">
        <v>1518</v>
      </c>
      <c r="B3" s="1855">
        <f ca="1">IF(ISERROR(B2*10000/F43),0,ROUND(B2*10000/F43,0))</f>
        <v>48690</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447</v>
      </c>
      <c r="D5" s="1827" t="s">
        <v>1403</v>
      </c>
      <c r="E5" s="1297"/>
      <c r="F5" s="1298"/>
      <c r="G5" s="1856"/>
      <c r="H5" s="345">
        <v>1</v>
      </c>
      <c r="I5" s="346" t="s">
        <v>1402</v>
      </c>
      <c r="J5" s="1296">
        <f ca="1">J6+J10+J12</f>
        <v>444</v>
      </c>
      <c r="K5" s="1827" t="s">
        <v>1403</v>
      </c>
      <c r="L5" s="1297"/>
      <c r="M5" s="1298"/>
    </row>
    <row r="6" spans="1:37" ht="18" customHeight="1">
      <c r="A6" s="1295" t="s">
        <v>1035</v>
      </c>
      <c r="B6" s="3267" t="s">
        <v>1404</v>
      </c>
      <c r="C6" s="1300">
        <f ca="1">ROUND(F6*F8*F7*(1-F9)/10000,0)</f>
        <v>446</v>
      </c>
      <c r="D6" s="165" t="s">
        <v>3035</v>
      </c>
      <c r="E6" s="348" t="s">
        <v>1406</v>
      </c>
      <c r="F6" s="349">
        <f ca="1">INDIRECT("'数据-取费表'!u"&amp;$G$1)</f>
        <v>6.26</v>
      </c>
      <c r="G6" s="1856"/>
      <c r="H6" s="1295" t="s">
        <v>1035</v>
      </c>
      <c r="I6" s="3267" t="s">
        <v>1404</v>
      </c>
      <c r="J6" s="347">
        <f ca="1">ROUND(M6*M8*M7*(1-M9)/10000,0)</f>
        <v>443</v>
      </c>
      <c r="K6" s="165" t="s">
        <v>3034</v>
      </c>
      <c r="L6" s="348" t="s">
        <v>1406</v>
      </c>
      <c r="M6" s="349">
        <f ca="1">INDIRECT("'数据-取费表'!z"&amp;$G$1)</f>
        <v>6.9</v>
      </c>
    </row>
    <row r="7" spans="1:37" ht="18" customHeight="1">
      <c r="A7" s="1299"/>
      <c r="B7" s="3268"/>
      <c r="C7" s="1301"/>
      <c r="D7" s="353"/>
      <c r="E7" s="1302" t="s">
        <v>1407</v>
      </c>
      <c r="F7" s="349">
        <f ca="1">IF(INDIRECT("'数据-取费表'!ah"&amp;$G$1)="",INDIRECT("'数据-取费表'!k"&amp;$G$1),INDIRECT("'数据-取费表'!ah"&amp;$G$1))</f>
        <v>1952.76</v>
      </c>
      <c r="G7" s="1856"/>
      <c r="H7" s="350"/>
      <c r="I7" s="3268"/>
      <c r="J7" s="352"/>
      <c r="K7" s="353"/>
      <c r="L7" s="348" t="s">
        <v>1407</v>
      </c>
      <c r="M7" s="349">
        <f ca="1">F7</f>
        <v>1952.76</v>
      </c>
    </row>
    <row r="8" spans="1:37" ht="18" customHeight="1">
      <c r="A8" s="350"/>
      <c r="B8" s="3268"/>
      <c r="C8" s="352"/>
      <c r="D8" s="353"/>
      <c r="E8" s="348" t="s">
        <v>1408</v>
      </c>
      <c r="F8" s="349">
        <f ca="1">INDIRECT("'数据-取费表'!ai"&amp;$G$1)</f>
        <v>365</v>
      </c>
      <c r="G8" s="1856"/>
      <c r="H8" s="350"/>
      <c r="I8" s="3268"/>
      <c r="J8" s="352"/>
      <c r="K8" s="353"/>
      <c r="L8" s="348" t="s">
        <v>1408</v>
      </c>
      <c r="M8" s="349">
        <f ca="1">INDIRECT("'数据-取费表'!ai"&amp;$G$1)</f>
        <v>365</v>
      </c>
    </row>
    <row r="9" spans="1:37" ht="18" customHeight="1">
      <c r="A9" s="350"/>
      <c r="B9" s="3269"/>
      <c r="C9" s="352"/>
      <c r="D9" s="353"/>
      <c r="E9" s="348" t="s">
        <v>1409</v>
      </c>
      <c r="F9" s="358">
        <f ca="1">INDIRECT("'数据-取费表'!w"&amp;$G$1)</f>
        <v>0</v>
      </c>
      <c r="G9" s="1856"/>
      <c r="H9" s="350"/>
      <c r="I9" s="3269"/>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v>
      </c>
      <c r="D10" s="1829" t="s">
        <v>3036</v>
      </c>
      <c r="E10" s="359" t="s">
        <v>1412</v>
      </c>
      <c r="F10" s="1370" t="s">
        <v>3203</v>
      </c>
      <c r="G10" s="1856"/>
      <c r="H10" s="1295" t="s">
        <v>1039</v>
      </c>
      <c r="I10" s="1828" t="s">
        <v>1410</v>
      </c>
      <c r="J10" s="347">
        <f ca="1">ROUND(IF(M10="押一",M6*M8*M7/12*M11,IF(M10="押二",M6*M8*M7/12*2*M11,IF(M10="押三",M6*M8*M7/12*3*M11,J11*M11)))/10000,0)</f>
        <v>1</v>
      </c>
      <c r="K10" s="1829" t="s">
        <v>3037</v>
      </c>
      <c r="L10" s="359" t="s">
        <v>1412</v>
      </c>
      <c r="M10" s="1370" t="s">
        <v>3203</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743</v>
      </c>
      <c r="D13" s="1335" t="s">
        <v>1416</v>
      </c>
      <c r="E13" s="1335" t="s">
        <v>1417</v>
      </c>
      <c r="F13" s="1336">
        <f ca="1">INDIRECT("'数据-取费表'!y"&amp;$G$1)</f>
        <v>0.85</v>
      </c>
      <c r="G13" s="1856"/>
      <c r="H13" s="1333">
        <v>2</v>
      </c>
      <c r="I13" s="1334" t="s">
        <v>1415</v>
      </c>
      <c r="J13" s="1294">
        <f ca="1">ROUND(J14*J15,0)</f>
        <v>699</v>
      </c>
      <c r="K13" s="1341" t="s">
        <v>1416</v>
      </c>
      <c r="L13" s="1857"/>
      <c r="M13" s="1858"/>
    </row>
    <row r="14" spans="1:37" ht="18" customHeight="1">
      <c r="A14" s="1205" t="s">
        <v>1034</v>
      </c>
      <c r="B14" s="348" t="s">
        <v>1418</v>
      </c>
      <c r="C14" s="364">
        <f ca="1">INDIRECT("'数据-取费表'!m"&amp;$G$1)+INDIRECT("'数据-取费表'!t"&amp;$G$1)</f>
        <v>586</v>
      </c>
      <c r="D14" s="1805" t="s">
        <v>1419</v>
      </c>
      <c r="E14" s="1799"/>
      <c r="F14" s="365"/>
      <c r="G14" s="1856"/>
      <c r="H14" s="1205" t="s">
        <v>1035</v>
      </c>
      <c r="I14" s="348" t="s">
        <v>1420</v>
      </c>
      <c r="J14" s="24">
        <f ca="1">C29</f>
        <v>874</v>
      </c>
      <c r="K14" s="15"/>
      <c r="L14" s="983"/>
      <c r="M14" s="984"/>
    </row>
    <row r="15" spans="1:37" s="1863" customFormat="1" ht="18" customHeight="1" thickBot="1">
      <c r="A15" s="1205" t="s">
        <v>1036</v>
      </c>
      <c r="B15" s="348" t="s">
        <v>1421</v>
      </c>
      <c r="C15" s="24">
        <f ca="1">ROUND(C14*F15,0)</f>
        <v>18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59</v>
      </c>
      <c r="K16" s="1341" t="s">
        <v>1426</v>
      </c>
      <c r="L16" s="1342"/>
      <c r="M16" s="1298"/>
    </row>
    <row r="17" spans="1:37" s="1863" customFormat="1" ht="18" customHeight="1">
      <c r="A17" s="1205" t="s">
        <v>1391</v>
      </c>
      <c r="B17" s="348" t="s">
        <v>1427</v>
      </c>
      <c r="C17" s="24">
        <f ca="1">ROUND(F17*(F43+INDIRECT("'数据-取费表'!S"&amp;$G$1))/10000,0)</f>
        <v>20</v>
      </c>
      <c r="D17" s="348" t="s">
        <v>1428</v>
      </c>
      <c r="E17" s="348" t="s">
        <v>1429</v>
      </c>
      <c r="F17" s="26">
        <f>'数据-取费表'!B35</f>
        <v>100</v>
      </c>
      <c r="G17" s="1859"/>
      <c r="H17" s="1205" t="s">
        <v>1035</v>
      </c>
      <c r="I17" s="348" t="s">
        <v>1430</v>
      </c>
      <c r="J17" s="24">
        <f ca="1">ROUND(IF(项目基本情况!B11="自然人",J5*M17,J18+J19+J20),1)</f>
        <v>31</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9</v>
      </c>
      <c r="D18" s="348" t="s">
        <v>1422</v>
      </c>
      <c r="E18" s="348" t="s">
        <v>1423</v>
      </c>
      <c r="F18" s="368">
        <f>'数据-取费表'!B36</f>
        <v>1.4999999999999999E-2</v>
      </c>
      <c r="G18" s="1859"/>
      <c r="H18" s="1205" t="s">
        <v>1034</v>
      </c>
      <c r="I18" s="348" t="s">
        <v>1434</v>
      </c>
      <c r="J18" s="24">
        <f ca="1">ROUND(J5*M18/(1+'数据-取费表'!C42),2)</f>
        <v>23.68</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633</v>
      </c>
      <c r="D19" s="140" t="s">
        <v>1437</v>
      </c>
      <c r="E19" s="1823"/>
      <c r="F19" s="26"/>
      <c r="G19" s="1856"/>
      <c r="H19" s="1205" t="s">
        <v>1036</v>
      </c>
      <c r="I19" s="348" t="s">
        <v>1438</v>
      </c>
      <c r="J19" s="24">
        <f ca="1">IF(K19="按租金收入计税",ROUND(J5*M19,2),ROUND(C29*M19*0.7,2))</f>
        <v>7.34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13</v>
      </c>
      <c r="D20" s="370" t="s">
        <v>1441</v>
      </c>
      <c r="E20" s="348" t="s">
        <v>1423</v>
      </c>
      <c r="F20" s="368">
        <f>'数据-取费表'!B37</f>
        <v>0.02</v>
      </c>
      <c r="G20" s="1859"/>
      <c r="H20" s="1205" t="s">
        <v>1390</v>
      </c>
      <c r="I20" s="165" t="s">
        <v>1442</v>
      </c>
      <c r="J20" s="25">
        <f ca="1">ROUND(M20*M21/10000,2)</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17.5</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31</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ROUND(J13*M23,1)</f>
        <v>1.4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8.9</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385</v>
      </c>
      <c r="K25" s="1349" t="s">
        <v>1465</v>
      </c>
      <c r="L25" s="1350"/>
      <c r="M25" s="1351"/>
    </row>
    <row r="26" spans="1:37">
      <c r="A26" s="1205" t="s">
        <v>1034</v>
      </c>
      <c r="B26" s="348" t="s">
        <v>1466</v>
      </c>
      <c r="C26" s="24">
        <f ca="1">ROUND((C19+C20)*F26,0)</f>
        <v>129</v>
      </c>
      <c r="D26" s="370" t="s">
        <v>1467</v>
      </c>
      <c r="E26" s="359" t="s">
        <v>1468</v>
      </c>
      <c r="F26" s="358">
        <f ca="1">INDIRECT("'数据-取费表'!q"&amp;$G$1)</f>
        <v>0.2</v>
      </c>
      <c r="G26" s="1856"/>
      <c r="H26" s="345" t="s">
        <v>1032</v>
      </c>
      <c r="I26" s="346" t="s">
        <v>1469</v>
      </c>
      <c r="J26" s="347">
        <f ca="1">IF(J5&lt;&gt;0,ROUND(J25*(1-((1+M28)/(1+M26))^M27)/(M26-M28),0),0)</f>
        <v>9718</v>
      </c>
      <c r="K26" s="371" t="s">
        <v>1470</v>
      </c>
      <c r="L26" s="348" t="s">
        <v>1471</v>
      </c>
      <c r="M26" s="358">
        <f ca="1">INDIRECT("'数据-取费表'!I"&amp;$G$1)</f>
        <v>0.05</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36.550000000000004</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874</v>
      </c>
      <c r="D29" s="1346"/>
      <c r="E29" s="1344"/>
      <c r="F29" s="1347"/>
      <c r="G29" s="1859"/>
      <c r="H29" s="381" t="s">
        <v>1033</v>
      </c>
      <c r="I29" s="382" t="s">
        <v>1480</v>
      </c>
      <c r="J29" s="383">
        <f ca="1">ROUND(J26/(1+F40)^F41,0)</f>
        <v>8615</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31.2</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IF(项目基本情况!B11="自然人","——",ROUND(C5*F32/(1+'数据-取费表'!C42),2))</f>
        <v>23.84</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IF(项目基本情况!B11="自然人","——",IF(D33="按租金收入计税",ROUND(C5*F33,2),IF(D33="按房产原值计税",ROUND(C29*F33*0.7,2),INDIRECT("'数据-取费表'!Aj"&amp;$G$1))))</f>
        <v>7.34</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IF(项目基本情况!B11="自然人","——",ROUND(F34*F35/10000,2))</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17.5</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1.5</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388</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881</v>
      </c>
      <c r="D40" s="371" t="s">
        <v>1470</v>
      </c>
      <c r="E40" s="348" t="s">
        <v>1471</v>
      </c>
      <c r="F40" s="358">
        <f ca="1">INDIRECT("'数据-取费表'!I"&amp;$G$1)</f>
        <v>0.05</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ROUND(C40*10000/F43,0)</f>
        <v>4512</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f ca="1">IF(M47="住宅",0,IF(L48&gt;J51,L60,J60))</f>
        <v>12</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3092</v>
      </c>
      <c r="K47" s="1887" t="s">
        <v>1528</v>
      </c>
      <c r="L47" s="1888">
        <f ca="1">INDIRECT("'数据-取费表'!d"&amp;$G$1)</f>
        <v>50</v>
      </c>
      <c r="M47" s="1843" t="str">
        <f>IF(ISNUMBER(FIND("住宅",C1)),"住宅","非住宅")</f>
        <v>非住宅</v>
      </c>
      <c r="O47" s="1889" t="s">
        <v>1040</v>
      </c>
      <c r="P47" s="1890" t="s">
        <v>1529</v>
      </c>
      <c r="Q47" s="1891">
        <f ca="1">C40+J29</f>
        <v>9496</v>
      </c>
      <c r="R47" s="1891" t="s">
        <v>1530</v>
      </c>
    </row>
    <row r="48" spans="1:18" s="1847" customFormat="1" ht="28.5" thickBot="1">
      <c r="A48" s="1364" t="s">
        <v>1135</v>
      </c>
      <c r="B48" s="346" t="s">
        <v>1402</v>
      </c>
      <c r="C48" s="1822">
        <f ca="1">C49+C53+C55</f>
        <v>447</v>
      </c>
      <c r="D48" s="1366"/>
      <c r="E48" s="1367"/>
      <c r="F48" s="1185"/>
      <c r="G48" s="793"/>
      <c r="H48" s="794"/>
      <c r="I48" s="1892" t="s">
        <v>1531</v>
      </c>
      <c r="J48" s="1893" t="s">
        <v>3136</v>
      </c>
      <c r="K48" s="1894" t="s">
        <v>1532</v>
      </c>
      <c r="L48" s="1895">
        <f ca="1">INDIRECT("'数据-取费表'!f"&amp;$G$1)</f>
        <v>39.020000000000003</v>
      </c>
      <c r="O48" s="1889" t="s">
        <v>1041</v>
      </c>
      <c r="P48" s="1890" t="s">
        <v>1533</v>
      </c>
      <c r="Q48" s="1891">
        <f ca="1">J60</f>
        <v>12</v>
      </c>
      <c r="R48" s="1891" t="s">
        <v>1534</v>
      </c>
    </row>
    <row r="49" spans="1:18" s="1847" customFormat="1" ht="13.5" thickBot="1">
      <c r="A49" s="1198" t="s">
        <v>1136</v>
      </c>
      <c r="B49" s="1834" t="s">
        <v>1491</v>
      </c>
      <c r="C49" s="1368">
        <f ca="1">ROUND(F49*F51*F50*(1-F52)/10000,0)</f>
        <v>446</v>
      </c>
      <c r="D49" s="1280" t="s">
        <v>3038</v>
      </c>
      <c r="E49" s="1835" t="s">
        <v>1492</v>
      </c>
      <c r="F49" s="1285">
        <f ca="1">F6</f>
        <v>6.26</v>
      </c>
      <c r="G49" s="1896"/>
      <c r="H49" s="794"/>
      <c r="I49" s="1892" t="s">
        <v>1535</v>
      </c>
      <c r="J49" s="1897">
        <v>2008</v>
      </c>
      <c r="K49" s="1894" t="s">
        <v>1536</v>
      </c>
      <c r="L49" s="1898"/>
      <c r="O49" s="1899" t="s">
        <v>1042</v>
      </c>
      <c r="P49" s="1890" t="s">
        <v>1537</v>
      </c>
      <c r="Q49" s="1891">
        <f ca="1">C29</f>
        <v>874</v>
      </c>
      <c r="R49" s="1891" t="s">
        <v>1530</v>
      </c>
    </row>
    <row r="50" spans="1:18" s="1847" customFormat="1" ht="13.5" thickBot="1">
      <c r="A50" s="1199"/>
      <c r="B50" s="1202"/>
      <c r="C50" s="1372"/>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5923</v>
      </c>
      <c r="M51" s="1907"/>
      <c r="O51" s="1899" t="s">
        <v>1044</v>
      </c>
      <c r="P51" s="1890" t="s">
        <v>1543</v>
      </c>
      <c r="Q51" s="1902">
        <f>J52</f>
        <v>0.09</v>
      </c>
      <c r="R51" s="1891"/>
    </row>
    <row r="52" spans="1:18" s="1847" customFormat="1" ht="13.5" thickBot="1">
      <c r="A52" s="1200"/>
      <c r="B52" s="1202"/>
      <c r="C52" s="1203"/>
      <c r="D52" s="1176"/>
      <c r="E52" s="1204" t="s">
        <v>1409</v>
      </c>
      <c r="F52" s="1279">
        <f ca="1">F9</f>
        <v>0</v>
      </c>
      <c r="I52" s="1908" t="s">
        <v>1544</v>
      </c>
      <c r="J52" s="1909">
        <v>0.09</v>
      </c>
      <c r="K52" s="1908" t="s">
        <v>1545</v>
      </c>
      <c r="L52" s="1909"/>
      <c r="O52" s="1899" t="s">
        <v>1045</v>
      </c>
      <c r="P52" s="1890" t="s">
        <v>1546</v>
      </c>
      <c r="Q52" s="1891">
        <f ca="1">J53</f>
        <v>39.020000000000003</v>
      </c>
      <c r="R52" s="1891" t="s">
        <v>1547</v>
      </c>
    </row>
    <row r="53" spans="1:18" s="1847" customFormat="1" ht="24.75" thickBot="1">
      <c r="A53" s="1409" t="s">
        <v>1137</v>
      </c>
      <c r="B53" s="1836" t="s">
        <v>1410</v>
      </c>
      <c r="C53" s="362">
        <f ca="1">ROUND(IF(F53="押一",F49*F51*F50/12*F11,IF(F53="押二",F49*F51*F50/12*2*F11,IF(F53="押三",F49*F51*F50/12*3*F11,C54*F11)))/10000,0)</f>
        <v>1</v>
      </c>
      <c r="D53" s="1829" t="s">
        <v>3036</v>
      </c>
      <c r="E53" s="359" t="s">
        <v>1412</v>
      </c>
      <c r="F53" s="1370" t="s">
        <v>3203</v>
      </c>
      <c r="I53" s="1910" t="s">
        <v>1548</v>
      </c>
      <c r="J53" s="1911">
        <f ca="1">IF(M47="住宅",J51,IF(D1="——",MIN(J51,L48),IF(D1="在建（套用方法）",MIN(J51,L48-'数据-取费表'!B24),IF(D1="土地（套用方法）",MIN(J51,L48-'数据-取费表'!B20)))))</f>
        <v>39.020000000000003</v>
      </c>
      <c r="K53" s="3265" t="s">
        <v>1549</v>
      </c>
      <c r="L53" s="3266"/>
      <c r="O53" s="1889" t="s">
        <v>1046</v>
      </c>
      <c r="P53" s="1890" t="s">
        <v>1550</v>
      </c>
      <c r="Q53" s="1891">
        <f ca="1">Q47+Q48</f>
        <v>9508</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743</v>
      </c>
      <c r="D56" s="1919"/>
      <c r="E56" s="1920"/>
      <c r="F56" s="1912"/>
      <c r="I56" s="1921" t="s">
        <v>1555</v>
      </c>
      <c r="J56" s="1922" t="s">
        <v>3055</v>
      </c>
      <c r="K56" s="1892" t="s">
        <v>1556</v>
      </c>
      <c r="L56" s="1895" t="str">
        <f ca="1">IF(L48&lt;J51,"——",L48-J53)</f>
        <v>——</v>
      </c>
      <c r="O56" s="1889" t="s">
        <v>1040</v>
      </c>
      <c r="P56" s="1890" t="s">
        <v>1529</v>
      </c>
      <c r="Q56" s="1891">
        <f ca="1">C40+J29</f>
        <v>9496</v>
      </c>
      <c r="R56" s="1891" t="s">
        <v>1530</v>
      </c>
    </row>
    <row r="57" spans="1:18" s="1847" customFormat="1" ht="24.75" thickBot="1">
      <c r="A57" s="1923"/>
      <c r="B57" s="1173" t="s">
        <v>1479</v>
      </c>
      <c r="C57" s="283">
        <f ca="1">C29</f>
        <v>874</v>
      </c>
      <c r="D57" s="1924"/>
      <c r="E57" s="1925"/>
      <c r="F57" s="1926"/>
      <c r="I57" s="1927" t="s">
        <v>1557</v>
      </c>
      <c r="J57" s="1928">
        <f ca="1">IF(OR(M47="住宅",J51&lt;L48,J56="是"),"——",J51-L48)</f>
        <v>11.979999999999997</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59</v>
      </c>
      <c r="D58" s="1183" t="s">
        <v>1426</v>
      </c>
      <c r="E58" s="1184"/>
      <c r="F58" s="1185"/>
      <c r="I58" s="1927" t="s">
        <v>1561</v>
      </c>
      <c r="J58" s="1929">
        <f ca="1">IF(J55&lt;0.4,0.4,J55)</f>
        <v>0.4</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31.2</v>
      </c>
      <c r="D59" s="1186" t="s">
        <v>1431</v>
      </c>
      <c r="E59" s="1187" t="s">
        <v>1432</v>
      </c>
      <c r="F59" s="369" t="str">
        <f ca="1">IF(项目基本情况!B11="企业","",IF(INDIRECT("'数据-取费表'!c"&amp;$G$1)="住宅",5%,IF(F49*F50*F51/12/(1+'数据-取费表'!C42)&gt;20000,12%,7%)))</f>
        <v/>
      </c>
      <c r="I59" s="1927" t="s">
        <v>1564</v>
      </c>
      <c r="J59" s="1928">
        <f ca="1">IF(OR(M47="住宅",J51&lt;L48,J56="是"),"——",ROUND(C29*J58,0))</f>
        <v>350</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IF(项目基本情况!B11="自然人","——",ROUND(C48*F60/(1+'数据-取费表'!C42),2))</f>
        <v>23.84</v>
      </c>
      <c r="D60" s="1187" t="s">
        <v>1435</v>
      </c>
      <c r="E60" s="1173" t="s">
        <v>1423</v>
      </c>
      <c r="F60" s="378">
        <f t="shared" ref="F60:F66" si="0">F32</f>
        <v>5.6000000000000001E-2</v>
      </c>
      <c r="I60" s="1930" t="s">
        <v>1566</v>
      </c>
      <c r="J60" s="1931">
        <f ca="1">IF(OR(M47="住宅",J51&lt;L48,J56="是"),"0",ROUND(J59/(1+J52)^J53,0))</f>
        <v>12</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IF(项目基本情况!B11="自然人","——",IF(D61="按租金收入计税",ROUND(C48*F61,2),IF(D61="按房产原值计税",ROUND(C57*F61*0.7,2),INDIRECT("'数据-取费表'!Aj"&amp;$G$1))))</f>
        <v>7.34</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IF(项目基本情况!B11="自然人","——",ROUND(F62*F63/10000,2))</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9496</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17.5</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1.5</v>
      </c>
      <c r="D65" s="1187" t="s">
        <v>1455</v>
      </c>
      <c r="E65" s="1173" t="s">
        <v>1456</v>
      </c>
      <c r="F65" s="377">
        <f t="shared" ca="1" si="0"/>
        <v>2E-3</v>
      </c>
      <c r="I65" s="1934" t="s">
        <v>1580</v>
      </c>
      <c r="J65" s="1935">
        <v>40</v>
      </c>
      <c r="K65" s="1935">
        <v>30</v>
      </c>
      <c r="L65" s="1935">
        <v>50</v>
      </c>
      <c r="M65" s="1937">
        <v>0.02</v>
      </c>
      <c r="O65" s="1889" t="s">
        <v>1040</v>
      </c>
      <c r="P65" s="1890" t="s">
        <v>1581</v>
      </c>
      <c r="Q65" s="1891">
        <f ca="1">C40+J29</f>
        <v>9496</v>
      </c>
      <c r="R65" s="1891" t="s">
        <v>1530</v>
      </c>
    </row>
    <row r="66" spans="1:18" s="1847" customFormat="1" ht="16.5" thickBot="1">
      <c r="A66" s="1205" t="s">
        <v>1505</v>
      </c>
      <c r="B66" s="1173" t="s">
        <v>1440</v>
      </c>
      <c r="C66" s="24">
        <f ca="1">ROUND(C48*F66,1)</f>
        <v>8.9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388</v>
      </c>
      <c r="D67" s="1186" t="s">
        <v>1465</v>
      </c>
      <c r="E67" s="1191"/>
      <c r="F67" s="1192"/>
      <c r="O67" s="1899" t="s">
        <v>1042</v>
      </c>
      <c r="P67" s="1890" t="s">
        <v>1563</v>
      </c>
      <c r="Q67" s="1938">
        <f ca="1">L51</f>
        <v>5923</v>
      </c>
      <c r="R67" s="1891" t="s">
        <v>1583</v>
      </c>
    </row>
    <row r="68" spans="1:18" s="1847" customFormat="1" ht="16.5" thickBot="1">
      <c r="A68" s="1170" t="s">
        <v>1032</v>
      </c>
      <c r="B68" s="1171" t="s">
        <v>1486</v>
      </c>
      <c r="C68" s="347">
        <f ca="1">ROUND(C67*(1-((1+F70)/(1+F68))^F69)/(F68-F70),0)</f>
        <v>881</v>
      </c>
      <c r="D68" s="1188" t="s">
        <v>1470</v>
      </c>
      <c r="E68" s="1173" t="s">
        <v>1471</v>
      </c>
      <c r="F68" s="358">
        <f ca="1">F40</f>
        <v>0.05</v>
      </c>
      <c r="O68" s="1899" t="s">
        <v>1043</v>
      </c>
      <c r="P68" s="1939" t="s">
        <v>1584</v>
      </c>
      <c r="Q68" s="1891">
        <f ca="1">ROUND(Q69-Q70*Q71,0)</f>
        <v>325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388</v>
      </c>
      <c r="R69" s="1891" t="s">
        <v>1530</v>
      </c>
    </row>
    <row r="70" spans="1:18" s="1847" customFormat="1" ht="13.5" thickBot="1">
      <c r="A70" s="1177"/>
      <c r="B70" s="1178"/>
      <c r="C70" s="356"/>
      <c r="D70" s="1189"/>
      <c r="E70" s="1173" t="s">
        <v>1478</v>
      </c>
      <c r="F70" s="1279">
        <f ca="1">F42</f>
        <v>0</v>
      </c>
      <c r="O70" s="1899" t="s">
        <v>1049</v>
      </c>
      <c r="P70" s="1939" t="s">
        <v>1586</v>
      </c>
      <c r="Q70" s="1891">
        <f ca="1">C13</f>
        <v>743</v>
      </c>
      <c r="R70" s="1891" t="s">
        <v>1530</v>
      </c>
    </row>
    <row r="71" spans="1:18" s="1847" customFormat="1" ht="13.5" thickBot="1">
      <c r="A71" s="1194" t="s">
        <v>1033</v>
      </c>
      <c r="B71" s="1195" t="s">
        <v>1488</v>
      </c>
      <c r="C71" s="383">
        <f ca="1">ROUND(C68*10000/F71,0)</f>
        <v>4512</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v>
      </c>
      <c r="D75" s="1847"/>
      <c r="E75" s="1847"/>
      <c r="F75" s="1847"/>
      <c r="K75" s="1873"/>
      <c r="L75" s="1847"/>
      <c r="O75" s="1889" t="s">
        <v>1046</v>
      </c>
      <c r="P75" s="1890" t="s">
        <v>1550</v>
      </c>
      <c r="Q75" s="1891">
        <f ca="1">Q65+Q66</f>
        <v>9496</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0.15700000000000003</v>
      </c>
    </row>
    <row r="83" spans="2:3">
      <c r="B83" s="318" t="s">
        <v>1515</v>
      </c>
      <c r="C83" s="319">
        <f ca="1">ROUND(C13/C40,3)</f>
        <v>0.84299999999999997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J56" sqref="J5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39.020000000000003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f ca="1">ROUND(D2/10000,0)</f>
        <v>9498</v>
      </c>
      <c r="C2" s="1850" t="s">
        <v>1592</v>
      </c>
      <c r="D2" s="1943">
        <f ca="1">C40+J29+L46</f>
        <v>94979679</v>
      </c>
      <c r="E2" s="1851" t="s">
        <v>1593</v>
      </c>
      <c r="F2" s="1852"/>
      <c r="G2" s="1853"/>
      <c r="H2" s="1845"/>
      <c r="I2" s="1845"/>
      <c r="J2" s="1845"/>
      <c r="K2" s="1846"/>
      <c r="L2" s="1845"/>
      <c r="M2" s="1845"/>
    </row>
    <row r="3" spans="1:37" ht="18" customHeight="1" thickBot="1">
      <c r="A3" s="1854" t="s">
        <v>1594</v>
      </c>
      <c r="B3" s="1855">
        <f ca="1">IF(ISERROR(D2/F43),0,ROUND(D2/F43,0))</f>
        <v>48639</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4467438</v>
      </c>
      <c r="D5" s="1827" t="s">
        <v>1602</v>
      </c>
      <c r="E5" s="1297"/>
      <c r="F5" s="1298"/>
      <c r="G5" s="1856"/>
      <c r="H5" s="345">
        <v>1</v>
      </c>
      <c r="I5" s="346" t="s">
        <v>1601</v>
      </c>
      <c r="J5" s="1296">
        <f ca="1">J6+J10+J12</f>
        <v>4432371</v>
      </c>
      <c r="K5" s="1827" t="s">
        <v>1602</v>
      </c>
      <c r="L5" s="1297"/>
      <c r="M5" s="1298"/>
    </row>
    <row r="6" spans="1:37" ht="18" customHeight="1">
      <c r="A6" s="1295" t="s">
        <v>1035</v>
      </c>
      <c r="B6" s="3267" t="s">
        <v>1404</v>
      </c>
      <c r="C6" s="1300">
        <f ca="1">ROUND(F6*F8*F7*(1-F9),0)</f>
        <v>4461861</v>
      </c>
      <c r="D6" s="165" t="s">
        <v>3030</v>
      </c>
      <c r="E6" s="348" t="s">
        <v>1406</v>
      </c>
      <c r="F6" s="349">
        <f ca="1">INDIRECT("'数据-取费表'!u"&amp;$G$1)</f>
        <v>6.26</v>
      </c>
      <c r="G6" s="1856"/>
      <c r="H6" s="1295" t="s">
        <v>1035</v>
      </c>
      <c r="I6" s="3267" t="s">
        <v>1404</v>
      </c>
      <c r="J6" s="347">
        <f ca="1">ROUND(M6*M8*M7*(1-M9),0)</f>
        <v>4426223</v>
      </c>
      <c r="K6" s="1839" t="s">
        <v>3033</v>
      </c>
      <c r="L6" s="348" t="s">
        <v>1406</v>
      </c>
      <c r="M6" s="349">
        <f ca="1">INDIRECT("'数据-取费表'!z"&amp;$G$1)</f>
        <v>6.9</v>
      </c>
    </row>
    <row r="7" spans="1:37" ht="18" customHeight="1">
      <c r="A7" s="1299"/>
      <c r="B7" s="3268"/>
      <c r="C7" s="1301"/>
      <c r="D7" s="353"/>
      <c r="E7" s="1302" t="s">
        <v>1407</v>
      </c>
      <c r="F7" s="349">
        <f ca="1">IF(INDIRECT("'数据-取费表'!ah"&amp;$G$1)="",INDIRECT("'数据-取费表'!k"&amp;$G$1),INDIRECT("'数据-取费表'!ah"&amp;$G$1))</f>
        <v>1952.76</v>
      </c>
      <c r="G7" s="1856"/>
      <c r="H7" s="350"/>
      <c r="I7" s="3268"/>
      <c r="J7" s="352"/>
      <c r="K7" s="353"/>
      <c r="L7" s="348" t="s">
        <v>1407</v>
      </c>
      <c r="M7" s="349">
        <f ca="1">F7</f>
        <v>1952.76</v>
      </c>
    </row>
    <row r="8" spans="1:37" ht="18" customHeight="1">
      <c r="A8" s="350"/>
      <c r="B8" s="3268"/>
      <c r="C8" s="352"/>
      <c r="D8" s="353"/>
      <c r="E8" s="348" t="s">
        <v>1408</v>
      </c>
      <c r="F8" s="349">
        <f ca="1">INDIRECT("'数据-取费表'!ai"&amp;$G$1)</f>
        <v>365</v>
      </c>
      <c r="G8" s="1856"/>
      <c r="H8" s="350"/>
      <c r="I8" s="3268"/>
      <c r="J8" s="352"/>
      <c r="K8" s="353"/>
      <c r="L8" s="348" t="s">
        <v>1408</v>
      </c>
      <c r="M8" s="349">
        <f ca="1">INDIRECT("'数据-取费表'!ai"&amp;$G$1)</f>
        <v>365</v>
      </c>
    </row>
    <row r="9" spans="1:37" ht="18" customHeight="1">
      <c r="A9" s="350"/>
      <c r="B9" s="3269"/>
      <c r="C9" s="352"/>
      <c r="D9" s="353"/>
      <c r="E9" s="348" t="s">
        <v>1409</v>
      </c>
      <c r="F9" s="358">
        <f ca="1">INDIRECT("'数据-取费表'!w"&amp;$G$1)</f>
        <v>0</v>
      </c>
      <c r="G9" s="1856"/>
      <c r="H9" s="350"/>
      <c r="I9" s="3269"/>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ROUND(IF(F10="押一",F6*F8*F7/12*F11,IF(F10="押二",F6*F8*F7/12*2*F11,IF(F10="押三",F6*F8*F7/12*3*F11,C11*F11))),0)</f>
        <v>5577</v>
      </c>
      <c r="D10" s="1829" t="s">
        <v>3031</v>
      </c>
      <c r="E10" s="359" t="s">
        <v>1412</v>
      </c>
      <c r="F10" s="1370" t="s">
        <v>3203</v>
      </c>
      <c r="G10" s="1856"/>
      <c r="H10" s="1295" t="s">
        <v>1039</v>
      </c>
      <c r="I10" s="1828" t="s">
        <v>1410</v>
      </c>
      <c r="J10" s="347">
        <f ca="1">ROUND(IF(M10="押一",M6*M8*M7/12*M11,IF(M10="押二",M6*M8*M7/12*2*M11,IF(M10="押三",M6*M8*M7/12*3*M11,J11*M11))),0)</f>
        <v>6148</v>
      </c>
      <c r="K10" s="1840" t="s">
        <v>3032</v>
      </c>
      <c r="L10" s="359" t="s">
        <v>1412</v>
      </c>
      <c r="M10" s="1370" t="s">
        <v>3203</v>
      </c>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7412986</v>
      </c>
      <c r="D13" s="1335" t="s">
        <v>1416</v>
      </c>
      <c r="E13" s="1335" t="s">
        <v>1417</v>
      </c>
      <c r="F13" s="1336">
        <f ca="1">INDIRECT("'数据-取费表'!y"&amp;$G$1)</f>
        <v>0.85</v>
      </c>
      <c r="G13" s="1856"/>
      <c r="H13" s="1333">
        <v>2</v>
      </c>
      <c r="I13" s="1334" t="s">
        <v>1415</v>
      </c>
      <c r="J13" s="1294">
        <f ca="1">ROUND(J14*J15,0)</f>
        <v>6976928</v>
      </c>
      <c r="K13" s="1341" t="s">
        <v>1416</v>
      </c>
      <c r="L13" s="1857"/>
      <c r="M13" s="1858"/>
    </row>
    <row r="14" spans="1:37" ht="18" customHeight="1">
      <c r="A14" s="1205" t="s">
        <v>1034</v>
      </c>
      <c r="B14" s="348" t="s">
        <v>1418</v>
      </c>
      <c r="C14" s="364">
        <f ca="1">ROUND(INDIRECT("'数据-取费表'!l"&amp;$G$1)*F43+'数据-取费表'!L14*INDIRECT("'数据-取费表'!S"&amp;$G$1),0)</f>
        <v>5858280</v>
      </c>
      <c r="D14" s="1805" t="s">
        <v>1419</v>
      </c>
      <c r="E14" s="1799"/>
      <c r="F14" s="365"/>
      <c r="G14" s="1856"/>
      <c r="H14" s="1205" t="s">
        <v>1035</v>
      </c>
      <c r="I14" s="348" t="s">
        <v>1420</v>
      </c>
      <c r="J14" s="24">
        <f ca="1">C29</f>
        <v>8721160</v>
      </c>
      <c r="K14" s="15"/>
      <c r="L14" s="983"/>
      <c r="M14" s="984"/>
    </row>
    <row r="15" spans="1:37" s="1863" customFormat="1" ht="18" customHeight="1" thickBot="1">
      <c r="A15" s="1205" t="s">
        <v>1036</v>
      </c>
      <c r="B15" s="348" t="s">
        <v>1421</v>
      </c>
      <c r="C15" s="24">
        <f ca="1">ROUND(C14*F15,0)</f>
        <v>175748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586675</v>
      </c>
      <c r="K16" s="1341" t="s">
        <v>1426</v>
      </c>
      <c r="L16" s="1342"/>
      <c r="M16" s="1298"/>
    </row>
    <row r="17" spans="1:37" s="1863" customFormat="1" ht="18" customHeight="1">
      <c r="A17" s="1205" t="s">
        <v>1391</v>
      </c>
      <c r="B17" s="348" t="s">
        <v>1427</v>
      </c>
      <c r="C17" s="24">
        <f ca="1">ROUND(F17*(F43+INDIRECT("'数据-取费表'!S"&amp;$G$1)),0)</f>
        <v>195276</v>
      </c>
      <c r="D17" s="348" t="s">
        <v>1428</v>
      </c>
      <c r="E17" s="348" t="s">
        <v>1429</v>
      </c>
      <c r="F17" s="26">
        <f>'数据-取费表'!B35</f>
        <v>100</v>
      </c>
      <c r="G17" s="1859"/>
      <c r="H17" s="1205" t="s">
        <v>1035</v>
      </c>
      <c r="I17" s="348" t="s">
        <v>1430</v>
      </c>
      <c r="J17" s="24">
        <f ca="1">ROUND(IF(项目基本情况!B11="自然人",J5*M17,J18+J19+J20),0)</f>
        <v>309651</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87874</v>
      </c>
      <c r="D18" s="348" t="s">
        <v>1422</v>
      </c>
      <c r="E18" s="348" t="s">
        <v>1423</v>
      </c>
      <c r="F18" s="368">
        <f>'数据-取费表'!B36</f>
        <v>1.4999999999999999E-2</v>
      </c>
      <c r="G18" s="1859"/>
      <c r="H18" s="1205" t="s">
        <v>1034</v>
      </c>
      <c r="I18" s="348" t="s">
        <v>1434</v>
      </c>
      <c r="J18" s="24">
        <f ca="1">ROUND(J5*M18/(1+'数据-取费表'!C42),0)</f>
        <v>236393</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6317178</v>
      </c>
      <c r="D19" s="140" t="s">
        <v>1437</v>
      </c>
      <c r="E19" s="1823"/>
      <c r="F19" s="26"/>
      <c r="G19" s="1856"/>
      <c r="H19" s="1205" t="s">
        <v>1036</v>
      </c>
      <c r="I19" s="348" t="s">
        <v>1438</v>
      </c>
      <c r="J19" s="24">
        <f ca="1">IF(K19="按租金收入计税",ROUND(J5*M19,0),ROUND(C29*M19*0.7,0))</f>
        <v>73258</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126344</v>
      </c>
      <c r="D20" s="370" t="s">
        <v>1441</v>
      </c>
      <c r="E20" s="348" t="s">
        <v>1423</v>
      </c>
      <c r="F20" s="368">
        <f>'数据-取费表'!B37</f>
        <v>0.02</v>
      </c>
      <c r="G20" s="1859"/>
      <c r="H20" s="1205" t="s">
        <v>1390</v>
      </c>
      <c r="I20" s="165" t="s">
        <v>1442</v>
      </c>
      <c r="J20" s="25">
        <f ca="1">ROUND(M20*M21,0)</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174423</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306067</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ROUND(J13*M23,0)</f>
        <v>13954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88647</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3845696</v>
      </c>
      <c r="K25" s="1349" t="s">
        <v>1465</v>
      </c>
      <c r="L25" s="1350"/>
      <c r="M25" s="1351"/>
    </row>
    <row r="26" spans="1:37" ht="18" customHeight="1">
      <c r="A26" s="1205" t="s">
        <v>1034</v>
      </c>
      <c r="B26" s="348" t="s">
        <v>1466</v>
      </c>
      <c r="C26" s="24">
        <f ca="1">ROUND((C19+C20)*F26,0)</f>
        <v>1288704</v>
      </c>
      <c r="D26" s="370" t="s">
        <v>1467</v>
      </c>
      <c r="E26" s="359" t="s">
        <v>1468</v>
      </c>
      <c r="F26" s="358">
        <f ca="1">INDIRECT("'数据-取费表'!q"&amp;$G$1)</f>
        <v>0.2</v>
      </c>
      <c r="G26" s="1856"/>
      <c r="H26" s="345" t="s">
        <v>1032</v>
      </c>
      <c r="I26" s="346" t="s">
        <v>1469</v>
      </c>
      <c r="J26" s="347">
        <f ca="1">IF(J5&lt;&gt;0,ROUND(J25*(1-((1+M28)/(1+M26))^M27)/(M26-M28),0),0)</f>
        <v>97076100</v>
      </c>
      <c r="K26" s="371" t="s">
        <v>1470</v>
      </c>
      <c r="L26" s="348" t="s">
        <v>1471</v>
      </c>
      <c r="M26" s="358">
        <f ca="1">INDIRECT("'数据-取费表'!I"&amp;$G$1)</f>
        <v>0.05</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36.550000000000004</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8721160</v>
      </c>
      <c r="D29" s="1346"/>
      <c r="E29" s="1344"/>
      <c r="F29" s="1347"/>
      <c r="G29" s="1859"/>
      <c r="H29" s="381" t="s">
        <v>1033</v>
      </c>
      <c r="I29" s="382" t="s">
        <v>1480</v>
      </c>
      <c r="J29" s="383">
        <f ca="1">ROUND(J26/(1+F40)^F41,0)</f>
        <v>86054731</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590119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311521</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IF(项目基本情况!B11="自然人","——",ROUND(C5*F32/(1+'数据-取费表'!C42),0))</f>
        <v>238263</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IF(项目基本情况!B11="自然人","——",IF(D33="按租金收入计税",ROUND(C5*F33,0),IF(D33="按房产原值计税",ROUND(C29*F33*0.7,0),INDIRECT("'数据-取费表'!Aj"&amp;$G$1))))</f>
        <v>73258</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174423</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ROUND(C13*F37,0)</f>
        <v>14826</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89348.800000000003</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3877319</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8804096</v>
      </c>
      <c r="D40" s="371" t="s">
        <v>1470</v>
      </c>
      <c r="E40" s="348" t="s">
        <v>1471</v>
      </c>
      <c r="F40" s="358">
        <f ca="1">INDIRECT("'数据-取费表'!I"&amp;$G$1)</f>
        <v>0.05</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ROUND(C40/F43,0)</f>
        <v>4509</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0</v>
      </c>
      <c r="D45" s="1945" t="s">
        <v>1605</v>
      </c>
      <c r="E45" s="1871"/>
      <c r="F45" s="1871"/>
      <c r="O45" s="1874" t="s">
        <v>1520</v>
      </c>
      <c r="P45" s="1844"/>
      <c r="Q45" s="1844"/>
      <c r="R45" s="1844"/>
    </row>
    <row r="46" spans="1:18" s="1847" customFormat="1" ht="13.5" thickBot="1">
      <c r="A46" s="1875" t="s">
        <v>1521</v>
      </c>
      <c r="C46" s="1876">
        <f ca="1">ROUND(C45/10000,0)</f>
        <v>0</v>
      </c>
      <c r="D46" s="1877" t="str">
        <f>C2</f>
        <v>万元</v>
      </c>
      <c r="I46" s="1878" t="s">
        <v>1522</v>
      </c>
      <c r="J46" s="1879"/>
      <c r="K46" s="1880"/>
      <c r="L46" s="1881">
        <f ca="1">IF(M47="住宅",0,IF(L48&gt;J51,L60,J60))</f>
        <v>120852</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t="s">
        <v>3092</v>
      </c>
      <c r="K47" s="1887" t="s">
        <v>1528</v>
      </c>
      <c r="L47" s="1888">
        <f ca="1">INDIRECT("'数据-取费表'!d"&amp;$G$1)</f>
        <v>50</v>
      </c>
      <c r="M47" s="1843" t="str">
        <f>IF(ISNUMBER(FIND("住宅",C1)),"住宅","非住宅")</f>
        <v>非住宅</v>
      </c>
      <c r="O47" s="1889" t="s">
        <v>1040</v>
      </c>
      <c r="P47" s="1890" t="s">
        <v>1529</v>
      </c>
      <c r="Q47" s="1891">
        <f ca="1">C40+J29</f>
        <v>94858827</v>
      </c>
      <c r="R47" s="1891" t="s">
        <v>1530</v>
      </c>
    </row>
    <row r="48" spans="1:18" s="1847" customFormat="1" ht="28.5" thickBot="1">
      <c r="A48" s="1364" t="s">
        <v>1135</v>
      </c>
      <c r="B48" s="346" t="s">
        <v>1402</v>
      </c>
      <c r="C48" s="1822">
        <f ca="1">C49+C53+C55</f>
        <v>4467438</v>
      </c>
      <c r="D48" s="1366"/>
      <c r="E48" s="1367"/>
      <c r="F48" s="1185"/>
      <c r="G48" s="793"/>
      <c r="H48" s="794"/>
      <c r="I48" s="1892" t="s">
        <v>1531</v>
      </c>
      <c r="J48" s="1893" t="s">
        <v>3136</v>
      </c>
      <c r="K48" s="1894" t="s">
        <v>1532</v>
      </c>
      <c r="L48" s="1895">
        <f ca="1">INDIRECT("'数据-取费表'!f"&amp;$G$1)</f>
        <v>39.020000000000003</v>
      </c>
      <c r="O48" s="1889" t="s">
        <v>1041</v>
      </c>
      <c r="P48" s="1890" t="s">
        <v>1533</v>
      </c>
      <c r="Q48" s="1891">
        <f ca="1">J60</f>
        <v>120852</v>
      </c>
      <c r="R48" s="1891" t="s">
        <v>1534</v>
      </c>
    </row>
    <row r="49" spans="1:18" s="1847" customFormat="1" ht="13.5" thickBot="1">
      <c r="A49" s="1198" t="s">
        <v>1136</v>
      </c>
      <c r="B49" s="1834" t="s">
        <v>1491</v>
      </c>
      <c r="C49" s="1368">
        <f ca="1">ROUND(F49*F51*F50*(1-F52),0)</f>
        <v>4461861</v>
      </c>
      <c r="D49" s="1280" t="s">
        <v>1405</v>
      </c>
      <c r="E49" s="1835" t="s">
        <v>1492</v>
      </c>
      <c r="F49" s="1285">
        <f ca="1">F6</f>
        <v>6.26</v>
      </c>
      <c r="G49" s="1896"/>
      <c r="H49" s="794"/>
      <c r="I49" s="1892" t="s">
        <v>1535</v>
      </c>
      <c r="J49" s="1897">
        <v>2008</v>
      </c>
      <c r="K49" s="1894" t="s">
        <v>1536</v>
      </c>
      <c r="L49" s="1898"/>
      <c r="O49" s="1899" t="s">
        <v>1042</v>
      </c>
      <c r="P49" s="1890" t="s">
        <v>1537</v>
      </c>
      <c r="Q49" s="1891">
        <f ca="1">C29</f>
        <v>8721160</v>
      </c>
      <c r="R49" s="1891" t="s">
        <v>1530</v>
      </c>
    </row>
    <row r="50" spans="1:18" s="1847" customFormat="1" ht="13.5" thickBot="1">
      <c r="A50" s="1199"/>
      <c r="B50" s="1202"/>
      <c r="C50" s="1203"/>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59207023</v>
      </c>
      <c r="M51" s="1907"/>
      <c r="O51" s="1899" t="s">
        <v>1044</v>
      </c>
      <c r="P51" s="1890" t="s">
        <v>1543</v>
      </c>
      <c r="Q51" s="1902">
        <f>J52</f>
        <v>0.09</v>
      </c>
      <c r="R51" s="1891"/>
    </row>
    <row r="52" spans="1:18" s="1847" customFormat="1" ht="13.5" thickBot="1">
      <c r="A52" s="1200"/>
      <c r="B52" s="1202"/>
      <c r="C52" s="1203"/>
      <c r="D52" s="1176"/>
      <c r="E52" s="1204" t="s">
        <v>1409</v>
      </c>
      <c r="F52" s="1279">
        <v>0</v>
      </c>
      <c r="I52" s="1908" t="s">
        <v>1544</v>
      </c>
      <c r="J52" s="1909">
        <v>0.09</v>
      </c>
      <c r="K52" s="1908" t="s">
        <v>1545</v>
      </c>
      <c r="L52" s="1909"/>
      <c r="O52" s="1899" t="s">
        <v>1045</v>
      </c>
      <c r="P52" s="1890" t="s">
        <v>1546</v>
      </c>
      <c r="Q52" s="1891">
        <f ca="1">J53</f>
        <v>39.020000000000003</v>
      </c>
      <c r="R52" s="1891" t="s">
        <v>1547</v>
      </c>
    </row>
    <row r="53" spans="1:18" s="1847" customFormat="1" ht="30.75" customHeight="1" thickBot="1">
      <c r="A53" s="1365" t="s">
        <v>1137</v>
      </c>
      <c r="B53" s="370" t="s">
        <v>1410</v>
      </c>
      <c r="C53" s="362">
        <f ca="1">ROUND(IF(F53="押一",F49*F51*F50/12*F11,IF(F53="押二",F49*F51*F50/12*2*F11,IF(F53="押三",F49*F51*F50/12*3*F11,C54*F11))),0)</f>
        <v>5577</v>
      </c>
      <c r="D53" s="1829" t="s">
        <v>1411</v>
      </c>
      <c r="E53" s="359" t="s">
        <v>1412</v>
      </c>
      <c r="F53" s="1370" t="s">
        <v>3203</v>
      </c>
      <c r="I53" s="1910" t="s">
        <v>1548</v>
      </c>
      <c r="J53" s="1911">
        <f ca="1">IF(M47="住宅",J51,IF(D1="——",MIN(J51,L48),IF(D1="在建（套用方法）",MIN(J51,L48-'数据-取费表'!B24),IF(D1="土地（套用方法）",MIN(J51,L48-'数据-取费表'!B20)))))</f>
        <v>39.020000000000003</v>
      </c>
      <c r="K53" s="3265" t="s">
        <v>1549</v>
      </c>
      <c r="L53" s="3266"/>
      <c r="O53" s="1889" t="s">
        <v>1046</v>
      </c>
      <c r="P53" s="1890" t="s">
        <v>1550</v>
      </c>
      <c r="Q53" s="1891">
        <f ca="1">Q47+Q48</f>
        <v>94979679</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7412986</v>
      </c>
      <c r="D56" s="1919"/>
      <c r="E56" s="1920"/>
      <c r="F56" s="1912"/>
      <c r="I56" s="1921" t="s">
        <v>1555</v>
      </c>
      <c r="J56" s="1922" t="s">
        <v>3055</v>
      </c>
      <c r="K56" s="1892" t="s">
        <v>1556</v>
      </c>
      <c r="L56" s="1895" t="str">
        <f ca="1">IF(L48&lt;J51,"——",L48-J51)</f>
        <v>——</v>
      </c>
      <c r="O56" s="1889" t="s">
        <v>1040</v>
      </c>
      <c r="P56" s="1890" t="s">
        <v>1529</v>
      </c>
      <c r="Q56" s="1891">
        <f ca="1">C40+J29</f>
        <v>94858827</v>
      </c>
      <c r="R56" s="1891" t="s">
        <v>1530</v>
      </c>
    </row>
    <row r="57" spans="1:18" s="1847" customFormat="1" ht="24.75" thickBot="1">
      <c r="A57" s="1923"/>
      <c r="B57" s="1173" t="s">
        <v>1479</v>
      </c>
      <c r="C57" s="283">
        <f ca="1">C29</f>
        <v>8721160</v>
      </c>
      <c r="D57" s="1924"/>
      <c r="E57" s="1925"/>
      <c r="F57" s="1926"/>
      <c r="I57" s="1927" t="s">
        <v>1557</v>
      </c>
      <c r="J57" s="1928">
        <f ca="1">IF(OR(M47="住宅",J51&lt;L48,J56="是"),"——",J51-L48)</f>
        <v>11.979999999999997</v>
      </c>
      <c r="K57" s="1892" t="s">
        <v>1606</v>
      </c>
      <c r="L57" s="1895" t="str">
        <f ca="1">IF(L48&lt;J51,"——",IF(L55="比较法",L49,IF(L55="基准地价",L50,L51)))</f>
        <v>——</v>
      </c>
      <c r="O57" s="1889" t="s">
        <v>1041</v>
      </c>
      <c r="P57" s="1890" t="s">
        <v>1607</v>
      </c>
      <c r="Q57" s="1891">
        <f ca="1">L60</f>
        <v>0</v>
      </c>
      <c r="R57" s="1891" t="s">
        <v>1608</v>
      </c>
    </row>
    <row r="58" spans="1:18" s="1847" customFormat="1" ht="24.75" thickBot="1">
      <c r="A58" s="361" t="s">
        <v>1030</v>
      </c>
      <c r="B58" s="1181" t="s">
        <v>1425</v>
      </c>
      <c r="C58" s="362">
        <f ca="1">ROUND(C59+C64+C65+C66,0)</f>
        <v>590119</v>
      </c>
      <c r="D58" s="1183" t="s">
        <v>1426</v>
      </c>
      <c r="E58" s="1184"/>
      <c r="F58" s="1185"/>
      <c r="I58" s="1927" t="s">
        <v>1561</v>
      </c>
      <c r="J58" s="1929">
        <f ca="1">IF(J55&lt;0.4,0.4,J55)</f>
        <v>0.4</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311521</v>
      </c>
      <c r="D59" s="1186" t="s">
        <v>1431</v>
      </c>
      <c r="E59" s="1187" t="s">
        <v>1432</v>
      </c>
      <c r="F59" s="369" t="str">
        <f ca="1">IF(项目基本情况!B11="企业","",IF(INDIRECT("'数据-取费表'!c"&amp;$G$1)="住宅",5%,IF(F49*F50*F51/12/(1+'数据-取费表'!C42)&gt;20000,12%,7%)))</f>
        <v/>
      </c>
      <c r="I59" s="1927" t="s">
        <v>1564</v>
      </c>
      <c r="J59" s="1928">
        <f ca="1">IF(OR(M47="住宅",J51&lt;L48,J56="是"),"——",ROUND(C29*J58,0))</f>
        <v>3488464</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IF(项目基本情况!B11="自然人","——",ROUND(C48*F60/(1+'数据-取费表'!C42),0))</f>
        <v>238263</v>
      </c>
      <c r="D60" s="1187" t="s">
        <v>1435</v>
      </c>
      <c r="E60" s="1173" t="s">
        <v>1423</v>
      </c>
      <c r="F60" s="378">
        <f t="shared" ref="F60:F66" si="0">F32</f>
        <v>5.6000000000000001E-2</v>
      </c>
      <c r="I60" s="1930" t="s">
        <v>1566</v>
      </c>
      <c r="J60" s="1931">
        <f ca="1">IF(OR(M47="住宅",J51&lt;L48,J56="是"),"0",ROUND(J59/(1+J52)^J53,0))</f>
        <v>120852</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IF(项目基本情况!B11="自然人","——",IF(D61="按租金收入计税",ROUND(C48*F61,0),IF(D61="按房产原值计税",ROUND(C57*F61*0.7,0),INDIRECT("'数据-取费表'!Aj"&amp;$G$1))))</f>
        <v>73258</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IF(项目基本情况!B11="自然人","——",ROUND(F62*F63,0))</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94858827</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174423</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14826</v>
      </c>
      <c r="D65" s="1187" t="s">
        <v>1455</v>
      </c>
      <c r="E65" s="1173" t="s">
        <v>1456</v>
      </c>
      <c r="F65" s="377">
        <f t="shared" ca="1" si="0"/>
        <v>2E-3</v>
      </c>
      <c r="I65" s="1934" t="s">
        <v>1580</v>
      </c>
      <c r="J65" s="1935">
        <v>40</v>
      </c>
      <c r="K65" s="1935">
        <v>30</v>
      </c>
      <c r="L65" s="1935">
        <v>50</v>
      </c>
      <c r="M65" s="1937">
        <v>0.02</v>
      </c>
      <c r="O65" s="1889" t="s">
        <v>1040</v>
      </c>
      <c r="P65" s="1890" t="s">
        <v>1581</v>
      </c>
      <c r="Q65" s="1891">
        <f ca="1">C40+J29</f>
        <v>94858827</v>
      </c>
      <c r="R65" s="1891" t="s">
        <v>1530</v>
      </c>
    </row>
    <row r="66" spans="1:18" s="1847" customFormat="1" ht="16.5" thickBot="1">
      <c r="A66" s="1205" t="s">
        <v>1505</v>
      </c>
      <c r="B66" s="1173" t="s">
        <v>1440</v>
      </c>
      <c r="C66" s="24">
        <f ca="1">ROUND(C48*F66,0)</f>
        <v>89349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3877319</v>
      </c>
      <c r="D67" s="1186" t="s">
        <v>1465</v>
      </c>
      <c r="E67" s="1191"/>
      <c r="F67" s="1192"/>
      <c r="O67" s="1899" t="s">
        <v>1042</v>
      </c>
      <c r="P67" s="1890" t="s">
        <v>1563</v>
      </c>
      <c r="Q67" s="1938">
        <f ca="1">L51</f>
        <v>59207023</v>
      </c>
      <c r="R67" s="1891" t="s">
        <v>1583</v>
      </c>
    </row>
    <row r="68" spans="1:18" s="1847" customFormat="1" ht="16.5" thickBot="1">
      <c r="A68" s="1170" t="s">
        <v>1032</v>
      </c>
      <c r="B68" s="1171" t="s">
        <v>1486</v>
      </c>
      <c r="C68" s="347">
        <f ca="1">ROUND(C67*(1-((1+F70)/(1+F68))^F69)/(F68-F70),0)</f>
        <v>8804096</v>
      </c>
      <c r="D68" s="1188" t="s">
        <v>1470</v>
      </c>
      <c r="E68" s="1173" t="s">
        <v>1471</v>
      </c>
      <c r="F68" s="358">
        <f ca="1">F40</f>
        <v>0.05</v>
      </c>
      <c r="O68" s="1899" t="s">
        <v>1043</v>
      </c>
      <c r="P68" s="1939" t="s">
        <v>1584</v>
      </c>
      <c r="Q68" s="1891">
        <f ca="1">ROUND(Q69-Q70*Q71,0)</f>
        <v>3247215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3877319</v>
      </c>
      <c r="R69" s="1891" t="s">
        <v>1530</v>
      </c>
    </row>
    <row r="70" spans="1:18" s="1847" customFormat="1" ht="13.5" thickBot="1">
      <c r="A70" s="1177"/>
      <c r="B70" s="1178"/>
      <c r="C70" s="356"/>
      <c r="D70" s="1189"/>
      <c r="E70" s="1173" t="s">
        <v>1478</v>
      </c>
      <c r="F70" s="1279">
        <v>0</v>
      </c>
      <c r="O70" s="1899" t="s">
        <v>1049</v>
      </c>
      <c r="P70" s="1939" t="s">
        <v>1586</v>
      </c>
      <c r="Q70" s="1891">
        <f ca="1">C13</f>
        <v>7412986</v>
      </c>
      <c r="R70" s="1891" t="s">
        <v>1530</v>
      </c>
    </row>
    <row r="71" spans="1:18" s="1847" customFormat="1" ht="13.5" thickBot="1">
      <c r="A71" s="1194" t="s">
        <v>1033</v>
      </c>
      <c r="B71" s="1195" t="s">
        <v>1488</v>
      </c>
      <c r="C71" s="383">
        <f ca="1">ROUND(C68/F71,0)</f>
        <v>4509</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630104</v>
      </c>
      <c r="D75" s="1847"/>
      <c r="E75" s="1847"/>
      <c r="F75" s="1847"/>
      <c r="K75" s="1873"/>
      <c r="L75" s="1847"/>
      <c r="O75" s="1889" t="s">
        <v>1046</v>
      </c>
      <c r="P75" s="1890" t="s">
        <v>1550</v>
      </c>
      <c r="Q75" s="1891">
        <f ca="1">Q65+Q66</f>
        <v>94858827</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0.83699999999999997</v>
      </c>
    </row>
    <row r="80" spans="1:18">
      <c r="B80" s="387" t="s">
        <v>1512</v>
      </c>
      <c r="C80" s="319">
        <f ca="1">ROUND(C75/C39,3)</f>
        <v>0.16300000000000001</v>
      </c>
    </row>
    <row r="81" spans="2:3">
      <c r="B81" s="315" t="s">
        <v>1513</v>
      </c>
      <c r="C81" s="283"/>
    </row>
    <row r="82" spans="2:3">
      <c r="B82" s="318" t="s">
        <v>1514</v>
      </c>
      <c r="C82" s="320">
        <f ca="1">1-C83</f>
        <v>0.15800000000000003</v>
      </c>
    </row>
    <row r="83" spans="2:3">
      <c r="B83" s="318" t="s">
        <v>1515</v>
      </c>
      <c r="C83" s="319">
        <f ca="1">ROUND(C13/C40,3)</f>
        <v>0.84199999999999997</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2527</v>
      </c>
      <c r="B1" s="2569"/>
      <c r="C1" s="2569"/>
      <c r="D1" s="2569"/>
      <c r="E1" s="2570"/>
    </row>
    <row r="2" spans="1:6" ht="15.75">
      <c r="A2" s="2571" t="s">
        <v>2328</v>
      </c>
      <c r="B2" s="2572">
        <f ca="1">SUMIF(B6:B13,"&lt;&gt;#ref!",B6:B13)</f>
        <v>9498</v>
      </c>
      <c r="C2" s="2573" t="s">
        <v>2520</v>
      </c>
      <c r="D2" s="2574" t="s">
        <v>2521</v>
      </c>
      <c r="E2" s="2575">
        <f>SUM(E6:E13)</f>
        <v>1952.76</v>
      </c>
    </row>
    <row r="3" spans="1:6" ht="15.75">
      <c r="A3" s="2571" t="s">
        <v>1396</v>
      </c>
      <c r="B3" s="2572">
        <f ca="1">ROUND(B2*10000/E2,0)</f>
        <v>48639</v>
      </c>
      <c r="C3" s="2573" t="s">
        <v>2528</v>
      </c>
      <c r="D3" s="2576"/>
      <c r="E3" s="2577"/>
    </row>
    <row r="4" spans="1:6" ht="15.75">
      <c r="A4" s="2578"/>
      <c r="B4" s="2576"/>
      <c r="C4" s="2576"/>
      <c r="D4" s="2576"/>
      <c r="E4" s="2577"/>
    </row>
    <row r="5" spans="1:6" ht="15">
      <c r="A5" s="2579" t="s">
        <v>2522</v>
      </c>
      <c r="B5" s="3270" t="s">
        <v>2523</v>
      </c>
      <c r="C5" s="3270"/>
      <c r="D5" s="2580"/>
      <c r="E5" s="2581" t="s">
        <v>2524</v>
      </c>
      <c r="F5" s="2582" t="s">
        <v>2525</v>
      </c>
    </row>
    <row r="6" spans="1:6">
      <c r="A6" s="2583" t="str">
        <f>'数据-取费表'!AN6</f>
        <v>收益法 (元)</v>
      </c>
      <c r="B6" s="2582">
        <f ca="1">IF(F6="是",'数据-取费表'!AO6,0)</f>
        <v>9498</v>
      </c>
      <c r="C6" s="2573" t="s">
        <v>2520</v>
      </c>
      <c r="D6" s="2576"/>
      <c r="E6" s="2584">
        <f>IF(OR(A6=0,F6="否"),0,'数据-取费表'!K6+'数据-取费表'!S6)</f>
        <v>1952.76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7" t="s">
        <v>1076</v>
      </c>
      <c r="B1" s="3288"/>
      <c r="C1" s="3289"/>
      <c r="D1" s="3290">
        <f>SUM(I10,I15,I20,I21,I23)</f>
        <v>0</v>
      </c>
      <c r="E1" s="3290"/>
      <c r="F1" s="3290"/>
      <c r="G1" s="3290"/>
      <c r="H1" s="3290"/>
      <c r="I1" s="3291"/>
    </row>
    <row r="2" spans="1:9">
      <c r="A2" s="3277" t="s">
        <v>1077</v>
      </c>
      <c r="B2" s="3278" t="s">
        <v>1078</v>
      </c>
      <c r="C2" s="3278"/>
      <c r="D2" s="1305" t="s">
        <v>1079</v>
      </c>
      <c r="E2" s="1305" t="s">
        <v>1080</v>
      </c>
      <c r="F2" s="1305" t="s">
        <v>1081</v>
      </c>
      <c r="G2" s="1305" t="s">
        <v>1082</v>
      </c>
      <c r="H2" s="1305" t="s">
        <v>1083</v>
      </c>
      <c r="I2" s="1306" t="s">
        <v>1084</v>
      </c>
    </row>
    <row r="3" spans="1:9">
      <c r="A3" s="3277"/>
      <c r="B3" s="3278" t="s">
        <v>1085</v>
      </c>
      <c r="C3" s="3278"/>
      <c r="D3" s="1307"/>
      <c r="E3" s="1305"/>
      <c r="F3" s="1308"/>
      <c r="G3" s="1308"/>
      <c r="H3" s="1309"/>
      <c r="I3" s="1310">
        <f>ROUND(D3*E3*F3*G3*H3/10000,0)</f>
        <v>0</v>
      </c>
    </row>
    <row r="4" spans="1:9">
      <c r="A4" s="3277"/>
      <c r="B4" s="3278" t="s">
        <v>1086</v>
      </c>
      <c r="C4" s="3278"/>
      <c r="D4" s="1307"/>
      <c r="E4" s="1305"/>
      <c r="F4" s="1308"/>
      <c r="G4" s="1308"/>
      <c r="H4" s="1309"/>
      <c r="I4" s="1310">
        <f t="shared" ref="I4:I9" si="0">ROUND(D4*E4*F4*G4*H4/10000,0)</f>
        <v>0</v>
      </c>
    </row>
    <row r="5" spans="1:9">
      <c r="A5" s="3277"/>
      <c r="B5" s="3278" t="s">
        <v>1087</v>
      </c>
      <c r="C5" s="3278"/>
      <c r="D5" s="1307"/>
      <c r="E5" s="1305"/>
      <c r="F5" s="1308"/>
      <c r="G5" s="1308"/>
      <c r="H5" s="1309"/>
      <c r="I5" s="1310">
        <f t="shared" si="0"/>
        <v>0</v>
      </c>
    </row>
    <row r="6" spans="1:9">
      <c r="A6" s="3277"/>
      <c r="B6" s="3278" t="s">
        <v>1088</v>
      </c>
      <c r="C6" s="3278"/>
      <c r="D6" s="1307"/>
      <c r="E6" s="1305"/>
      <c r="F6" s="1308"/>
      <c r="G6" s="1308"/>
      <c r="H6" s="1309"/>
      <c r="I6" s="1310">
        <f t="shared" si="0"/>
        <v>0</v>
      </c>
    </row>
    <row r="7" spans="1:9">
      <c r="A7" s="3277"/>
      <c r="B7" s="3278" t="s">
        <v>1089</v>
      </c>
      <c r="C7" s="3278"/>
      <c r="D7" s="1307"/>
      <c r="E7" s="1305"/>
      <c r="F7" s="1308"/>
      <c r="G7" s="1308"/>
      <c r="H7" s="1309"/>
      <c r="I7" s="1310">
        <f t="shared" si="0"/>
        <v>0</v>
      </c>
    </row>
    <row r="8" spans="1:9">
      <c r="A8" s="3277"/>
      <c r="B8" s="3278" t="s">
        <v>1090</v>
      </c>
      <c r="C8" s="3278"/>
      <c r="D8" s="1307"/>
      <c r="E8" s="1305"/>
      <c r="F8" s="1308"/>
      <c r="G8" s="1308"/>
      <c r="H8" s="1309"/>
      <c r="I8" s="1310">
        <f t="shared" si="0"/>
        <v>0</v>
      </c>
    </row>
    <row r="9" spans="1:9">
      <c r="A9" s="3277"/>
      <c r="B9" s="3278" t="s">
        <v>1091</v>
      </c>
      <c r="C9" s="3278"/>
      <c r="D9" s="1307"/>
      <c r="E9" s="1305"/>
      <c r="F9" s="1308"/>
      <c r="G9" s="1308"/>
      <c r="H9" s="1309"/>
      <c r="I9" s="1310">
        <f t="shared" si="0"/>
        <v>0</v>
      </c>
    </row>
    <row r="10" spans="1:9">
      <c r="A10" s="3277"/>
      <c r="B10" s="3279" t="s">
        <v>1092</v>
      </c>
      <c r="C10" s="3279"/>
      <c r="D10" s="1311"/>
      <c r="E10" s="1311" t="e">
        <f>ROUND(D1*10000/D10/H9,0)</f>
        <v>#DIV/0!</v>
      </c>
      <c r="F10" s="1312"/>
      <c r="G10" s="1312"/>
      <c r="H10" s="1313"/>
      <c r="I10" s="1314">
        <f>SUM(I3:I9)</f>
        <v>0</v>
      </c>
    </row>
    <row r="11" spans="1:9" ht="14.25">
      <c r="A11" s="3277" t="s">
        <v>1093</v>
      </c>
      <c r="B11" s="3278" t="s">
        <v>1094</v>
      </c>
      <c r="C11" s="3278"/>
      <c r="D11" s="1307" t="s">
        <v>1095</v>
      </c>
      <c r="E11" s="1307" t="s">
        <v>1096</v>
      </c>
      <c r="F11" s="1308" t="s">
        <v>1097</v>
      </c>
      <c r="G11" s="1308" t="s">
        <v>1083</v>
      </c>
      <c r="H11" s="1315" t="s">
        <v>1098</v>
      </c>
      <c r="I11" s="1306" t="s">
        <v>1084</v>
      </c>
    </row>
    <row r="12" spans="1:9">
      <c r="A12" s="3277"/>
      <c r="B12" s="3278" t="s">
        <v>1099</v>
      </c>
      <c r="C12" s="3278"/>
      <c r="D12" s="1307"/>
      <c r="E12" s="1307"/>
      <c r="F12" s="1308"/>
      <c r="G12" s="1309"/>
      <c r="H12" s="1316"/>
      <c r="I12" s="1306">
        <f>ROUND(D12*E12*F12*G12/10000,0)</f>
        <v>0</v>
      </c>
    </row>
    <row r="13" spans="1:9">
      <c r="A13" s="3277"/>
      <c r="B13" s="3278" t="s">
        <v>1100</v>
      </c>
      <c r="C13" s="3278"/>
      <c r="D13" s="1307"/>
      <c r="E13" s="1307"/>
      <c r="F13" s="1308"/>
      <c r="G13" s="1309"/>
      <c r="H13" s="1316"/>
      <c r="I13" s="1306">
        <f>ROUND(D13*E13*F13*G13/10000,0)</f>
        <v>0</v>
      </c>
    </row>
    <row r="14" spans="1:9">
      <c r="A14" s="3277"/>
      <c r="B14" s="3278" t="s">
        <v>1101</v>
      </c>
      <c r="C14" s="3278"/>
      <c r="D14" s="1307"/>
      <c r="E14" s="1307"/>
      <c r="F14" s="1308"/>
      <c r="G14" s="1309"/>
      <c r="H14" s="1316"/>
      <c r="I14" s="1306">
        <f>ROUND(D14*E14*F14*G14/10000,0)</f>
        <v>0</v>
      </c>
    </row>
    <row r="15" spans="1:9">
      <c r="A15" s="3277"/>
      <c r="B15" s="3279" t="s">
        <v>1092</v>
      </c>
      <c r="C15" s="3279"/>
      <c r="D15" s="1311"/>
      <c r="E15" s="1311">
        <f>SUM(E12:E14)</f>
        <v>0</v>
      </c>
      <c r="F15" s="1312"/>
      <c r="G15" s="1309"/>
      <c r="H15" s="1316"/>
      <c r="I15" s="1317">
        <f>SUM(I12:I14)</f>
        <v>0</v>
      </c>
    </row>
    <row r="16" spans="1:9" ht="24">
      <c r="A16" s="3277" t="s">
        <v>1102</v>
      </c>
      <c r="B16" s="3278" t="s">
        <v>1103</v>
      </c>
      <c r="C16" s="3278"/>
      <c r="D16" s="1307" t="s">
        <v>1079</v>
      </c>
      <c r="E16" s="1318" t="s">
        <v>1104</v>
      </c>
      <c r="F16" s="1308" t="s">
        <v>1105</v>
      </c>
      <c r="G16" s="1309" t="s">
        <v>1083</v>
      </c>
      <c r="H16" s="1315" t="s">
        <v>1098</v>
      </c>
      <c r="I16" s="1306" t="s">
        <v>1084</v>
      </c>
    </row>
    <row r="17" spans="1:9" ht="14.25">
      <c r="A17" s="3277"/>
      <c r="B17" s="3278" t="s">
        <v>1106</v>
      </c>
      <c r="C17" s="3278"/>
      <c r="D17" s="1307"/>
      <c r="E17" s="1307"/>
      <c r="F17" s="1308"/>
      <c r="G17" s="1309"/>
      <c r="H17" s="1319"/>
      <c r="I17" s="1320">
        <f>ROUND(D17*E17*F17*G17/10000,0)</f>
        <v>0</v>
      </c>
    </row>
    <row r="18" spans="1:9" ht="14.25">
      <c r="A18" s="3277"/>
      <c r="B18" s="3278" t="s">
        <v>1107</v>
      </c>
      <c r="C18" s="3278"/>
      <c r="D18" s="1307"/>
      <c r="E18" s="1307"/>
      <c r="F18" s="1308"/>
      <c r="G18" s="1309"/>
      <c r="H18" s="1319"/>
      <c r="I18" s="1320">
        <f>ROUND(D18*E18*F18*G18/10000,0)</f>
        <v>0</v>
      </c>
    </row>
    <row r="19" spans="1:9" ht="14.25">
      <c r="A19" s="3277"/>
      <c r="B19" s="3278" t="s">
        <v>1108</v>
      </c>
      <c r="C19" s="3278"/>
      <c r="D19" s="1307"/>
      <c r="E19" s="1307"/>
      <c r="F19" s="1308"/>
      <c r="G19" s="1309"/>
      <c r="H19" s="1319"/>
      <c r="I19" s="1320">
        <f>ROUND(D19*E19*F19*G19/10000,0)</f>
        <v>0</v>
      </c>
    </row>
    <row r="20" spans="1:9">
      <c r="A20" s="3277"/>
      <c r="B20" s="3279" t="s">
        <v>1092</v>
      </c>
      <c r="C20" s="3279"/>
      <c r="D20" s="1311">
        <f>SUM(D17:D19)</f>
        <v>0</v>
      </c>
      <c r="E20" s="1311"/>
      <c r="F20" s="1312"/>
      <c r="G20" s="1309"/>
      <c r="H20" s="1316"/>
      <c r="I20" s="1317">
        <f>SUM(I17:I19)</f>
        <v>0</v>
      </c>
    </row>
    <row r="21" spans="1:9">
      <c r="A21" s="3277" t="s">
        <v>1109</v>
      </c>
      <c r="B21" s="3280"/>
      <c r="C21" s="3280"/>
      <c r="D21" s="3280"/>
      <c r="E21" s="3280"/>
      <c r="F21" s="3280"/>
      <c r="G21" s="3280"/>
      <c r="H21" s="1770">
        <v>0.1</v>
      </c>
      <c r="I21" s="1314">
        <f>ROUND(I10*H21,0)</f>
        <v>0</v>
      </c>
    </row>
    <row r="22" spans="1:9" ht="14.25">
      <c r="A22" s="3281" t="s">
        <v>1110</v>
      </c>
      <c r="B22" s="3282"/>
      <c r="C22" s="3283"/>
      <c r="D22" s="1321" t="s">
        <v>1111</v>
      </c>
      <c r="E22" s="1321" t="s">
        <v>1112</v>
      </c>
      <c r="F22" s="1322" t="s">
        <v>1113</v>
      </c>
      <c r="G22" s="1322" t="s">
        <v>1114</v>
      </c>
      <c r="H22" s="1315" t="s">
        <v>1115</v>
      </c>
      <c r="I22" s="1306" t="s">
        <v>1116</v>
      </c>
    </row>
    <row r="23" spans="1:9" ht="14.25" thickBot="1">
      <c r="A23" s="3284"/>
      <c r="B23" s="3285"/>
      <c r="C23" s="3286"/>
      <c r="D23" s="1323"/>
      <c r="E23" s="1323"/>
      <c r="F23" s="1323"/>
      <c r="G23" s="1324"/>
      <c r="H23" s="1325"/>
      <c r="I23" s="1326">
        <f>ROUND(E23*D23*F23*(1-G23)/10000,0)</f>
        <v>0</v>
      </c>
    </row>
    <row r="26" spans="1:9">
      <c r="A26" s="1327" t="s">
        <v>1117</v>
      </c>
      <c r="B26" s="1327"/>
      <c r="C26" s="1327"/>
      <c r="D26" s="1327"/>
      <c r="E26" s="3274">
        <f>C27-C30-C31-C32</f>
        <v>0</v>
      </c>
      <c r="F26" s="3274"/>
      <c r="G26" s="3274"/>
      <c r="H26" s="1742" t="s">
        <v>1341</v>
      </c>
    </row>
    <row r="27" spans="1:9">
      <c r="A27" s="1328">
        <v>1</v>
      </c>
      <c r="B27" s="1329" t="s">
        <v>1118</v>
      </c>
      <c r="C27" s="1329">
        <f>C28+C29</f>
        <v>0</v>
      </c>
      <c r="D27" s="1329"/>
      <c r="E27" s="3275"/>
      <c r="F27" s="3275"/>
      <c r="G27" s="3275"/>
    </row>
    <row r="28" spans="1:9">
      <c r="A28" s="1330" t="s">
        <v>1119</v>
      </c>
      <c r="B28" s="1329" t="s">
        <v>1120</v>
      </c>
      <c r="C28" s="1329"/>
      <c r="D28" s="1329"/>
      <c r="E28" s="3275"/>
      <c r="F28" s="3275"/>
      <c r="G28" s="3275"/>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76"/>
      <c r="F32" s="3276"/>
      <c r="G32" s="3276"/>
    </row>
    <row r="33" spans="1:7" hidden="1">
      <c r="A33" s="3271" t="s">
        <v>1129</v>
      </c>
      <c r="B33" s="3272"/>
      <c r="C33" s="3272"/>
      <c r="D33" s="3273"/>
      <c r="E33" s="3274"/>
      <c r="F33" s="3274"/>
      <c r="G33" s="3274"/>
    </row>
    <row r="34" spans="1:7" hidden="1">
      <c r="A34" s="1332">
        <v>1</v>
      </c>
      <c r="B34" s="1329" t="s">
        <v>1130</v>
      </c>
      <c r="C34" s="1329"/>
      <c r="D34" s="1329"/>
      <c r="E34" s="3275"/>
      <c r="F34" s="3275"/>
      <c r="G34" s="3275"/>
    </row>
    <row r="35" spans="1:7" hidden="1">
      <c r="A35" s="1332">
        <v>2</v>
      </c>
      <c r="B35" s="1329" t="s">
        <v>1131</v>
      </c>
      <c r="C35" s="1329"/>
      <c r="D35" s="1329"/>
      <c r="E35" s="3275"/>
      <c r="F35" s="3275"/>
      <c r="G35" s="3275"/>
    </row>
    <row r="36" spans="1:7" hidden="1">
      <c r="A36" s="1332">
        <v>3</v>
      </c>
      <c r="B36" s="1329" t="s">
        <v>1132</v>
      </c>
      <c r="C36" s="1329"/>
      <c r="D36" s="1329"/>
      <c r="E36" s="3275"/>
      <c r="F36" s="3275"/>
      <c r="G36" s="3275"/>
    </row>
    <row r="37" spans="1:7" hidden="1">
      <c r="A37" s="1332">
        <v>4</v>
      </c>
      <c r="B37" s="1329" t="s">
        <v>1133</v>
      </c>
      <c r="C37" s="1329"/>
      <c r="D37" s="1329"/>
      <c r="E37" s="3275"/>
      <c r="F37" s="3275"/>
      <c r="G37" s="3275"/>
    </row>
    <row r="38" spans="1:7" hidden="1">
      <c r="A38" s="3271" t="s">
        <v>1134</v>
      </c>
      <c r="B38" s="3272"/>
      <c r="C38" s="3272"/>
      <c r="D38" s="3273"/>
      <c r="E38" s="3274"/>
      <c r="F38" s="3274"/>
      <c r="G38" s="32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2530</v>
      </c>
      <c r="C1" s="1639" t="s">
        <v>2531</v>
      </c>
      <c r="D1" s="1626"/>
      <c r="E1" s="2590"/>
      <c r="F1" s="2591" t="s">
        <v>2532</v>
      </c>
      <c r="G1" s="1636" t="s">
        <v>2533</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2534</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2535</v>
      </c>
      <c r="D3" s="400">
        <f>IF(D1="",'数据-汇总表'!E3,SUMIF('数据-汇总表'!$C19:$C33,D1,'数据-汇总表'!$E19:$E33))</f>
        <v>1952.76</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2536</v>
      </c>
      <c r="B4" s="403"/>
      <c r="C4" s="3231" t="s">
        <v>2537</v>
      </c>
      <c r="D4" s="3232"/>
      <c r="E4" s="3233" t="s">
        <v>2538</v>
      </c>
      <c r="F4" s="3234"/>
      <c r="G4" s="3231" t="s">
        <v>2539</v>
      </c>
      <c r="H4" s="3232"/>
      <c r="I4" s="3231" t="s">
        <v>2540</v>
      </c>
      <c r="J4" s="3232"/>
      <c r="K4" s="2603" t="s">
        <v>2541</v>
      </c>
      <c r="L4" s="1134"/>
      <c r="M4" s="1135"/>
      <c r="N4" s="1135"/>
      <c r="O4" s="1135"/>
      <c r="P4" s="3296" t="s">
        <v>2542</v>
      </c>
      <c r="Q4" s="3297"/>
      <c r="R4" s="3300" t="s">
        <v>2538</v>
      </c>
      <c r="S4" s="3301"/>
      <c r="T4" s="3300" t="s">
        <v>2539</v>
      </c>
      <c r="U4" s="3301"/>
      <c r="V4" s="3248" t="s">
        <v>2540</v>
      </c>
      <c r="W4" s="3248"/>
      <c r="X4" s="1818"/>
      <c r="Y4" s="3300" t="s">
        <v>2542</v>
      </c>
      <c r="Z4" s="3301"/>
      <c r="AA4" s="3295" t="s">
        <v>2538</v>
      </c>
      <c r="AB4" s="3295" t="s">
        <v>2539</v>
      </c>
      <c r="AC4" s="3295" t="s">
        <v>2540</v>
      </c>
    </row>
    <row r="5" spans="1:29" ht="15">
      <c r="A5" s="405"/>
      <c r="B5" s="406"/>
      <c r="C5" s="3257" t="s">
        <v>2543</v>
      </c>
      <c r="D5" s="3252"/>
      <c r="E5" s="3302" t="s">
        <v>2544</v>
      </c>
      <c r="F5" s="3264"/>
      <c r="G5" s="3257" t="s">
        <v>2545</v>
      </c>
      <c r="H5" s="3252"/>
      <c r="I5" s="3257" t="s">
        <v>2546</v>
      </c>
      <c r="J5" s="3252"/>
      <c r="K5" s="2604"/>
      <c r="L5" s="1134"/>
      <c r="M5" s="1135"/>
      <c r="N5" s="1135"/>
      <c r="O5" s="1135"/>
      <c r="P5" s="3298"/>
      <c r="Q5" s="3238"/>
      <c r="R5" s="3243"/>
      <c r="S5" s="3244"/>
      <c r="T5" s="3243"/>
      <c r="U5" s="3244"/>
      <c r="V5" s="3248"/>
      <c r="W5" s="3248"/>
      <c r="X5" s="1818"/>
      <c r="Y5" s="3243"/>
      <c r="Z5" s="3244"/>
      <c r="AA5" s="3261"/>
      <c r="AB5" s="3261"/>
      <c r="AC5" s="3261"/>
    </row>
    <row r="6" spans="1:29" ht="15.75" thickBot="1">
      <c r="A6" s="407"/>
      <c r="B6" s="408"/>
      <c r="C6" s="3249" t="s">
        <v>2547</v>
      </c>
      <c r="D6" s="3250"/>
      <c r="E6" s="3258" t="s">
        <v>2547</v>
      </c>
      <c r="F6" s="3259"/>
      <c r="G6" s="3249" t="s">
        <v>2547</v>
      </c>
      <c r="H6" s="3250"/>
      <c r="I6" s="3249" t="s">
        <v>2547</v>
      </c>
      <c r="J6" s="3250"/>
      <c r="K6" s="2604" t="s">
        <v>2548</v>
      </c>
      <c r="L6" s="1134"/>
      <c r="M6" s="1135"/>
      <c r="N6" s="1135"/>
      <c r="O6" s="1135"/>
      <c r="P6" s="3299"/>
      <c r="Q6" s="3240"/>
      <c r="R6" s="3243"/>
      <c r="S6" s="3244"/>
      <c r="T6" s="3245"/>
      <c r="U6" s="3246"/>
      <c r="V6" s="3248"/>
      <c r="W6" s="3248"/>
      <c r="X6" s="1818"/>
      <c r="Y6" s="3245"/>
      <c r="Z6" s="3246"/>
      <c r="AA6" s="3262"/>
      <c r="AB6" s="3262"/>
      <c r="AC6" s="3262"/>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255" t="s">
        <v>2550</v>
      </c>
      <c r="Q7" s="3256"/>
      <c r="R7" s="771" t="s">
        <v>23</v>
      </c>
      <c r="S7" s="772">
        <f t="shared" ref="S7:S15" si="0">F7</f>
        <v>0</v>
      </c>
      <c r="T7" s="771" t="s">
        <v>23</v>
      </c>
      <c r="U7" s="772">
        <f t="shared" ref="U7:U15" si="1">H7</f>
        <v>0</v>
      </c>
      <c r="V7" s="771" t="s">
        <v>23</v>
      </c>
      <c r="W7" s="772">
        <f t="shared" ref="W7:W15" si="2">J7</f>
        <v>0</v>
      </c>
      <c r="X7" s="773"/>
      <c r="Y7" s="3255" t="s">
        <v>2550</v>
      </c>
      <c r="Z7" s="3254"/>
      <c r="AA7" s="774" t="e">
        <f>D7/F7</f>
        <v>#DIV/0!</v>
      </c>
      <c r="AB7" s="774" t="e">
        <f>D7/H7</f>
        <v>#DIV/0!</v>
      </c>
      <c r="AC7" s="774" t="e">
        <f>D7/J7</f>
        <v>#DIV/0!</v>
      </c>
    </row>
    <row r="8" spans="1:29" s="117" customFormat="1" ht="15.75" thickBot="1">
      <c r="A8" s="409" t="s">
        <v>2551</v>
      </c>
      <c r="B8" s="410"/>
      <c r="C8" s="415" t="s">
        <v>2552</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255" t="s">
        <v>2553</v>
      </c>
      <c r="Q8" s="3254"/>
      <c r="R8" s="771" t="s">
        <v>23</v>
      </c>
      <c r="S8" s="772">
        <f t="shared" si="0"/>
        <v>0</v>
      </c>
      <c r="T8" s="771" t="s">
        <v>23</v>
      </c>
      <c r="U8" s="772">
        <f t="shared" si="1"/>
        <v>0</v>
      </c>
      <c r="V8" s="771" t="s">
        <v>23</v>
      </c>
      <c r="W8" s="772">
        <f t="shared" si="2"/>
        <v>0</v>
      </c>
      <c r="X8" s="773"/>
      <c r="Y8" s="3255" t="s">
        <v>2553</v>
      </c>
      <c r="Z8" s="3254"/>
      <c r="AA8" s="774" t="e">
        <f t="shared" ref="AA8:AA19" si="3">D8/F8</f>
        <v>#DIV/0!</v>
      </c>
      <c r="AB8" s="774" t="e">
        <f t="shared" ref="AB8:AB19" si="4">D8/H8</f>
        <v>#DIV/0!</v>
      </c>
      <c r="AC8" s="774" t="e">
        <f t="shared" ref="AC8:AC19" si="5">D8/J8</f>
        <v>#DIV/0!</v>
      </c>
    </row>
    <row r="9" spans="1:29" s="117" customFormat="1">
      <c r="A9" s="416" t="s">
        <v>2554</v>
      </c>
      <c r="B9" s="71" t="s">
        <v>2555</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213" t="s">
        <v>2556</v>
      </c>
      <c r="Q9" s="1800" t="str">
        <f t="shared" ref="Q9:Q15" si="6">B9</f>
        <v>用途</v>
      </c>
      <c r="R9" s="771" t="s">
        <v>17</v>
      </c>
      <c r="S9" s="772">
        <f t="shared" si="0"/>
        <v>100</v>
      </c>
      <c r="T9" s="771" t="s">
        <v>17</v>
      </c>
      <c r="U9" s="772">
        <f t="shared" si="1"/>
        <v>100</v>
      </c>
      <c r="V9" s="771" t="s">
        <v>17</v>
      </c>
      <c r="W9" s="772">
        <f t="shared" si="2"/>
        <v>100</v>
      </c>
      <c r="X9" s="773"/>
      <c r="Y9" s="3068"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13"/>
      <c r="Q10" s="1800" t="str">
        <f t="shared" si="6"/>
        <v>土地使用年限（年）</v>
      </c>
      <c r="R10" s="771" t="s">
        <v>17</v>
      </c>
      <c r="S10" s="772">
        <f t="shared" si="0"/>
        <v>100</v>
      </c>
      <c r="T10" s="771" t="s">
        <v>17</v>
      </c>
      <c r="U10" s="772">
        <f t="shared" si="1"/>
        <v>100</v>
      </c>
      <c r="V10" s="771" t="s">
        <v>17</v>
      </c>
      <c r="W10" s="772">
        <f t="shared" si="2"/>
        <v>100</v>
      </c>
      <c r="X10" s="773"/>
      <c r="Y10" s="3068"/>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13"/>
      <c r="Q11" s="1800" t="str">
        <f t="shared" si="6"/>
        <v>容积率</v>
      </c>
      <c r="R11" s="771" t="s">
        <v>21</v>
      </c>
      <c r="S11" s="772" t="e">
        <f t="shared" si="0"/>
        <v>#N/A</v>
      </c>
      <c r="T11" s="771" t="s">
        <v>21</v>
      </c>
      <c r="U11" s="772" t="e">
        <f t="shared" si="1"/>
        <v>#N/A</v>
      </c>
      <c r="V11" s="771" t="s">
        <v>21</v>
      </c>
      <c r="W11" s="772" t="e">
        <f t="shared" si="2"/>
        <v>#N/A</v>
      </c>
      <c r="X11" s="773"/>
      <c r="Y11" s="3068"/>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213"/>
      <c r="Q12" s="1800">
        <f t="shared" si="6"/>
        <v>111</v>
      </c>
      <c r="R12" s="771" t="s">
        <v>21</v>
      </c>
      <c r="S12" s="772">
        <f t="shared" si="0"/>
        <v>100</v>
      </c>
      <c r="T12" s="771" t="s">
        <v>21</v>
      </c>
      <c r="U12" s="772">
        <f t="shared" si="1"/>
        <v>100</v>
      </c>
      <c r="V12" s="771" t="s">
        <v>21</v>
      </c>
      <c r="W12" s="772">
        <f t="shared" si="2"/>
        <v>100</v>
      </c>
      <c r="X12" s="773"/>
      <c r="Y12" s="3068"/>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213"/>
      <c r="Q13" s="1800">
        <f t="shared" si="6"/>
        <v>111</v>
      </c>
      <c r="R13" s="771" t="s">
        <v>21</v>
      </c>
      <c r="S13" s="772">
        <f t="shared" si="0"/>
        <v>100</v>
      </c>
      <c r="T13" s="771" t="s">
        <v>21</v>
      </c>
      <c r="U13" s="772">
        <f t="shared" si="1"/>
        <v>100</v>
      </c>
      <c r="V13" s="771" t="s">
        <v>21</v>
      </c>
      <c r="W13" s="772">
        <f t="shared" si="2"/>
        <v>100</v>
      </c>
      <c r="X13" s="773"/>
      <c r="Y13" s="3068"/>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213"/>
      <c r="Q14" s="1800">
        <f t="shared" si="6"/>
        <v>111</v>
      </c>
      <c r="R14" s="771" t="s">
        <v>21</v>
      </c>
      <c r="S14" s="772">
        <f t="shared" si="0"/>
        <v>100</v>
      </c>
      <c r="T14" s="771" t="s">
        <v>21</v>
      </c>
      <c r="U14" s="772">
        <f t="shared" si="1"/>
        <v>100</v>
      </c>
      <c r="V14" s="771" t="s">
        <v>21</v>
      </c>
      <c r="W14" s="772">
        <f t="shared" si="2"/>
        <v>100</v>
      </c>
      <c r="X14" s="773"/>
      <c r="Y14" s="3068"/>
      <c r="Z14" s="55">
        <f t="shared" si="7"/>
        <v>111</v>
      </c>
      <c r="AA14" s="774">
        <f t="shared" si="3"/>
        <v>1</v>
      </c>
      <c r="AB14" s="774">
        <f t="shared" si="4"/>
        <v>1</v>
      </c>
      <c r="AC14" s="774">
        <f t="shared" si="5"/>
        <v>1</v>
      </c>
    </row>
    <row r="15" spans="1:29" ht="99.75">
      <c r="A15" s="441" t="s">
        <v>2560</v>
      </c>
      <c r="B15" s="69" t="s">
        <v>2085</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19" t="s">
        <v>2561</v>
      </c>
      <c r="Q15" s="1815" t="str">
        <f t="shared" si="6"/>
        <v>居住社区成熟度</v>
      </c>
      <c r="R15" s="775" t="s">
        <v>21</v>
      </c>
      <c r="S15" s="776">
        <f t="shared" si="0"/>
        <v>100</v>
      </c>
      <c r="T15" s="775" t="s">
        <v>21</v>
      </c>
      <c r="U15" s="776">
        <f t="shared" si="1"/>
        <v>100</v>
      </c>
      <c r="V15" s="775" t="s">
        <v>21</v>
      </c>
      <c r="W15" s="776">
        <f t="shared" si="2"/>
        <v>100</v>
      </c>
      <c r="X15" s="1818"/>
      <c r="Y15" s="3221" t="s">
        <v>2561</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20"/>
      <c r="Q16" s="1815"/>
      <c r="R16" s="775"/>
      <c r="S16" s="776"/>
      <c r="T16" s="775"/>
      <c r="U16" s="776"/>
      <c r="V16" s="775"/>
      <c r="W16" s="776"/>
      <c r="X16" s="1818"/>
      <c r="Y16" s="3222"/>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20"/>
      <c r="Q17" s="1815" t="str">
        <f>B17</f>
        <v>交通便捷度</v>
      </c>
      <c r="R17" s="775" t="s">
        <v>21</v>
      </c>
      <c r="S17" s="776">
        <f>F17</f>
        <v>100</v>
      </c>
      <c r="T17" s="775" t="s">
        <v>21</v>
      </c>
      <c r="U17" s="776">
        <f>H17</f>
        <v>100</v>
      </c>
      <c r="V17" s="775" t="s">
        <v>21</v>
      </c>
      <c r="W17" s="776">
        <f>J17</f>
        <v>100</v>
      </c>
      <c r="X17" s="1818"/>
      <c r="Y17" s="3222"/>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20"/>
      <c r="Q18" s="1815"/>
      <c r="R18" s="775"/>
      <c r="S18" s="776"/>
      <c r="T18" s="775"/>
      <c r="U18" s="776"/>
      <c r="V18" s="775"/>
      <c r="W18" s="776"/>
      <c r="X18" s="1818"/>
      <c r="Y18" s="3222"/>
      <c r="Z18" s="1819"/>
      <c r="AA18" s="1816">
        <v>1</v>
      </c>
      <c r="AB18" s="1816">
        <v>1</v>
      </c>
      <c r="AC18" s="1816">
        <v>1</v>
      </c>
    </row>
    <row r="19" spans="1:29" ht="42.75">
      <c r="A19" s="429"/>
      <c r="B19" s="452" t="s">
        <v>2095</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20"/>
      <c r="Q19" s="1815" t="str">
        <f>B19</f>
        <v>公共配套设施</v>
      </c>
      <c r="R19" s="775" t="s">
        <v>21</v>
      </c>
      <c r="S19" s="776">
        <f>F19</f>
        <v>100</v>
      </c>
      <c r="T19" s="775" t="s">
        <v>21</v>
      </c>
      <c r="U19" s="776">
        <f>H19</f>
        <v>100</v>
      </c>
      <c r="V19" s="775" t="s">
        <v>21</v>
      </c>
      <c r="W19" s="776">
        <f>J19</f>
        <v>100</v>
      </c>
      <c r="X19" s="1818"/>
      <c r="Y19" s="3222"/>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20"/>
      <c r="Q20" s="1815"/>
      <c r="R20" s="775"/>
      <c r="S20" s="776"/>
      <c r="T20" s="775"/>
      <c r="U20" s="776"/>
      <c r="V20" s="775"/>
      <c r="W20" s="776"/>
      <c r="X20" s="1818"/>
      <c r="Y20" s="3222"/>
      <c r="Z20" s="1819"/>
      <c r="AA20" s="1816">
        <v>1</v>
      </c>
      <c r="AB20" s="1816">
        <v>1</v>
      </c>
      <c r="AC20" s="1816">
        <v>1</v>
      </c>
    </row>
    <row r="21" spans="1:29" ht="28.5">
      <c r="A21" s="429"/>
      <c r="B21" s="1388" t="s">
        <v>2098</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20"/>
      <c r="Q21" s="1815" t="str">
        <f>B21</f>
        <v>基础设施水平</v>
      </c>
      <c r="R21" s="775" t="s">
        <v>17</v>
      </c>
      <c r="S21" s="776">
        <f>F21</f>
        <v>100</v>
      </c>
      <c r="T21" s="775" t="s">
        <v>17</v>
      </c>
      <c r="U21" s="776">
        <f>H21</f>
        <v>100</v>
      </c>
      <c r="V21" s="775" t="s">
        <v>17</v>
      </c>
      <c r="W21" s="776">
        <f>J21</f>
        <v>100</v>
      </c>
      <c r="X21" s="1818"/>
      <c r="Y21" s="3222"/>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20"/>
      <c r="Q22" s="1815"/>
      <c r="R22" s="775"/>
      <c r="S22" s="776"/>
      <c r="T22" s="775"/>
      <c r="U22" s="776"/>
      <c r="V22" s="775"/>
      <c r="W22" s="776"/>
      <c r="X22" s="1818"/>
      <c r="Y22" s="3222"/>
      <c r="Z22" s="1819"/>
      <c r="AA22" s="1816">
        <v>1</v>
      </c>
      <c r="AB22" s="1816">
        <v>1</v>
      </c>
      <c r="AC22" s="1816">
        <v>1</v>
      </c>
    </row>
    <row r="23" spans="1:29" ht="57">
      <c r="A23" s="429"/>
      <c r="B23" s="452" t="s">
        <v>2102</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20"/>
      <c r="Q23" s="1815" t="str">
        <f>B23</f>
        <v>自然及人文环境</v>
      </c>
      <c r="R23" s="775" t="s">
        <v>21</v>
      </c>
      <c r="S23" s="776">
        <f>F23</f>
        <v>100</v>
      </c>
      <c r="T23" s="775" t="s">
        <v>21</v>
      </c>
      <c r="U23" s="776">
        <f>H23</f>
        <v>100</v>
      </c>
      <c r="V23" s="775" t="s">
        <v>21</v>
      </c>
      <c r="W23" s="776">
        <f>J23</f>
        <v>100</v>
      </c>
      <c r="X23" s="1818"/>
      <c r="Y23" s="3222"/>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20"/>
      <c r="Q24" s="1815"/>
      <c r="R24" s="775"/>
      <c r="S24" s="776"/>
      <c r="T24" s="775"/>
      <c r="U24" s="776"/>
      <c r="V24" s="775"/>
      <c r="W24" s="776"/>
      <c r="X24" s="1818"/>
      <c r="Y24" s="3222"/>
      <c r="Z24" s="1819"/>
      <c r="AA24" s="1816">
        <v>1</v>
      </c>
      <c r="AB24" s="1816">
        <v>1</v>
      </c>
      <c r="AC24" s="1816">
        <v>1</v>
      </c>
    </row>
    <row r="25" spans="1:29" ht="15">
      <c r="A25" s="429"/>
      <c r="B25" s="423" t="s">
        <v>2562</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20"/>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22"/>
      <c r="Z25" s="1819" t="str">
        <f>Q25</f>
        <v>楼层-1</v>
      </c>
      <c r="AA25" s="1816">
        <f t="shared" ref="AA25:AA46" si="15">D25/F25</f>
        <v>1</v>
      </c>
      <c r="AB25" s="1816">
        <f t="shared" ref="AB25:AB46" si="16">D25/H25</f>
        <v>1</v>
      </c>
      <c r="AC25" s="1816">
        <f t="shared" ref="AC25:AC46" si="17">D25/J25</f>
        <v>1</v>
      </c>
    </row>
    <row r="26" spans="1:29" ht="15">
      <c r="A26" s="429"/>
      <c r="B26" s="423" t="s">
        <v>2563</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20"/>
      <c r="Q26" s="1815" t="str">
        <f t="shared" si="11"/>
        <v>朝向</v>
      </c>
      <c r="R26" s="775" t="s">
        <v>21</v>
      </c>
      <c r="S26" s="776">
        <f t="shared" si="12"/>
        <v>100</v>
      </c>
      <c r="T26" s="775" t="s">
        <v>21</v>
      </c>
      <c r="U26" s="776">
        <f t="shared" si="13"/>
        <v>100</v>
      </c>
      <c r="V26" s="775" t="s">
        <v>21</v>
      </c>
      <c r="W26" s="776">
        <f t="shared" si="14"/>
        <v>100</v>
      </c>
      <c r="X26" s="1818"/>
      <c r="Y26" s="3222"/>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20"/>
      <c r="Q27" s="1800">
        <f t="shared" si="11"/>
        <v>111</v>
      </c>
      <c r="R27" s="771" t="s">
        <v>21</v>
      </c>
      <c r="S27" s="772">
        <f t="shared" si="12"/>
        <v>100</v>
      </c>
      <c r="T27" s="771" t="s">
        <v>21</v>
      </c>
      <c r="U27" s="772">
        <f t="shared" si="13"/>
        <v>100</v>
      </c>
      <c r="V27" s="771" t="s">
        <v>21</v>
      </c>
      <c r="W27" s="772">
        <f t="shared" si="14"/>
        <v>100</v>
      </c>
      <c r="X27" s="773"/>
      <c r="Y27" s="3222"/>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20"/>
      <c r="Q28" s="1815">
        <f t="shared" si="11"/>
        <v>111</v>
      </c>
      <c r="R28" s="775" t="s">
        <v>21</v>
      </c>
      <c r="S28" s="776">
        <f t="shared" si="12"/>
        <v>100</v>
      </c>
      <c r="T28" s="775" t="s">
        <v>21</v>
      </c>
      <c r="U28" s="776">
        <f t="shared" si="13"/>
        <v>100</v>
      </c>
      <c r="V28" s="775" t="s">
        <v>21</v>
      </c>
      <c r="W28" s="776">
        <f t="shared" si="14"/>
        <v>100</v>
      </c>
      <c r="X28" s="1818"/>
      <c r="Y28" s="3222"/>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20"/>
      <c r="Q29" s="1815">
        <f t="shared" si="11"/>
        <v>111</v>
      </c>
      <c r="R29" s="775" t="s">
        <v>21</v>
      </c>
      <c r="S29" s="776">
        <f t="shared" si="12"/>
        <v>100</v>
      </c>
      <c r="T29" s="775" t="s">
        <v>21</v>
      </c>
      <c r="U29" s="776">
        <f t="shared" si="13"/>
        <v>100</v>
      </c>
      <c r="V29" s="775" t="s">
        <v>21</v>
      </c>
      <c r="W29" s="776">
        <f t="shared" si="14"/>
        <v>100</v>
      </c>
      <c r="X29" s="1818"/>
      <c r="Y29" s="3222"/>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20"/>
      <c r="Q30" s="1815">
        <f t="shared" si="11"/>
        <v>111</v>
      </c>
      <c r="R30" s="775" t="s">
        <v>21</v>
      </c>
      <c r="S30" s="776">
        <f t="shared" si="12"/>
        <v>100</v>
      </c>
      <c r="T30" s="775" t="s">
        <v>21</v>
      </c>
      <c r="U30" s="776">
        <f t="shared" si="13"/>
        <v>100</v>
      </c>
      <c r="V30" s="775" t="s">
        <v>21</v>
      </c>
      <c r="W30" s="776">
        <f t="shared" si="14"/>
        <v>100</v>
      </c>
      <c r="X30" s="1818"/>
      <c r="Y30" s="3222"/>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20"/>
      <c r="Q31" s="1815">
        <f t="shared" si="11"/>
        <v>111</v>
      </c>
      <c r="R31" s="775" t="s">
        <v>21</v>
      </c>
      <c r="S31" s="776">
        <f t="shared" si="12"/>
        <v>100</v>
      </c>
      <c r="T31" s="775" t="s">
        <v>21</v>
      </c>
      <c r="U31" s="776">
        <f t="shared" si="13"/>
        <v>100</v>
      </c>
      <c r="V31" s="775" t="s">
        <v>21</v>
      </c>
      <c r="W31" s="776">
        <f t="shared" si="14"/>
        <v>100</v>
      </c>
      <c r="X31" s="1818"/>
      <c r="Y31" s="3222"/>
      <c r="Z31" s="1819">
        <f t="shared" si="18"/>
        <v>111</v>
      </c>
      <c r="AA31" s="1816">
        <f t="shared" si="15"/>
        <v>1</v>
      </c>
      <c r="AB31" s="1816">
        <f t="shared" si="16"/>
        <v>1</v>
      </c>
      <c r="AC31" s="1816">
        <f t="shared" si="17"/>
        <v>1</v>
      </c>
    </row>
    <row r="32" spans="1:29" ht="15">
      <c r="A32" s="441" t="s">
        <v>2564</v>
      </c>
      <c r="B32" s="71" t="s">
        <v>2565</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223" t="s">
        <v>2566</v>
      </c>
      <c r="Q32" s="1815" t="str">
        <f t="shared" si="11"/>
        <v>建筑类型</v>
      </c>
      <c r="R32" s="775" t="s">
        <v>21</v>
      </c>
      <c r="S32" s="776">
        <f t="shared" si="12"/>
        <v>100</v>
      </c>
      <c r="T32" s="775" t="s">
        <v>21</v>
      </c>
      <c r="U32" s="776">
        <f t="shared" si="13"/>
        <v>100</v>
      </c>
      <c r="V32" s="775" t="s">
        <v>21</v>
      </c>
      <c r="W32" s="776">
        <f t="shared" si="14"/>
        <v>100</v>
      </c>
      <c r="X32" s="1818"/>
      <c r="Y32" s="3226" t="s">
        <v>2566</v>
      </c>
      <c r="Z32" s="1819" t="str">
        <f t="shared" si="18"/>
        <v>建筑类型</v>
      </c>
      <c r="AA32" s="1816">
        <f t="shared" si="15"/>
        <v>1</v>
      </c>
      <c r="AB32" s="1816">
        <f t="shared" si="16"/>
        <v>1</v>
      </c>
      <c r="AC32" s="1816">
        <f t="shared" si="17"/>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224"/>
      <c r="Q33" s="777" t="str">
        <f t="shared" si="11"/>
        <v>项目建筑规模</v>
      </c>
      <c r="R33" s="778" t="s">
        <v>21</v>
      </c>
      <c r="S33" s="779" t="e">
        <f t="shared" si="12"/>
        <v>#N/A</v>
      </c>
      <c r="T33" s="778" t="s">
        <v>21</v>
      </c>
      <c r="U33" s="779" t="e">
        <f t="shared" si="13"/>
        <v>#N/A</v>
      </c>
      <c r="V33" s="778" t="s">
        <v>21</v>
      </c>
      <c r="W33" s="779" t="e">
        <f t="shared" si="14"/>
        <v>#N/A</v>
      </c>
      <c r="X33" s="780"/>
      <c r="Y33" s="3226"/>
      <c r="Z33" s="781" t="str">
        <f t="shared" si="18"/>
        <v>项目建筑规模</v>
      </c>
      <c r="AA33" s="1816" t="e">
        <f t="shared" si="15"/>
        <v>#N/A</v>
      </c>
      <c r="AB33" s="1816" t="e">
        <f t="shared" si="16"/>
        <v>#N/A</v>
      </c>
      <c r="AC33" s="1816" t="e">
        <f t="shared" si="17"/>
        <v>#N/A</v>
      </c>
    </row>
    <row r="34" spans="1:29" ht="15">
      <c r="A34" s="473"/>
      <c r="B34" s="423" t="s">
        <v>2568</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224"/>
      <c r="Q34" s="1815" t="str">
        <f t="shared" si="11"/>
        <v>建筑结构</v>
      </c>
      <c r="R34" s="775" t="s">
        <v>21</v>
      </c>
      <c r="S34" s="776">
        <f t="shared" si="12"/>
        <v>100</v>
      </c>
      <c r="T34" s="775" t="s">
        <v>21</v>
      </c>
      <c r="U34" s="776">
        <f t="shared" si="13"/>
        <v>100</v>
      </c>
      <c r="V34" s="775" t="s">
        <v>21</v>
      </c>
      <c r="W34" s="776">
        <f t="shared" si="14"/>
        <v>100</v>
      </c>
      <c r="X34" s="1818"/>
      <c r="Y34" s="3226"/>
      <c r="Z34" s="1819" t="str">
        <f t="shared" si="18"/>
        <v>建筑结构</v>
      </c>
      <c r="AA34" s="1816">
        <f t="shared" si="15"/>
        <v>1</v>
      </c>
      <c r="AB34" s="1816">
        <f t="shared" si="16"/>
        <v>1</v>
      </c>
      <c r="AC34" s="1816">
        <f t="shared" si="17"/>
        <v>1</v>
      </c>
    </row>
    <row r="35" spans="1:29" ht="15">
      <c r="A35" s="473"/>
      <c r="B35" s="423" t="s">
        <v>2569</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224"/>
      <c r="Q35" s="1815" t="str">
        <f t="shared" si="11"/>
        <v>建筑品质</v>
      </c>
      <c r="R35" s="775" t="s">
        <v>21</v>
      </c>
      <c r="S35" s="776">
        <f t="shared" si="12"/>
        <v>100</v>
      </c>
      <c r="T35" s="775" t="s">
        <v>21</v>
      </c>
      <c r="U35" s="776">
        <f t="shared" si="13"/>
        <v>100</v>
      </c>
      <c r="V35" s="775" t="s">
        <v>21</v>
      </c>
      <c r="W35" s="776">
        <f t="shared" si="14"/>
        <v>100</v>
      </c>
      <c r="X35" s="1818"/>
      <c r="Y35" s="3226"/>
      <c r="Z35" s="1819" t="str">
        <f t="shared" si="18"/>
        <v>建筑品质</v>
      </c>
      <c r="AA35" s="1816">
        <f t="shared" si="15"/>
        <v>1</v>
      </c>
      <c r="AB35" s="1816">
        <f t="shared" si="16"/>
        <v>1</v>
      </c>
      <c r="AC35" s="1816">
        <f t="shared" si="17"/>
        <v>1</v>
      </c>
    </row>
    <row r="36" spans="1:29" ht="15">
      <c r="A36" s="473"/>
      <c r="B36" s="423" t="s">
        <v>2570</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224"/>
      <c r="Q36" s="1815" t="str">
        <f t="shared" si="11"/>
        <v>公共部分装修</v>
      </c>
      <c r="R36" s="775" t="s">
        <v>21</v>
      </c>
      <c r="S36" s="776">
        <f t="shared" si="12"/>
        <v>100</v>
      </c>
      <c r="T36" s="775" t="s">
        <v>21</v>
      </c>
      <c r="U36" s="776">
        <f t="shared" si="13"/>
        <v>100</v>
      </c>
      <c r="V36" s="775" t="s">
        <v>21</v>
      </c>
      <c r="W36" s="776">
        <f t="shared" si="14"/>
        <v>100</v>
      </c>
      <c r="X36" s="1818"/>
      <c r="Y36" s="3226"/>
      <c r="Z36" s="1819" t="str">
        <f t="shared" si="18"/>
        <v>公共部分装修</v>
      </c>
      <c r="AA36" s="1816">
        <f t="shared" si="15"/>
        <v>1</v>
      </c>
      <c r="AB36" s="1816">
        <f t="shared" si="16"/>
        <v>1</v>
      </c>
      <c r="AC36" s="1816">
        <f t="shared" si="17"/>
        <v>1</v>
      </c>
    </row>
    <row r="37" spans="1:29" s="117" customFormat="1" ht="15">
      <c r="A37" s="474"/>
      <c r="B37" s="423" t="s">
        <v>2571</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24"/>
      <c r="Q37" s="1800" t="str">
        <f t="shared" si="11"/>
        <v>成新度</v>
      </c>
      <c r="R37" s="771" t="s">
        <v>21</v>
      </c>
      <c r="S37" s="772" t="e">
        <f t="shared" si="12"/>
        <v>#N/A</v>
      </c>
      <c r="T37" s="771" t="s">
        <v>21</v>
      </c>
      <c r="U37" s="772" t="e">
        <f t="shared" si="13"/>
        <v>#N/A</v>
      </c>
      <c r="V37" s="771" t="s">
        <v>21</v>
      </c>
      <c r="W37" s="772" t="e">
        <f t="shared" si="14"/>
        <v>#N/A</v>
      </c>
      <c r="X37" s="773"/>
      <c r="Y37" s="3226"/>
      <c r="Z37" s="55" t="str">
        <f t="shared" si="18"/>
        <v>成新度</v>
      </c>
      <c r="AA37" s="774" t="e">
        <f t="shared" si="15"/>
        <v>#N/A</v>
      </c>
      <c r="AB37" s="774" t="e">
        <f t="shared" si="16"/>
        <v>#N/A</v>
      </c>
      <c r="AC37" s="774" t="e">
        <f t="shared" si="17"/>
        <v>#N/A</v>
      </c>
    </row>
    <row r="38" spans="1:29" ht="15">
      <c r="A38" s="473"/>
      <c r="B38" s="423" t="s">
        <v>2572</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224" t="s">
        <v>2566</v>
      </c>
      <c r="Q38" s="1815" t="str">
        <f t="shared" si="11"/>
        <v>物业管理</v>
      </c>
      <c r="R38" s="775" t="s">
        <v>21</v>
      </c>
      <c r="S38" s="776">
        <f t="shared" si="12"/>
        <v>100</v>
      </c>
      <c r="T38" s="775" t="s">
        <v>21</v>
      </c>
      <c r="U38" s="776">
        <f t="shared" si="13"/>
        <v>100</v>
      </c>
      <c r="V38" s="775" t="s">
        <v>21</v>
      </c>
      <c r="W38" s="776">
        <f t="shared" si="14"/>
        <v>100</v>
      </c>
      <c r="X38" s="1818"/>
      <c r="Y38" s="3226" t="s">
        <v>2566</v>
      </c>
      <c r="Z38" s="1819" t="str">
        <f t="shared" si="18"/>
        <v>物业管理</v>
      </c>
      <c r="AA38" s="1816">
        <f t="shared" si="15"/>
        <v>1</v>
      </c>
      <c r="AB38" s="1816">
        <f t="shared" si="16"/>
        <v>1</v>
      </c>
      <c r="AC38" s="1816">
        <f t="shared" si="17"/>
        <v>1</v>
      </c>
    </row>
    <row r="39" spans="1:29" ht="15">
      <c r="A39" s="473"/>
      <c r="B39" s="423" t="s">
        <v>2573</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224"/>
      <c r="Q39" s="1815" t="str">
        <f t="shared" si="11"/>
        <v>市政基础设施</v>
      </c>
      <c r="R39" s="775" t="s">
        <v>21</v>
      </c>
      <c r="S39" s="776">
        <f t="shared" si="12"/>
        <v>100</v>
      </c>
      <c r="T39" s="775" t="s">
        <v>21</v>
      </c>
      <c r="U39" s="776">
        <f t="shared" si="13"/>
        <v>100</v>
      </c>
      <c r="V39" s="775" t="s">
        <v>21</v>
      </c>
      <c r="W39" s="776">
        <f t="shared" si="14"/>
        <v>100</v>
      </c>
      <c r="X39" s="1818"/>
      <c r="Y39" s="3226"/>
      <c r="Z39" s="1819" t="str">
        <f t="shared" si="18"/>
        <v>市政基础设施</v>
      </c>
      <c r="AA39" s="1816">
        <f t="shared" si="15"/>
        <v>1</v>
      </c>
      <c r="AB39" s="1816">
        <f t="shared" si="16"/>
        <v>1</v>
      </c>
      <c r="AC39" s="1816">
        <f t="shared" si="17"/>
        <v>1</v>
      </c>
    </row>
    <row r="40" spans="1:29" ht="15">
      <c r="A40" s="473"/>
      <c r="B40" s="423" t="s">
        <v>2574</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224"/>
      <c r="Q40" s="1815" t="str">
        <f t="shared" si="11"/>
        <v>房型</v>
      </c>
      <c r="R40" s="775" t="s">
        <v>21</v>
      </c>
      <c r="S40" s="776">
        <f t="shared" si="12"/>
        <v>100</v>
      </c>
      <c r="T40" s="775" t="s">
        <v>21</v>
      </c>
      <c r="U40" s="776">
        <f t="shared" si="13"/>
        <v>100</v>
      </c>
      <c r="V40" s="775" t="s">
        <v>21</v>
      </c>
      <c r="W40" s="776">
        <f t="shared" si="14"/>
        <v>100</v>
      </c>
      <c r="X40" s="1818"/>
      <c r="Y40" s="3226"/>
      <c r="Z40" s="1819" t="str">
        <f t="shared" si="18"/>
        <v>房型</v>
      </c>
      <c r="AA40" s="1816">
        <f t="shared" si="15"/>
        <v>1</v>
      </c>
      <c r="AB40" s="1816">
        <f t="shared" si="16"/>
        <v>1</v>
      </c>
      <c r="AC40" s="1816">
        <f t="shared" si="17"/>
        <v>1</v>
      </c>
    </row>
    <row r="41" spans="1:29" s="472" customFormat="1" ht="28.5">
      <c r="A41" s="469"/>
      <c r="B41" s="423" t="s">
        <v>2575</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224"/>
      <c r="Q41" s="777" t="str">
        <f t="shared" si="11"/>
        <v>单套/主力户型建筑面积</v>
      </c>
      <c r="R41" s="778" t="s">
        <v>21</v>
      </c>
      <c r="S41" s="779">
        <f t="shared" si="12"/>
        <v>100</v>
      </c>
      <c r="T41" s="778" t="s">
        <v>21</v>
      </c>
      <c r="U41" s="779">
        <f t="shared" si="13"/>
        <v>100</v>
      </c>
      <c r="V41" s="778" t="s">
        <v>21</v>
      </c>
      <c r="W41" s="779">
        <f t="shared" si="14"/>
        <v>100</v>
      </c>
      <c r="X41" s="780"/>
      <c r="Y41" s="3226"/>
      <c r="Z41" s="781" t="str">
        <f t="shared" si="18"/>
        <v>单套/主力户型建筑面积</v>
      </c>
      <c r="AA41" s="1816">
        <f t="shared" si="15"/>
        <v>1</v>
      </c>
      <c r="AB41" s="1816">
        <f t="shared" si="16"/>
        <v>1</v>
      </c>
      <c r="AC41" s="1816">
        <f t="shared" si="17"/>
        <v>1</v>
      </c>
    </row>
    <row r="42" spans="1:29" ht="15">
      <c r="A42" s="473"/>
      <c r="B42" s="423" t="s">
        <v>2576</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224"/>
      <c r="Q42" s="1815" t="str">
        <f t="shared" si="11"/>
        <v>内部装修</v>
      </c>
      <c r="R42" s="775" t="s">
        <v>21</v>
      </c>
      <c r="S42" s="776">
        <f t="shared" si="12"/>
        <v>100</v>
      </c>
      <c r="T42" s="775" t="s">
        <v>21</v>
      </c>
      <c r="U42" s="776">
        <f t="shared" si="13"/>
        <v>100</v>
      </c>
      <c r="V42" s="775" t="s">
        <v>21</v>
      </c>
      <c r="W42" s="776">
        <f t="shared" si="14"/>
        <v>100</v>
      </c>
      <c r="X42" s="1818"/>
      <c r="Y42" s="3226"/>
      <c r="Z42" s="1819" t="str">
        <f t="shared" si="18"/>
        <v>内部装修</v>
      </c>
      <c r="AA42" s="1816">
        <f t="shared" si="15"/>
        <v>1</v>
      </c>
      <c r="AB42" s="1816">
        <f t="shared" si="16"/>
        <v>1</v>
      </c>
      <c r="AC42" s="1816">
        <f t="shared" si="17"/>
        <v>1</v>
      </c>
    </row>
    <row r="43" spans="1:29" ht="15">
      <c r="A43" s="473"/>
      <c r="B43" s="423" t="s">
        <v>2577</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224"/>
      <c r="Q43" s="1815" t="str">
        <f t="shared" si="11"/>
        <v>内部装修维护情况</v>
      </c>
      <c r="R43" s="775" t="s">
        <v>21</v>
      </c>
      <c r="S43" s="776">
        <f t="shared" si="12"/>
        <v>100</v>
      </c>
      <c r="T43" s="775" t="s">
        <v>21</v>
      </c>
      <c r="U43" s="776">
        <f t="shared" si="13"/>
        <v>100</v>
      </c>
      <c r="V43" s="775" t="s">
        <v>21</v>
      </c>
      <c r="W43" s="776">
        <f t="shared" si="14"/>
        <v>100</v>
      </c>
      <c r="X43" s="1818"/>
      <c r="Y43" s="3226"/>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224"/>
      <c r="Q44" s="1800">
        <f t="shared" si="11"/>
        <v>111</v>
      </c>
      <c r="R44" s="771" t="s">
        <v>21</v>
      </c>
      <c r="S44" s="772">
        <f t="shared" si="12"/>
        <v>100</v>
      </c>
      <c r="T44" s="771" t="s">
        <v>21</v>
      </c>
      <c r="U44" s="772">
        <f t="shared" si="13"/>
        <v>100</v>
      </c>
      <c r="V44" s="771" t="s">
        <v>21</v>
      </c>
      <c r="W44" s="772">
        <f t="shared" si="14"/>
        <v>100</v>
      </c>
      <c r="X44" s="773"/>
      <c r="Y44" s="3226"/>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224"/>
      <c r="Q45" s="1815">
        <f t="shared" si="11"/>
        <v>111</v>
      </c>
      <c r="R45" s="775" t="s">
        <v>21</v>
      </c>
      <c r="S45" s="776">
        <f t="shared" si="12"/>
        <v>100</v>
      </c>
      <c r="T45" s="775" t="s">
        <v>21</v>
      </c>
      <c r="U45" s="776">
        <f t="shared" si="13"/>
        <v>100</v>
      </c>
      <c r="V45" s="775" t="s">
        <v>21</v>
      </c>
      <c r="W45" s="776">
        <f t="shared" si="14"/>
        <v>100</v>
      </c>
      <c r="X45" s="1818"/>
      <c r="Y45" s="3226"/>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225"/>
      <c r="Q46" s="1815">
        <f t="shared" si="11"/>
        <v>111</v>
      </c>
      <c r="R46" s="775" t="s">
        <v>20</v>
      </c>
      <c r="S46" s="776">
        <f t="shared" si="12"/>
        <v>100</v>
      </c>
      <c r="T46" s="775" t="s">
        <v>20</v>
      </c>
      <c r="U46" s="776">
        <f t="shared" si="13"/>
        <v>100</v>
      </c>
      <c r="V46" s="775" t="s">
        <v>20</v>
      </c>
      <c r="W46" s="776">
        <f t="shared" si="14"/>
        <v>100</v>
      </c>
      <c r="X46" s="1818"/>
      <c r="Y46" s="3227"/>
      <c r="Z46" s="1819">
        <f t="shared" si="18"/>
        <v>111</v>
      </c>
      <c r="AA46" s="1816">
        <f t="shared" si="15"/>
        <v>1</v>
      </c>
      <c r="AB46" s="1816">
        <f t="shared" si="16"/>
        <v>1</v>
      </c>
      <c r="AC46" s="1816">
        <f t="shared" si="17"/>
        <v>1</v>
      </c>
    </row>
    <row r="47" spans="1:29" ht="15">
      <c r="A47" s="480" t="s">
        <v>2578</v>
      </c>
      <c r="B47" s="481"/>
      <c r="C47" s="1411" t="s">
        <v>19</v>
      </c>
      <c r="D47" s="1412"/>
      <c r="E47" s="1413"/>
      <c r="F47" s="1414"/>
      <c r="G47" s="1415"/>
      <c r="H47" s="1416"/>
      <c r="I47" s="1413"/>
      <c r="J47" s="1416"/>
      <c r="K47" s="2628"/>
      <c r="L47" s="1147"/>
      <c r="M47" s="1148"/>
      <c r="N47" s="1135"/>
      <c r="O47" s="1148"/>
      <c r="P47" s="3214" t="str">
        <f>A47</f>
        <v>成交单价（元/平方米）</v>
      </c>
      <c r="Q47" s="3214"/>
      <c r="R47" s="3215">
        <f>E47</f>
        <v>0</v>
      </c>
      <c r="S47" s="3215"/>
      <c r="T47" s="3215">
        <f>G47</f>
        <v>0</v>
      </c>
      <c r="U47" s="3215"/>
      <c r="V47" s="3215">
        <f>I47</f>
        <v>0</v>
      </c>
      <c r="W47" s="3215"/>
      <c r="X47" s="760"/>
      <c r="Y47" s="782"/>
      <c r="Z47" s="760"/>
      <c r="AA47" s="760"/>
      <c r="AB47" s="760"/>
      <c r="AC47" s="760"/>
    </row>
    <row r="48" spans="1:29" ht="15.75" thickBot="1">
      <c r="A48" s="487" t="s">
        <v>2579</v>
      </c>
      <c r="B48" s="488"/>
      <c r="C48" s="1417" t="e">
        <f>R49</f>
        <v>#DIV/0!</v>
      </c>
      <c r="D48" s="1418"/>
      <c r="E48" s="1419" t="e">
        <f>R48</f>
        <v>#DIV/0!</v>
      </c>
      <c r="F48" s="1419"/>
      <c r="G48" s="1417" t="e">
        <f>T48</f>
        <v>#DIV/0!</v>
      </c>
      <c r="H48" s="1418"/>
      <c r="I48" s="1419" t="e">
        <f>V48</f>
        <v>#DIV/0!</v>
      </c>
      <c r="J48" s="1418"/>
      <c r="K48" s="2629"/>
      <c r="L48" s="1147"/>
      <c r="M48" s="1148"/>
      <c r="N48" s="1148"/>
      <c r="O48" s="1148"/>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60"/>
      <c r="Y48" s="760"/>
      <c r="Z48" s="760"/>
      <c r="AA48" s="760"/>
      <c r="AB48" s="760"/>
      <c r="AC48" s="760"/>
    </row>
    <row r="49" spans="1:29" ht="15.75" thickBot="1">
      <c r="A49" s="493" t="s">
        <v>2580</v>
      </c>
      <c r="B49" s="494"/>
      <c r="C49" s="1420" t="e">
        <f>R49</f>
        <v>#DIV/0!</v>
      </c>
      <c r="D49" s="1421"/>
      <c r="E49" s="1421"/>
      <c r="F49" s="1421"/>
      <c r="G49" s="1421"/>
      <c r="H49" s="1421"/>
      <c r="I49" s="1421"/>
      <c r="J49" s="1421"/>
      <c r="K49" s="2630"/>
      <c r="L49" s="1147"/>
      <c r="M49" s="1148"/>
      <c r="N49" s="1148"/>
      <c r="O49" s="1148"/>
      <c r="P49" s="3292" t="str">
        <f>A49</f>
        <v>估价对象XX用房的比较价值（楼面单价，元/平方米）</v>
      </c>
      <c r="Q49" s="3293"/>
      <c r="R49" s="3294" t="e">
        <f>IF(F1="售价",ROUND(AVERAGE(R48:V48),0),ROUND(AVERAGE(R48:V48),1))</f>
        <v>#DIV/0!</v>
      </c>
      <c r="S49" s="3294"/>
      <c r="T49" s="3294"/>
      <c r="U49" s="3294"/>
      <c r="V49" s="3294"/>
      <c r="W49" s="329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2584</v>
      </c>
      <c r="B57" s="760"/>
      <c r="C57" s="765"/>
      <c r="D57" s="765"/>
      <c r="E57" s="765"/>
      <c r="F57" s="766"/>
      <c r="G57" s="766"/>
      <c r="H57" s="765"/>
      <c r="I57" s="765"/>
      <c r="J57" s="765"/>
      <c r="K57" s="1164"/>
      <c r="L57" s="1165"/>
      <c r="M57" s="1163"/>
      <c r="N57" s="1163"/>
      <c r="O57" s="1163"/>
      <c r="P57" s="2633"/>
      <c r="Q57" s="505"/>
    </row>
    <row r="58" spans="1:29" s="509" customFormat="1" ht="15">
      <c r="A58" s="506" t="s">
        <v>2585</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2587</v>
      </c>
      <c r="B61" s="511"/>
      <c r="C61" s="523" t="s">
        <v>2588</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2559</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2098</v>
      </c>
      <c r="C82" s="540" t="s">
        <v>2605</v>
      </c>
      <c r="D82" s="540" t="s">
        <v>2606</v>
      </c>
      <c r="E82" s="540" t="s">
        <v>2607</v>
      </c>
      <c r="F82" s="540" t="s">
        <v>2608</v>
      </c>
      <c r="G82" s="540" t="s">
        <v>2609</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2612</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2564</v>
      </c>
      <c r="B100" s="529" t="s">
        <v>2613</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2614</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2616</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2617</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2618</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2619</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2620</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2575</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8">
        <v>6</v>
      </c>
      <c r="C139" s="1089">
        <v>96</v>
      </c>
      <c r="D139" s="2655" t="s">
        <v>2632</v>
      </c>
      <c r="E139" s="1090">
        <v>100</v>
      </c>
      <c r="F139" s="1091">
        <v>102.5</v>
      </c>
      <c r="G139" s="2655" t="s">
        <v>2632</v>
      </c>
      <c r="H139" s="1092">
        <v>105</v>
      </c>
      <c r="I139" s="2656" t="s">
        <v>2633</v>
      </c>
      <c r="J139" s="1089">
        <v>20</v>
      </c>
      <c r="K139" s="1093">
        <f>C145/(J139-2)</f>
        <v>4.0555555555555553E-3</v>
      </c>
    </row>
    <row r="140" spans="1:17" ht="15">
      <c r="B140" s="1094">
        <v>5</v>
      </c>
      <c r="C140" s="1095">
        <v>100</v>
      </c>
      <c r="D140" s="1095"/>
      <c r="E140" s="1096"/>
      <c r="F140" s="1097">
        <v>102</v>
      </c>
      <c r="G140" s="1095"/>
      <c r="H140" s="1098"/>
      <c r="I140" s="2657" t="s">
        <v>2634</v>
      </c>
      <c r="J140" s="316">
        <f>ROUNDUP((J139-1)/2,0)</f>
        <v>10</v>
      </c>
      <c r="K140" s="1099">
        <v>100</v>
      </c>
    </row>
    <row r="141" spans="1:17" ht="15">
      <c r="B141" s="1094">
        <v>4</v>
      </c>
      <c r="C141" s="1095">
        <v>102</v>
      </c>
      <c r="D141" s="1095"/>
      <c r="E141" s="1096"/>
      <c r="F141" s="1097">
        <v>101.5</v>
      </c>
      <c r="G141" s="1095"/>
      <c r="H141" s="1098"/>
      <c r="I141" s="2657" t="s">
        <v>2635</v>
      </c>
      <c r="J141" s="316">
        <v>1</v>
      </c>
      <c r="K141" s="1100">
        <f>ROUND(100+(J141-J140)*K139*100,1)</f>
        <v>96.4</v>
      </c>
    </row>
    <row r="142" spans="1:17" ht="15">
      <c r="B142" s="1094">
        <v>3</v>
      </c>
      <c r="C142" s="1095">
        <v>103</v>
      </c>
      <c r="D142" s="1095"/>
      <c r="E142" s="1096"/>
      <c r="F142" s="1097">
        <v>101</v>
      </c>
      <c r="G142" s="1095"/>
      <c r="H142" s="1098"/>
      <c r="I142" s="2657" t="s">
        <v>2636</v>
      </c>
      <c r="J142" s="316">
        <f>J139</f>
        <v>20</v>
      </c>
      <c r="K142" s="1101">
        <v>95</v>
      </c>
    </row>
    <row r="143" spans="1:17" ht="15">
      <c r="B143" s="1094">
        <v>2</v>
      </c>
      <c r="C143" s="1095">
        <v>100</v>
      </c>
      <c r="D143" s="1095"/>
      <c r="E143" s="1096"/>
      <c r="F143" s="1097">
        <v>100.5</v>
      </c>
      <c r="G143" s="1095"/>
      <c r="H143" s="1098"/>
      <c r="I143" s="2657" t="s">
        <v>2637</v>
      </c>
      <c r="J143" s="1095">
        <v>15</v>
      </c>
      <c r="K143" s="1100">
        <f>ROUND(100+(J143-J140)*K139*100,1)</f>
        <v>102</v>
      </c>
    </row>
    <row r="144" spans="1:17" ht="15">
      <c r="B144" s="1094">
        <v>1</v>
      </c>
      <c r="C144" s="1095">
        <v>98</v>
      </c>
      <c r="D144" s="2658" t="s">
        <v>2638</v>
      </c>
      <c r="E144" s="1096">
        <v>102</v>
      </c>
      <c r="F144" s="1102">
        <v>100</v>
      </c>
      <c r="G144" s="2658" t="s">
        <v>2638</v>
      </c>
      <c r="H144" s="1098">
        <v>105</v>
      </c>
      <c r="I144" s="2657" t="s">
        <v>2637</v>
      </c>
      <c r="J144" s="1095">
        <v>18</v>
      </c>
      <c r="K144" s="1100">
        <f>ROUND(100+(J144-J140)*K139*100,1)</f>
        <v>103.2</v>
      </c>
    </row>
    <row r="145" spans="2:11" ht="15.75" thickBot="1">
      <c r="B145" s="2659" t="s">
        <v>2639</v>
      </c>
      <c r="C145" s="1103">
        <f>ROUND(MAX(C139:C144)/MIN(C139:C144)-1,3)</f>
        <v>7.2999999999999995E-2</v>
      </c>
      <c r="D145" s="1104"/>
      <c r="E145" s="1104"/>
      <c r="F145" s="2660" t="s">
        <v>2640</v>
      </c>
      <c r="G145" s="2661"/>
      <c r="H145" s="2662"/>
      <c r="I145" s="2663" t="s">
        <v>2637</v>
      </c>
      <c r="J145" s="1105">
        <v>8</v>
      </c>
      <c r="K145" s="1106">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2643</v>
      </c>
      <c r="C1" s="1639" t="s">
        <v>2531</v>
      </c>
      <c r="D1" s="1626"/>
      <c r="E1" s="2664"/>
      <c r="F1" s="2591"/>
      <c r="G1" s="1636" t="s">
        <v>2644</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2328</v>
      </c>
      <c r="B2" s="1422" t="e">
        <f ca="1">IF(C2="——",ROUND(C49*D3/10000,0),ROUND(C49*D3/10000,0)-D2)</f>
        <v>#DIV/0!</v>
      </c>
      <c r="C2" s="2593"/>
      <c r="D2" s="1369" t="e">
        <f ca="1">SUMIF(INDIRECT("'"&amp;F2&amp;"'"&amp;"!A:A"),"承租人权益价值",INDIRECT("'"&amp;F2&amp;"'"&amp;"!c:c"))</f>
        <v>#REF!</v>
      </c>
      <c r="E2" s="2594" t="s">
        <v>2329</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2330</v>
      </c>
      <c r="B3" s="610" t="e">
        <f ca="1">IF(C2="——",C49,ROUND(B2*10000/D3,0))</f>
        <v>#DIV/0!</v>
      </c>
      <c r="C3" s="401" t="s">
        <v>2645</v>
      </c>
      <c r="D3" s="400">
        <f>IF(D1="",'数据-汇总表'!E3,SUMIF('数据-汇总表'!$C19:$C33,D1,'数据-汇总表'!$E19:$E33))</f>
        <v>1952.76</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2646</v>
      </c>
      <c r="B4" s="403"/>
      <c r="C4" s="3231" t="s">
        <v>2647</v>
      </c>
      <c r="D4" s="3232"/>
      <c r="E4" s="3233" t="s">
        <v>2648</v>
      </c>
      <c r="F4" s="3234"/>
      <c r="G4" s="3231" t="s">
        <v>2649</v>
      </c>
      <c r="H4" s="3232"/>
      <c r="I4" s="3231" t="s">
        <v>2650</v>
      </c>
      <c r="J4" s="3232"/>
      <c r="K4" s="611" t="s">
        <v>2651</v>
      </c>
      <c r="L4" s="1134"/>
      <c r="M4" s="1135"/>
      <c r="N4" s="1135"/>
      <c r="O4" s="1135"/>
      <c r="P4" s="3296" t="s">
        <v>2652</v>
      </c>
      <c r="Q4" s="3297"/>
      <c r="R4" s="3300" t="s">
        <v>2648</v>
      </c>
      <c r="S4" s="3301"/>
      <c r="T4" s="3300" t="s">
        <v>2649</v>
      </c>
      <c r="U4" s="3301"/>
      <c r="V4" s="3248" t="s">
        <v>2650</v>
      </c>
      <c r="W4" s="3248"/>
      <c r="X4" s="1818"/>
      <c r="Y4" s="3300" t="s">
        <v>2652</v>
      </c>
      <c r="Z4" s="3301"/>
      <c r="AA4" s="3295" t="s">
        <v>2648</v>
      </c>
      <c r="AB4" s="3248" t="s">
        <v>2649</v>
      </c>
      <c r="AC4" s="3295" t="s">
        <v>2650</v>
      </c>
    </row>
    <row r="5" spans="1:29" ht="15">
      <c r="A5" s="405"/>
      <c r="B5" s="406"/>
      <c r="C5" s="3257" t="s">
        <v>2543</v>
      </c>
      <c r="D5" s="3252"/>
      <c r="E5" s="3302" t="s">
        <v>2544</v>
      </c>
      <c r="F5" s="3264"/>
      <c r="G5" s="3257" t="s">
        <v>2545</v>
      </c>
      <c r="H5" s="3252"/>
      <c r="I5" s="3257" t="s">
        <v>2546</v>
      </c>
      <c r="J5" s="3252"/>
      <c r="K5" s="611"/>
      <c r="L5" s="1134"/>
      <c r="M5" s="1135"/>
      <c r="N5" s="1135"/>
      <c r="O5" s="1135"/>
      <c r="P5" s="3298"/>
      <c r="Q5" s="3238"/>
      <c r="R5" s="3243"/>
      <c r="S5" s="3244"/>
      <c r="T5" s="3243"/>
      <c r="U5" s="3244"/>
      <c r="V5" s="3248"/>
      <c r="W5" s="3248"/>
      <c r="X5" s="1818"/>
      <c r="Y5" s="3243"/>
      <c r="Z5" s="3244"/>
      <c r="AA5" s="3261"/>
      <c r="AB5" s="3248"/>
      <c r="AC5" s="3261"/>
    </row>
    <row r="6" spans="1:29" ht="15.75" thickBot="1">
      <c r="A6" s="407"/>
      <c r="B6" s="408"/>
      <c r="C6" s="3249" t="s">
        <v>2547</v>
      </c>
      <c r="D6" s="3250"/>
      <c r="E6" s="3258" t="s">
        <v>2547</v>
      </c>
      <c r="F6" s="3259"/>
      <c r="G6" s="3249" t="s">
        <v>2547</v>
      </c>
      <c r="H6" s="3250"/>
      <c r="I6" s="3249" t="s">
        <v>2547</v>
      </c>
      <c r="J6" s="3250"/>
      <c r="K6" s="611" t="s">
        <v>2548</v>
      </c>
      <c r="L6" s="1134"/>
      <c r="M6" s="1135"/>
      <c r="N6" s="1135"/>
      <c r="O6" s="1135"/>
      <c r="P6" s="3299"/>
      <c r="Q6" s="3240"/>
      <c r="R6" s="3243"/>
      <c r="S6" s="3244"/>
      <c r="T6" s="3245"/>
      <c r="U6" s="3246"/>
      <c r="V6" s="3248"/>
      <c r="W6" s="3248"/>
      <c r="X6" s="1818"/>
      <c r="Y6" s="3245"/>
      <c r="Z6" s="3246"/>
      <c r="AA6" s="3262"/>
      <c r="AB6" s="3248"/>
      <c r="AC6" s="3262"/>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55" t="s">
        <v>2550</v>
      </c>
      <c r="Q7" s="3256"/>
      <c r="R7" s="771" t="s">
        <v>17</v>
      </c>
      <c r="S7" s="772">
        <f t="shared" ref="S7:S15" si="0">F7</f>
        <v>0</v>
      </c>
      <c r="T7" s="771" t="s">
        <v>17</v>
      </c>
      <c r="U7" s="772">
        <f t="shared" ref="U7:U15" si="1">H7</f>
        <v>0</v>
      </c>
      <c r="V7" s="771" t="s">
        <v>17</v>
      </c>
      <c r="W7" s="772">
        <f t="shared" ref="W7:W15" si="2">J7</f>
        <v>0</v>
      </c>
      <c r="X7" s="773"/>
      <c r="Y7" s="3255" t="s">
        <v>2550</v>
      </c>
      <c r="Z7" s="3254"/>
      <c r="AA7" s="774" t="e">
        <f>D7/F7</f>
        <v>#DIV/0!</v>
      </c>
      <c r="AB7" s="774" t="e">
        <f>D7/H7</f>
        <v>#DIV/0!</v>
      </c>
      <c r="AC7" s="774" t="e">
        <f>D7/J7</f>
        <v>#DIV/0!</v>
      </c>
    </row>
    <row r="8" spans="1:29" s="117" customFormat="1" ht="15.75" thickBot="1">
      <c r="A8" s="409" t="s">
        <v>2551</v>
      </c>
      <c r="B8" s="410"/>
      <c r="C8" s="415" t="s">
        <v>2653</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55" t="s">
        <v>2553</v>
      </c>
      <c r="Q8" s="3254"/>
      <c r="R8" s="771" t="s">
        <v>17</v>
      </c>
      <c r="S8" s="772">
        <f t="shared" si="0"/>
        <v>0</v>
      </c>
      <c r="T8" s="771" t="s">
        <v>17</v>
      </c>
      <c r="U8" s="772">
        <f t="shared" si="1"/>
        <v>0</v>
      </c>
      <c r="V8" s="771" t="s">
        <v>17</v>
      </c>
      <c r="W8" s="772">
        <f t="shared" si="2"/>
        <v>0</v>
      </c>
      <c r="X8" s="773"/>
      <c r="Y8" s="3255" t="s">
        <v>2553</v>
      </c>
      <c r="Z8" s="3254"/>
      <c r="AA8" s="774" t="e">
        <f t="shared" ref="AA8:AA46" si="3">D8/F8</f>
        <v>#DIV/0!</v>
      </c>
      <c r="AB8" s="774" t="e">
        <f t="shared" ref="AB8:AB46" si="4">D8/H8</f>
        <v>#DIV/0!</v>
      </c>
      <c r="AC8" s="774" t="e">
        <f t="shared" ref="AC8:AC46" si="5">D8/J8</f>
        <v>#DIV/0!</v>
      </c>
    </row>
    <row r="9" spans="1:29" s="117" customFormat="1">
      <c r="A9" s="416" t="s">
        <v>2554</v>
      </c>
      <c r="B9" s="71" t="s">
        <v>2555</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13" t="s">
        <v>2556</v>
      </c>
      <c r="Q9" s="1800" t="str">
        <f t="shared" ref="Q9:Q15" si="6">B9</f>
        <v>用途</v>
      </c>
      <c r="R9" s="771" t="s">
        <v>17</v>
      </c>
      <c r="S9" s="772">
        <f t="shared" si="0"/>
        <v>100</v>
      </c>
      <c r="T9" s="771" t="s">
        <v>17</v>
      </c>
      <c r="U9" s="772">
        <f t="shared" si="1"/>
        <v>100</v>
      </c>
      <c r="V9" s="771" t="s">
        <v>17</v>
      </c>
      <c r="W9" s="772">
        <f t="shared" si="2"/>
        <v>100</v>
      </c>
      <c r="X9" s="773"/>
      <c r="Y9" s="3068"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13"/>
      <c r="Q10" s="1800" t="str">
        <f t="shared" si="6"/>
        <v>土地使用年限（年）</v>
      </c>
      <c r="R10" s="771" t="s">
        <v>17</v>
      </c>
      <c r="S10" s="772">
        <f t="shared" si="0"/>
        <v>100</v>
      </c>
      <c r="T10" s="771" t="s">
        <v>17</v>
      </c>
      <c r="U10" s="772">
        <f t="shared" si="1"/>
        <v>100</v>
      </c>
      <c r="V10" s="771" t="s">
        <v>17</v>
      </c>
      <c r="W10" s="772">
        <f t="shared" si="2"/>
        <v>100</v>
      </c>
      <c r="X10" s="773"/>
      <c r="Y10" s="3068"/>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13"/>
      <c r="Q11" s="1800" t="str">
        <f t="shared" si="6"/>
        <v>容积率</v>
      </c>
      <c r="R11" s="771" t="s">
        <v>17</v>
      </c>
      <c r="S11" s="772" t="e">
        <f t="shared" si="0"/>
        <v>#N/A</v>
      </c>
      <c r="T11" s="771" t="s">
        <v>17</v>
      </c>
      <c r="U11" s="772" t="e">
        <f t="shared" si="1"/>
        <v>#N/A</v>
      </c>
      <c r="V11" s="771" t="s">
        <v>17</v>
      </c>
      <c r="W11" s="772" t="e">
        <f t="shared" si="2"/>
        <v>#N/A</v>
      </c>
      <c r="X11" s="773"/>
      <c r="Y11" s="3068"/>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13"/>
      <c r="Q12" s="1800">
        <f t="shared" si="6"/>
        <v>111</v>
      </c>
      <c r="R12" s="771" t="s">
        <v>17</v>
      </c>
      <c r="S12" s="772">
        <f t="shared" si="0"/>
        <v>100</v>
      </c>
      <c r="T12" s="771" t="s">
        <v>17</v>
      </c>
      <c r="U12" s="772">
        <f t="shared" si="1"/>
        <v>100</v>
      </c>
      <c r="V12" s="771" t="s">
        <v>17</v>
      </c>
      <c r="W12" s="772">
        <f t="shared" si="2"/>
        <v>100</v>
      </c>
      <c r="X12" s="773"/>
      <c r="Y12" s="3068"/>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13"/>
      <c r="Q13" s="1800">
        <f t="shared" si="6"/>
        <v>111</v>
      </c>
      <c r="R13" s="771" t="s">
        <v>17</v>
      </c>
      <c r="S13" s="772">
        <f t="shared" si="0"/>
        <v>100</v>
      </c>
      <c r="T13" s="771" t="s">
        <v>17</v>
      </c>
      <c r="U13" s="772">
        <f t="shared" si="1"/>
        <v>100</v>
      </c>
      <c r="V13" s="771" t="s">
        <v>17</v>
      </c>
      <c r="W13" s="772">
        <f t="shared" si="2"/>
        <v>100</v>
      </c>
      <c r="X13" s="773"/>
      <c r="Y13" s="3068"/>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13"/>
      <c r="Q14" s="1800">
        <f t="shared" si="6"/>
        <v>111</v>
      </c>
      <c r="R14" s="771" t="s">
        <v>17</v>
      </c>
      <c r="S14" s="772">
        <f t="shared" si="0"/>
        <v>100</v>
      </c>
      <c r="T14" s="771" t="s">
        <v>17</v>
      </c>
      <c r="U14" s="772">
        <f t="shared" si="1"/>
        <v>100</v>
      </c>
      <c r="V14" s="771" t="s">
        <v>17</v>
      </c>
      <c r="W14" s="772">
        <f t="shared" si="2"/>
        <v>100</v>
      </c>
      <c r="X14" s="773"/>
      <c r="Y14" s="3068"/>
      <c r="Z14" s="55">
        <f t="shared" si="7"/>
        <v>111</v>
      </c>
      <c r="AA14" s="774">
        <f t="shared" si="3"/>
        <v>1</v>
      </c>
      <c r="AB14" s="774">
        <f t="shared" si="4"/>
        <v>1</v>
      </c>
      <c r="AC14" s="774">
        <f t="shared" si="5"/>
        <v>1</v>
      </c>
    </row>
    <row r="15" spans="1:29" ht="71.25">
      <c r="A15" s="441" t="s">
        <v>2560</v>
      </c>
      <c r="B15" s="69" t="s">
        <v>2654</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19" t="s">
        <v>2561</v>
      </c>
      <c r="Q15" s="1815" t="str">
        <f t="shared" si="6"/>
        <v>商业繁华度</v>
      </c>
      <c r="R15" s="775" t="s">
        <v>17</v>
      </c>
      <c r="S15" s="776">
        <f t="shared" si="0"/>
        <v>100</v>
      </c>
      <c r="T15" s="775" t="s">
        <v>17</v>
      </c>
      <c r="U15" s="776">
        <f t="shared" si="1"/>
        <v>100</v>
      </c>
      <c r="V15" s="775" t="s">
        <v>17</v>
      </c>
      <c r="W15" s="776">
        <f t="shared" si="2"/>
        <v>100</v>
      </c>
      <c r="X15" s="1818"/>
      <c r="Y15" s="3221" t="s">
        <v>2561</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20"/>
      <c r="Q16" s="1815"/>
      <c r="R16" s="775"/>
      <c r="S16" s="776"/>
      <c r="T16" s="775"/>
      <c r="U16" s="776"/>
      <c r="V16" s="775"/>
      <c r="W16" s="776"/>
      <c r="X16" s="1818"/>
      <c r="Y16" s="3222"/>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20"/>
      <c r="Q17" s="1815" t="str">
        <f>B17</f>
        <v>交通便捷度</v>
      </c>
      <c r="R17" s="775" t="s">
        <v>17</v>
      </c>
      <c r="S17" s="776">
        <f>F17</f>
        <v>100</v>
      </c>
      <c r="T17" s="775" t="s">
        <v>17</v>
      </c>
      <c r="U17" s="776">
        <f>H17</f>
        <v>100</v>
      </c>
      <c r="V17" s="775" t="s">
        <v>17</v>
      </c>
      <c r="W17" s="776">
        <f>J17</f>
        <v>100</v>
      </c>
      <c r="X17" s="1818"/>
      <c r="Y17" s="3222"/>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20"/>
      <c r="Q18" s="1815"/>
      <c r="R18" s="775"/>
      <c r="S18" s="776"/>
      <c r="T18" s="775"/>
      <c r="U18" s="776"/>
      <c r="V18" s="775"/>
      <c r="W18" s="776"/>
      <c r="X18" s="1818"/>
      <c r="Y18" s="3222"/>
      <c r="Z18" s="1819"/>
      <c r="AA18" s="1816">
        <v>1</v>
      </c>
      <c r="AB18" s="1816">
        <v>1</v>
      </c>
      <c r="AC18" s="1816">
        <v>1</v>
      </c>
    </row>
    <row r="19" spans="1:29" ht="42.75">
      <c r="A19" s="429"/>
      <c r="B19" s="452" t="s">
        <v>2655</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20"/>
      <c r="Q19" s="1815" t="str">
        <f>B19</f>
        <v>公共配套设施</v>
      </c>
      <c r="R19" s="775" t="s">
        <v>17</v>
      </c>
      <c r="S19" s="776">
        <f>F19</f>
        <v>100</v>
      </c>
      <c r="T19" s="775" t="s">
        <v>17</v>
      </c>
      <c r="U19" s="776">
        <f>H19</f>
        <v>100</v>
      </c>
      <c r="V19" s="775" t="s">
        <v>17</v>
      </c>
      <c r="W19" s="776">
        <f>J19</f>
        <v>100</v>
      </c>
      <c r="X19" s="1818"/>
      <c r="Y19" s="3222"/>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20"/>
      <c r="Q20" s="1815"/>
      <c r="R20" s="775"/>
      <c r="S20" s="776"/>
      <c r="T20" s="775"/>
      <c r="U20" s="776"/>
      <c r="V20" s="775"/>
      <c r="W20" s="776"/>
      <c r="X20" s="1818"/>
      <c r="Y20" s="3222"/>
      <c r="Z20" s="1819"/>
      <c r="AA20" s="1816">
        <v>1</v>
      </c>
      <c r="AB20" s="1816">
        <v>1</v>
      </c>
      <c r="AC20" s="1816">
        <v>1</v>
      </c>
    </row>
    <row r="21" spans="1:29" ht="28.5">
      <c r="A21" s="429"/>
      <c r="B21" s="1388" t="s">
        <v>2656</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20"/>
      <c r="Q21" s="1815" t="str">
        <f>B21</f>
        <v>基础设施水平</v>
      </c>
      <c r="R21" s="775" t="s">
        <v>17</v>
      </c>
      <c r="S21" s="776">
        <f>F21</f>
        <v>100</v>
      </c>
      <c r="T21" s="775" t="s">
        <v>17</v>
      </c>
      <c r="U21" s="776">
        <f>H21</f>
        <v>100</v>
      </c>
      <c r="V21" s="775" t="s">
        <v>17</v>
      </c>
      <c r="W21" s="776">
        <f>J21</f>
        <v>100</v>
      </c>
      <c r="X21" s="1818"/>
      <c r="Y21" s="3222"/>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20"/>
      <c r="Q22" s="1815"/>
      <c r="R22" s="775"/>
      <c r="S22" s="776"/>
      <c r="T22" s="775"/>
      <c r="U22" s="776"/>
      <c r="V22" s="775"/>
      <c r="W22" s="776"/>
      <c r="X22" s="1818"/>
      <c r="Y22" s="3222"/>
      <c r="Z22" s="1819"/>
      <c r="AA22" s="1816">
        <v>1</v>
      </c>
      <c r="AB22" s="1816">
        <v>1</v>
      </c>
      <c r="AC22" s="1816">
        <v>1</v>
      </c>
    </row>
    <row r="23" spans="1:29" ht="57">
      <c r="A23" s="429"/>
      <c r="B23" s="452" t="s">
        <v>2102</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20"/>
      <c r="Q23" s="1815" t="str">
        <f>B23</f>
        <v>自然及人文环境</v>
      </c>
      <c r="R23" s="775" t="s">
        <v>17</v>
      </c>
      <c r="S23" s="776">
        <f>F23</f>
        <v>100</v>
      </c>
      <c r="T23" s="775" t="s">
        <v>17</v>
      </c>
      <c r="U23" s="776">
        <f>H23</f>
        <v>100</v>
      </c>
      <c r="V23" s="775" t="s">
        <v>17</v>
      </c>
      <c r="W23" s="776">
        <f>J23</f>
        <v>100</v>
      </c>
      <c r="X23" s="1818"/>
      <c r="Y23" s="3222"/>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20"/>
      <c r="Q24" s="1815"/>
      <c r="R24" s="775"/>
      <c r="S24" s="776"/>
      <c r="T24" s="775"/>
      <c r="U24" s="776"/>
      <c r="V24" s="775"/>
      <c r="W24" s="776"/>
      <c r="X24" s="1818"/>
      <c r="Y24" s="3222"/>
      <c r="Z24" s="1819"/>
      <c r="AA24" s="1816">
        <v>1</v>
      </c>
      <c r="AB24" s="1816">
        <v>1</v>
      </c>
      <c r="AC24" s="1816">
        <v>1</v>
      </c>
    </row>
    <row r="25" spans="1:29" ht="15">
      <c r="A25" s="429"/>
      <c r="B25" s="423" t="s">
        <v>2657</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20"/>
      <c r="Q25" s="1815" t="str">
        <f t="shared" ref="Q25:Q46" si="11">B25</f>
        <v>临街状况</v>
      </c>
      <c r="R25" s="775" t="s">
        <v>17</v>
      </c>
      <c r="S25" s="776">
        <f>F25</f>
        <v>100</v>
      </c>
      <c r="T25" s="775" t="s">
        <v>17</v>
      </c>
      <c r="U25" s="776">
        <f>H25</f>
        <v>100</v>
      </c>
      <c r="V25" s="775" t="s">
        <v>17</v>
      </c>
      <c r="W25" s="776">
        <f>J25</f>
        <v>100</v>
      </c>
      <c r="X25" s="1818"/>
      <c r="Y25" s="3222"/>
      <c r="Z25" s="1819" t="str">
        <f>Q25</f>
        <v>临街状况</v>
      </c>
      <c r="AA25" s="1816">
        <f t="shared" si="3"/>
        <v>1</v>
      </c>
      <c r="AB25" s="1816">
        <f t="shared" si="4"/>
        <v>1</v>
      </c>
      <c r="AC25" s="1816">
        <f t="shared" si="5"/>
        <v>1</v>
      </c>
    </row>
    <row r="26" spans="1:29" ht="15">
      <c r="A26" s="429"/>
      <c r="B26" s="1390" t="s">
        <v>2658</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20"/>
      <c r="Q26" s="1815" t="str">
        <f t="shared" si="11"/>
        <v>平面位置/可视性</v>
      </c>
      <c r="R26" s="775" t="s">
        <v>17</v>
      </c>
      <c r="S26" s="776">
        <f>F26</f>
        <v>100</v>
      </c>
      <c r="T26" s="775" t="s">
        <v>17</v>
      </c>
      <c r="U26" s="776">
        <f>H26</f>
        <v>100</v>
      </c>
      <c r="V26" s="775" t="s">
        <v>17</v>
      </c>
      <c r="W26" s="776">
        <f>J26</f>
        <v>100</v>
      </c>
      <c r="X26" s="1818"/>
      <c r="Y26" s="3222"/>
      <c r="Z26" s="1819" t="str">
        <f>Q26</f>
        <v>平面位置/可视性</v>
      </c>
      <c r="AA26" s="1816">
        <f t="shared" si="3"/>
        <v>1</v>
      </c>
      <c r="AB26" s="1816">
        <f t="shared" si="4"/>
        <v>1</v>
      </c>
      <c r="AC26" s="1816">
        <f t="shared" si="5"/>
        <v>1</v>
      </c>
    </row>
    <row r="27" spans="1:29" s="117" customFormat="1" ht="15">
      <c r="A27" s="432"/>
      <c r="B27" s="452" t="s">
        <v>2659</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20"/>
      <c r="Q27" s="1800" t="str">
        <f t="shared" si="11"/>
        <v>人流量</v>
      </c>
      <c r="R27" s="771" t="s">
        <v>17</v>
      </c>
      <c r="S27" s="772">
        <f>F27</f>
        <v>100</v>
      </c>
      <c r="T27" s="771" t="s">
        <v>17</v>
      </c>
      <c r="U27" s="772">
        <f>H27</f>
        <v>100</v>
      </c>
      <c r="V27" s="771" t="s">
        <v>17</v>
      </c>
      <c r="W27" s="772">
        <f>J27</f>
        <v>100</v>
      </c>
      <c r="X27" s="773"/>
      <c r="Y27" s="3222"/>
      <c r="Z27" s="55" t="str">
        <f>Q27</f>
        <v>人流量</v>
      </c>
      <c r="AA27" s="1816">
        <f>D27/F27</f>
        <v>1</v>
      </c>
      <c r="AB27" s="1816">
        <f>D27/H27</f>
        <v>1</v>
      </c>
      <c r="AC27" s="1816">
        <f>D27/J27</f>
        <v>1</v>
      </c>
    </row>
    <row r="28" spans="1:29" ht="15">
      <c r="A28" s="429"/>
      <c r="B28" s="423" t="s">
        <v>2660</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20"/>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22"/>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20"/>
      <c r="Q29" s="1815">
        <f t="shared" si="11"/>
        <v>111</v>
      </c>
      <c r="R29" s="775" t="s">
        <v>17</v>
      </c>
      <c r="S29" s="776">
        <f t="shared" si="12"/>
        <v>100</v>
      </c>
      <c r="T29" s="775" t="s">
        <v>17</v>
      </c>
      <c r="U29" s="776">
        <f t="shared" si="13"/>
        <v>100</v>
      </c>
      <c r="V29" s="775" t="s">
        <v>17</v>
      </c>
      <c r="W29" s="776">
        <f t="shared" si="14"/>
        <v>100</v>
      </c>
      <c r="X29" s="1818"/>
      <c r="Y29" s="3222"/>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20"/>
      <c r="Q30" s="1815">
        <f t="shared" si="11"/>
        <v>111</v>
      </c>
      <c r="R30" s="775" t="s">
        <v>17</v>
      </c>
      <c r="S30" s="776">
        <f t="shared" si="12"/>
        <v>100</v>
      </c>
      <c r="T30" s="775" t="s">
        <v>17</v>
      </c>
      <c r="U30" s="776">
        <f t="shared" si="13"/>
        <v>100</v>
      </c>
      <c r="V30" s="775" t="s">
        <v>17</v>
      </c>
      <c r="W30" s="776">
        <f t="shared" si="14"/>
        <v>100</v>
      </c>
      <c r="X30" s="1818"/>
      <c r="Y30" s="3222"/>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20"/>
      <c r="Q31" s="1815">
        <f t="shared" si="11"/>
        <v>111</v>
      </c>
      <c r="R31" s="775" t="s">
        <v>17</v>
      </c>
      <c r="S31" s="776">
        <f t="shared" si="12"/>
        <v>100</v>
      </c>
      <c r="T31" s="775" t="s">
        <v>17</v>
      </c>
      <c r="U31" s="776">
        <f t="shared" si="13"/>
        <v>100</v>
      </c>
      <c r="V31" s="775" t="s">
        <v>17</v>
      </c>
      <c r="W31" s="776">
        <f t="shared" si="14"/>
        <v>100</v>
      </c>
      <c r="X31" s="1818"/>
      <c r="Y31" s="3222"/>
      <c r="Z31" s="1819">
        <f t="shared" si="15"/>
        <v>111</v>
      </c>
      <c r="AA31" s="1816">
        <f t="shared" si="3"/>
        <v>1</v>
      </c>
      <c r="AB31" s="1816">
        <f t="shared" si="4"/>
        <v>1</v>
      </c>
      <c r="AC31" s="1816">
        <f t="shared" si="5"/>
        <v>1</v>
      </c>
    </row>
    <row r="32" spans="1:29" ht="15">
      <c r="A32" s="441" t="s">
        <v>2564</v>
      </c>
      <c r="B32" s="71" t="s">
        <v>2661</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223" t="s">
        <v>2566</v>
      </c>
      <c r="Q32" s="1815" t="str">
        <f t="shared" si="11"/>
        <v>商业类型</v>
      </c>
      <c r="R32" s="775" t="s">
        <v>17</v>
      </c>
      <c r="S32" s="776">
        <f t="shared" si="12"/>
        <v>100</v>
      </c>
      <c r="T32" s="775" t="s">
        <v>17</v>
      </c>
      <c r="U32" s="776">
        <f t="shared" si="13"/>
        <v>100</v>
      </c>
      <c r="V32" s="775" t="s">
        <v>17</v>
      </c>
      <c r="W32" s="776">
        <f t="shared" si="14"/>
        <v>100</v>
      </c>
      <c r="X32" s="1818"/>
      <c r="Y32" s="3226" t="s">
        <v>2566</v>
      </c>
      <c r="Z32" s="1819" t="str">
        <f t="shared" si="15"/>
        <v>商业类型</v>
      </c>
      <c r="AA32" s="1816">
        <f t="shared" si="3"/>
        <v>1</v>
      </c>
      <c r="AB32" s="1816">
        <f t="shared" si="4"/>
        <v>1</v>
      </c>
      <c r="AC32" s="1816">
        <f t="shared" si="5"/>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24"/>
      <c r="Q33" s="777" t="str">
        <f t="shared" si="11"/>
        <v>项目建筑规模</v>
      </c>
      <c r="R33" s="778" t="s">
        <v>17</v>
      </c>
      <c r="S33" s="779" t="e">
        <f t="shared" si="12"/>
        <v>#N/A</v>
      </c>
      <c r="T33" s="778" t="s">
        <v>17</v>
      </c>
      <c r="U33" s="779" t="e">
        <f t="shared" si="13"/>
        <v>#N/A</v>
      </c>
      <c r="V33" s="778" t="s">
        <v>17</v>
      </c>
      <c r="W33" s="779" t="e">
        <f t="shared" si="14"/>
        <v>#N/A</v>
      </c>
      <c r="X33" s="780"/>
      <c r="Y33" s="3226"/>
      <c r="Z33" s="781" t="str">
        <f t="shared" si="15"/>
        <v>项目建筑规模</v>
      </c>
      <c r="AA33" s="1816" t="e">
        <f t="shared" si="3"/>
        <v>#N/A</v>
      </c>
      <c r="AB33" s="1816" t="e">
        <f t="shared" si="4"/>
        <v>#N/A</v>
      </c>
      <c r="AC33" s="1816" t="e">
        <f t="shared" si="5"/>
        <v>#N/A</v>
      </c>
    </row>
    <row r="34" spans="1:29" ht="15">
      <c r="A34" s="473"/>
      <c r="B34" s="423" t="s">
        <v>2568</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224"/>
      <c r="Q34" s="1815" t="str">
        <f t="shared" si="11"/>
        <v>建筑结构</v>
      </c>
      <c r="R34" s="775" t="s">
        <v>17</v>
      </c>
      <c r="S34" s="776">
        <f t="shared" si="12"/>
        <v>100</v>
      </c>
      <c r="T34" s="775" t="s">
        <v>17</v>
      </c>
      <c r="U34" s="776">
        <f t="shared" si="13"/>
        <v>100</v>
      </c>
      <c r="V34" s="775" t="s">
        <v>17</v>
      </c>
      <c r="W34" s="776">
        <f t="shared" si="14"/>
        <v>100</v>
      </c>
      <c r="X34" s="1818"/>
      <c r="Y34" s="3226"/>
      <c r="Z34" s="1819" t="str">
        <f t="shared" si="15"/>
        <v>建筑结构</v>
      </c>
      <c r="AA34" s="1816">
        <f t="shared" si="3"/>
        <v>1</v>
      </c>
      <c r="AB34" s="1816">
        <f t="shared" si="4"/>
        <v>1</v>
      </c>
      <c r="AC34" s="1816">
        <f t="shared" si="5"/>
        <v>1</v>
      </c>
    </row>
    <row r="35" spans="1:29" ht="15">
      <c r="A35" s="473"/>
      <c r="B35" s="423" t="s">
        <v>2662</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224"/>
      <c r="Q35" s="1815" t="str">
        <f t="shared" si="11"/>
        <v>公共部分装修</v>
      </c>
      <c r="R35" s="775" t="s">
        <v>17</v>
      </c>
      <c r="S35" s="776">
        <f t="shared" si="12"/>
        <v>100</v>
      </c>
      <c r="T35" s="775" t="s">
        <v>17</v>
      </c>
      <c r="U35" s="776">
        <f t="shared" si="13"/>
        <v>100</v>
      </c>
      <c r="V35" s="775" t="s">
        <v>17</v>
      </c>
      <c r="W35" s="776">
        <f t="shared" si="14"/>
        <v>100</v>
      </c>
      <c r="X35" s="1818"/>
      <c r="Y35" s="3226"/>
      <c r="Z35" s="1819" t="str">
        <f t="shared" si="15"/>
        <v>公共部分装修</v>
      </c>
      <c r="AA35" s="1816">
        <f t="shared" si="3"/>
        <v>1</v>
      </c>
      <c r="AB35" s="1816">
        <f t="shared" si="4"/>
        <v>1</v>
      </c>
      <c r="AC35" s="1816">
        <f t="shared" si="5"/>
        <v>1</v>
      </c>
    </row>
    <row r="36" spans="1:29" ht="15">
      <c r="A36" s="473"/>
      <c r="B36" s="423" t="s">
        <v>2663</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24"/>
      <c r="Q36" s="1815" t="str">
        <f t="shared" si="11"/>
        <v>成新度</v>
      </c>
      <c r="R36" s="775" t="s">
        <v>17</v>
      </c>
      <c r="S36" s="776" t="e">
        <f t="shared" si="12"/>
        <v>#N/A</v>
      </c>
      <c r="T36" s="775" t="s">
        <v>17</v>
      </c>
      <c r="U36" s="776" t="e">
        <f t="shared" si="13"/>
        <v>#N/A</v>
      </c>
      <c r="V36" s="775" t="s">
        <v>17</v>
      </c>
      <c r="W36" s="776" t="e">
        <f t="shared" si="14"/>
        <v>#N/A</v>
      </c>
      <c r="X36" s="1818"/>
      <c r="Y36" s="3226"/>
      <c r="Z36" s="1819" t="str">
        <f t="shared" si="15"/>
        <v>成新度</v>
      </c>
      <c r="AA36" s="1816" t="e">
        <f t="shared" si="3"/>
        <v>#N/A</v>
      </c>
      <c r="AB36" s="1816" t="e">
        <f t="shared" si="4"/>
        <v>#N/A</v>
      </c>
      <c r="AC36" s="1816" t="e">
        <f t="shared" si="5"/>
        <v>#N/A</v>
      </c>
    </row>
    <row r="37" spans="1:29" s="117" customFormat="1" ht="15">
      <c r="A37" s="474"/>
      <c r="B37" s="423" t="s">
        <v>2664</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224"/>
      <c r="Q37" s="1800" t="str">
        <f t="shared" si="11"/>
        <v>市政基础设施</v>
      </c>
      <c r="R37" s="771" t="s">
        <v>17</v>
      </c>
      <c r="S37" s="772">
        <f t="shared" si="12"/>
        <v>100</v>
      </c>
      <c r="T37" s="771" t="s">
        <v>17</v>
      </c>
      <c r="U37" s="772">
        <f t="shared" si="13"/>
        <v>100</v>
      </c>
      <c r="V37" s="771" t="s">
        <v>17</v>
      </c>
      <c r="W37" s="772">
        <f t="shared" si="14"/>
        <v>100</v>
      </c>
      <c r="X37" s="773"/>
      <c r="Y37" s="3226"/>
      <c r="Z37" s="55" t="str">
        <f t="shared" si="15"/>
        <v>市政基础设施</v>
      </c>
      <c r="AA37" s="774">
        <f t="shared" si="3"/>
        <v>1</v>
      </c>
      <c r="AB37" s="774">
        <f t="shared" si="4"/>
        <v>1</v>
      </c>
      <c r="AC37" s="774">
        <f t="shared" si="5"/>
        <v>1</v>
      </c>
    </row>
    <row r="38" spans="1:29" ht="15">
      <c r="A38" s="473"/>
      <c r="B38" s="423" t="s">
        <v>2665</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224" t="s">
        <v>2566</v>
      </c>
      <c r="Q38" s="1815" t="str">
        <f t="shared" si="11"/>
        <v>业态</v>
      </c>
      <c r="R38" s="775" t="s">
        <v>17</v>
      </c>
      <c r="S38" s="776">
        <f t="shared" si="12"/>
        <v>100</v>
      </c>
      <c r="T38" s="775" t="s">
        <v>17</v>
      </c>
      <c r="U38" s="776">
        <f t="shared" si="13"/>
        <v>100</v>
      </c>
      <c r="V38" s="775" t="s">
        <v>17</v>
      </c>
      <c r="W38" s="776">
        <f t="shared" si="14"/>
        <v>100</v>
      </c>
      <c r="X38" s="1818"/>
      <c r="Y38" s="3226" t="s">
        <v>2566</v>
      </c>
      <c r="Z38" s="1819" t="str">
        <f t="shared" si="15"/>
        <v>业态</v>
      </c>
      <c r="AA38" s="1816">
        <f t="shared" si="3"/>
        <v>1</v>
      </c>
      <c r="AB38" s="1816">
        <f t="shared" si="4"/>
        <v>1</v>
      </c>
      <c r="AC38" s="1816">
        <f t="shared" si="5"/>
        <v>1</v>
      </c>
    </row>
    <row r="39" spans="1:29" ht="15">
      <c r="A39" s="473"/>
      <c r="B39" s="423" t="s">
        <v>2666</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224"/>
      <c r="Q39" s="1815" t="str">
        <f t="shared" si="11"/>
        <v>层高</v>
      </c>
      <c r="R39" s="775" t="s">
        <v>17</v>
      </c>
      <c r="S39" s="776">
        <f t="shared" si="12"/>
        <v>100</v>
      </c>
      <c r="T39" s="775" t="s">
        <v>17</v>
      </c>
      <c r="U39" s="776">
        <f t="shared" si="13"/>
        <v>100</v>
      </c>
      <c r="V39" s="775" t="s">
        <v>17</v>
      </c>
      <c r="W39" s="776">
        <f t="shared" si="14"/>
        <v>100</v>
      </c>
      <c r="X39" s="1818"/>
      <c r="Y39" s="3226"/>
      <c r="Z39" s="1819" t="str">
        <f t="shared" si="15"/>
        <v>层高</v>
      </c>
      <c r="AA39" s="1816">
        <f t="shared" si="3"/>
        <v>1</v>
      </c>
      <c r="AB39" s="1816">
        <f t="shared" si="4"/>
        <v>1</v>
      </c>
      <c r="AC39" s="1816">
        <f t="shared" si="5"/>
        <v>1</v>
      </c>
    </row>
    <row r="40" spans="1:29" ht="15">
      <c r="A40" s="473"/>
      <c r="B40" s="423"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24"/>
      <c r="Q40" s="1815" t="str">
        <f t="shared" si="11"/>
        <v>单套建筑面积</v>
      </c>
      <c r="R40" s="775" t="s">
        <v>17</v>
      </c>
      <c r="S40" s="776">
        <f t="shared" si="12"/>
        <v>100</v>
      </c>
      <c r="T40" s="775" t="s">
        <v>17</v>
      </c>
      <c r="U40" s="776">
        <f t="shared" si="13"/>
        <v>100</v>
      </c>
      <c r="V40" s="775" t="s">
        <v>17</v>
      </c>
      <c r="W40" s="776">
        <f t="shared" si="14"/>
        <v>100</v>
      </c>
      <c r="X40" s="1818"/>
      <c r="Y40" s="3226"/>
      <c r="Z40" s="1819" t="str">
        <f t="shared" si="15"/>
        <v>单套建筑面积</v>
      </c>
      <c r="AA40" s="1816">
        <f t="shared" si="3"/>
        <v>1</v>
      </c>
      <c r="AB40" s="1816">
        <f t="shared" si="4"/>
        <v>1</v>
      </c>
      <c r="AC40" s="1816">
        <f t="shared" si="5"/>
        <v>1</v>
      </c>
    </row>
    <row r="41" spans="1:29" s="472" customFormat="1" ht="15">
      <c r="A41" s="469"/>
      <c r="B41" s="1817" t="s">
        <v>2668</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24"/>
      <c r="Q41" s="777" t="str">
        <f t="shared" si="11"/>
        <v>进深比</v>
      </c>
      <c r="R41" s="778" t="s">
        <v>17</v>
      </c>
      <c r="S41" s="779">
        <f t="shared" si="12"/>
        <v>100</v>
      </c>
      <c r="T41" s="778" t="s">
        <v>17</v>
      </c>
      <c r="U41" s="779">
        <f t="shared" si="13"/>
        <v>100</v>
      </c>
      <c r="V41" s="778" t="s">
        <v>17</v>
      </c>
      <c r="W41" s="779">
        <f t="shared" si="14"/>
        <v>100</v>
      </c>
      <c r="X41" s="780"/>
      <c r="Y41" s="3226"/>
      <c r="Z41" s="781" t="str">
        <f t="shared" si="15"/>
        <v>进深比</v>
      </c>
      <c r="AA41" s="1816">
        <f t="shared" si="3"/>
        <v>1</v>
      </c>
      <c r="AB41" s="1816">
        <f t="shared" si="4"/>
        <v>1</v>
      </c>
      <c r="AC41" s="1816">
        <f t="shared" si="5"/>
        <v>1</v>
      </c>
    </row>
    <row r="42" spans="1:29" ht="15">
      <c r="A42" s="473"/>
      <c r="B42" s="423" t="s">
        <v>2669</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224"/>
      <c r="Q42" s="1815" t="str">
        <f t="shared" si="11"/>
        <v>内部装修</v>
      </c>
      <c r="R42" s="775" t="s">
        <v>17</v>
      </c>
      <c r="S42" s="776">
        <f t="shared" si="12"/>
        <v>100</v>
      </c>
      <c r="T42" s="775" t="s">
        <v>17</v>
      </c>
      <c r="U42" s="776">
        <f t="shared" si="13"/>
        <v>100</v>
      </c>
      <c r="V42" s="775" t="s">
        <v>17</v>
      </c>
      <c r="W42" s="776">
        <f t="shared" si="14"/>
        <v>100</v>
      </c>
      <c r="X42" s="1818"/>
      <c r="Y42" s="3226"/>
      <c r="Z42" s="1819" t="str">
        <f t="shared" si="15"/>
        <v>内部装修</v>
      </c>
      <c r="AA42" s="1816">
        <f t="shared" si="3"/>
        <v>1</v>
      </c>
      <c r="AB42" s="1816">
        <f t="shared" si="4"/>
        <v>1</v>
      </c>
      <c r="AC42" s="1816">
        <f t="shared" si="5"/>
        <v>1</v>
      </c>
    </row>
    <row r="43" spans="1:29" ht="15">
      <c r="A43" s="473"/>
      <c r="B43" s="423" t="s">
        <v>2577</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224"/>
      <c r="Q43" s="1815" t="str">
        <f t="shared" si="11"/>
        <v>内部装修维护情况</v>
      </c>
      <c r="R43" s="775" t="s">
        <v>17</v>
      </c>
      <c r="S43" s="776">
        <f t="shared" si="12"/>
        <v>100</v>
      </c>
      <c r="T43" s="775" t="s">
        <v>17</v>
      </c>
      <c r="U43" s="776">
        <f t="shared" si="13"/>
        <v>100</v>
      </c>
      <c r="V43" s="775" t="s">
        <v>17</v>
      </c>
      <c r="W43" s="776">
        <f t="shared" si="14"/>
        <v>100</v>
      </c>
      <c r="X43" s="1818"/>
      <c r="Y43" s="3226"/>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24"/>
      <c r="Q44" s="1800">
        <f t="shared" si="11"/>
        <v>111</v>
      </c>
      <c r="R44" s="771" t="s">
        <v>17</v>
      </c>
      <c r="S44" s="772">
        <f t="shared" si="12"/>
        <v>100</v>
      </c>
      <c r="T44" s="771" t="s">
        <v>17</v>
      </c>
      <c r="U44" s="772">
        <f t="shared" si="13"/>
        <v>100</v>
      </c>
      <c r="V44" s="771" t="s">
        <v>17</v>
      </c>
      <c r="W44" s="772">
        <f t="shared" si="14"/>
        <v>100</v>
      </c>
      <c r="X44" s="773"/>
      <c r="Y44" s="3226"/>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24"/>
      <c r="Q45" s="1815">
        <f t="shared" si="11"/>
        <v>111</v>
      </c>
      <c r="R45" s="775" t="s">
        <v>17</v>
      </c>
      <c r="S45" s="776">
        <f t="shared" si="12"/>
        <v>100</v>
      </c>
      <c r="T45" s="775" t="s">
        <v>17</v>
      </c>
      <c r="U45" s="776">
        <f t="shared" si="13"/>
        <v>100</v>
      </c>
      <c r="V45" s="775" t="s">
        <v>17</v>
      </c>
      <c r="W45" s="776">
        <f t="shared" si="14"/>
        <v>100</v>
      </c>
      <c r="X45" s="1818"/>
      <c r="Y45" s="3226"/>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25"/>
      <c r="Q46" s="1815">
        <f t="shared" si="11"/>
        <v>111</v>
      </c>
      <c r="R46" s="775" t="s">
        <v>17</v>
      </c>
      <c r="S46" s="776">
        <f t="shared" si="12"/>
        <v>100</v>
      </c>
      <c r="T46" s="775" t="s">
        <v>17</v>
      </c>
      <c r="U46" s="776">
        <f t="shared" si="13"/>
        <v>100</v>
      </c>
      <c r="V46" s="775" t="s">
        <v>17</v>
      </c>
      <c r="W46" s="776">
        <f t="shared" si="14"/>
        <v>100</v>
      </c>
      <c r="X46" s="1818"/>
      <c r="Y46" s="3227"/>
      <c r="Z46" s="1819">
        <f t="shared" si="15"/>
        <v>111</v>
      </c>
      <c r="AA46" s="1816">
        <f t="shared" si="3"/>
        <v>1</v>
      </c>
      <c r="AB46" s="1816">
        <f t="shared" si="4"/>
        <v>1</v>
      </c>
      <c r="AC46" s="1816">
        <f t="shared" si="5"/>
        <v>1</v>
      </c>
    </row>
    <row r="47" spans="1:29" ht="15">
      <c r="A47" s="480" t="s">
        <v>2578</v>
      </c>
      <c r="B47" s="481"/>
      <c r="C47" s="1411" t="s">
        <v>1</v>
      </c>
      <c r="D47" s="1412"/>
      <c r="E47" s="1413"/>
      <c r="F47" s="1414"/>
      <c r="G47" s="1415"/>
      <c r="H47" s="1416"/>
      <c r="I47" s="1413"/>
      <c r="J47" s="1416"/>
      <c r="K47" s="784"/>
      <c r="L47" s="1147"/>
      <c r="M47" s="1148"/>
      <c r="N47" s="1135"/>
      <c r="O47" s="1148"/>
      <c r="P47" s="3214" t="str">
        <f>A47</f>
        <v>成交单价（元/平方米）</v>
      </c>
      <c r="Q47" s="3214"/>
      <c r="R47" s="3248">
        <f>E47</f>
        <v>0</v>
      </c>
      <c r="S47" s="3248"/>
      <c r="T47" s="3248">
        <f>G47</f>
        <v>0</v>
      </c>
      <c r="U47" s="3248"/>
      <c r="V47" s="3248">
        <f>I47</f>
        <v>0</v>
      </c>
      <c r="W47" s="3248"/>
      <c r="X47" s="760"/>
      <c r="Y47" s="782"/>
      <c r="Z47" s="760"/>
      <c r="AA47" s="760"/>
      <c r="AB47" s="760"/>
      <c r="AC47" s="760"/>
    </row>
    <row r="48" spans="1:29" ht="15.75" thickBot="1">
      <c r="A48" s="487" t="s">
        <v>2670</v>
      </c>
      <c r="B48" s="488"/>
      <c r="C48" s="1417" t="e">
        <f>R49</f>
        <v>#DIV/0!</v>
      </c>
      <c r="D48" s="1418"/>
      <c r="E48" s="1419" t="e">
        <f>R48</f>
        <v>#DIV/0!</v>
      </c>
      <c r="F48" s="1419"/>
      <c r="G48" s="1417" t="e">
        <f>T48</f>
        <v>#DIV/0!</v>
      </c>
      <c r="H48" s="1418"/>
      <c r="I48" s="1419" t="e">
        <f>V48</f>
        <v>#DIV/0!</v>
      </c>
      <c r="J48" s="1418"/>
      <c r="K48" s="785"/>
      <c r="L48" s="1147"/>
      <c r="M48" s="1148"/>
      <c r="N48" s="1135"/>
      <c r="O48" s="1148"/>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60"/>
      <c r="Y48" s="760"/>
      <c r="Z48" s="760"/>
      <c r="AA48" s="760"/>
      <c r="AB48" s="760"/>
      <c r="AC48" s="760"/>
    </row>
    <row r="49" spans="1:29" ht="15.75" thickBot="1">
      <c r="A49" s="493" t="s">
        <v>2671</v>
      </c>
      <c r="B49" s="494"/>
      <c r="C49" s="1421" t="e">
        <f>R49</f>
        <v>#DIV/0!</v>
      </c>
      <c r="D49" s="1421"/>
      <c r="E49" s="1421"/>
      <c r="F49" s="1421"/>
      <c r="G49" s="1421"/>
      <c r="H49" s="1421"/>
      <c r="I49" s="1421"/>
      <c r="J49" s="1421"/>
      <c r="K49" s="786"/>
      <c r="L49" s="1147"/>
      <c r="M49" s="1148"/>
      <c r="N49" s="1135"/>
      <c r="O49" s="1148"/>
      <c r="P49" s="3292" t="str">
        <f>A49</f>
        <v>估价对象XX用房的比较价值（楼面单价，元/平方米）</v>
      </c>
      <c r="Q49" s="3293"/>
      <c r="R49" s="3294" t="e">
        <f>IF(F1="售价",ROUND(AVERAGE(R48:V48),0),ROUND(AVERAGE(R48:V48),1))</f>
        <v>#DIV/0!</v>
      </c>
      <c r="S49" s="3294"/>
      <c r="T49" s="3294"/>
      <c r="U49" s="3294"/>
      <c r="V49" s="3294"/>
      <c r="W49" s="329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2549</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2551</v>
      </c>
      <c r="B61" s="511"/>
      <c r="C61" s="523" t="s">
        <v>2653</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2559</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2564</v>
      </c>
      <c r="B100" s="529" t="s">
        <v>2682</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2617</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2619</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2683</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2684</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2685</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2686</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2703</v>
      </c>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IF(C2="——",ROUND(C43*D3/10000,0),ROUND(C43*D3/10000,0)-D2)</f>
        <v>#DIV/0!</v>
      </c>
      <c r="C2" s="2593"/>
      <c r="D2" s="1128"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2330</v>
      </c>
      <c r="B3" s="610" t="e">
        <f ca="1">IF(C2="——",C43,ROUND(B2*10000/D3,0))</f>
        <v>#DIV/0!</v>
      </c>
      <c r="C3" s="401" t="s">
        <v>2645</v>
      </c>
      <c r="D3" s="400">
        <f>IF(D1="",'数据-汇总表'!E3,SUMIF('数据-汇总表'!$C19:$C33,D1,'数据-汇总表'!$E19:$E33))</f>
        <v>1952.76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1" t="s">
        <v>2647</v>
      </c>
      <c r="D4" s="3232"/>
      <c r="E4" s="3233" t="s">
        <v>2648</v>
      </c>
      <c r="F4" s="3234"/>
      <c r="G4" s="3231" t="s">
        <v>2649</v>
      </c>
      <c r="H4" s="3232"/>
      <c r="I4" s="3231" t="s">
        <v>2650</v>
      </c>
      <c r="J4" s="3232"/>
      <c r="K4" s="611" t="s">
        <v>2651</v>
      </c>
      <c r="L4" s="1134"/>
      <c r="M4" s="1135"/>
      <c r="N4" s="1135"/>
      <c r="O4" s="1135"/>
      <c r="P4" s="3296" t="s">
        <v>2652</v>
      </c>
      <c r="Q4" s="3297"/>
      <c r="R4" s="3300" t="s">
        <v>2648</v>
      </c>
      <c r="S4" s="3301"/>
      <c r="T4" s="3300" t="s">
        <v>2649</v>
      </c>
      <c r="U4" s="3301"/>
      <c r="V4" s="3248" t="s">
        <v>2650</v>
      </c>
      <c r="W4" s="3248"/>
      <c r="X4" s="1818"/>
      <c r="Y4" s="3300" t="s">
        <v>2652</v>
      </c>
      <c r="Z4" s="3301"/>
      <c r="AA4" s="3295" t="s">
        <v>2648</v>
      </c>
      <c r="AB4" s="3261" t="s">
        <v>2649</v>
      </c>
      <c r="AC4" s="3295" t="s">
        <v>2650</v>
      </c>
    </row>
    <row r="5" spans="1:29" ht="15">
      <c r="A5" s="405"/>
      <c r="B5" s="406"/>
      <c r="C5" s="3257" t="s">
        <v>2543</v>
      </c>
      <c r="D5" s="3252"/>
      <c r="E5" s="3302" t="s">
        <v>2544</v>
      </c>
      <c r="F5" s="3264"/>
      <c r="G5" s="3257" t="s">
        <v>2545</v>
      </c>
      <c r="H5" s="3252"/>
      <c r="I5" s="3257" t="s">
        <v>2546</v>
      </c>
      <c r="J5" s="3252"/>
      <c r="K5" s="611"/>
      <c r="L5" s="1134"/>
      <c r="M5" s="1135"/>
      <c r="N5" s="1135"/>
      <c r="O5" s="1135"/>
      <c r="P5" s="3298"/>
      <c r="Q5" s="3238"/>
      <c r="R5" s="3243"/>
      <c r="S5" s="3244"/>
      <c r="T5" s="3243"/>
      <c r="U5" s="3244"/>
      <c r="V5" s="3248"/>
      <c r="W5" s="3248"/>
      <c r="X5" s="1818"/>
      <c r="Y5" s="3243"/>
      <c r="Z5" s="3244"/>
      <c r="AA5" s="3261"/>
      <c r="AB5" s="3261"/>
      <c r="AC5" s="3261"/>
    </row>
    <row r="6" spans="1:29" ht="15.75" thickBot="1">
      <c r="A6" s="407"/>
      <c r="B6" s="408"/>
      <c r="C6" s="3249" t="s">
        <v>2547</v>
      </c>
      <c r="D6" s="3250"/>
      <c r="E6" s="3258" t="s">
        <v>2547</v>
      </c>
      <c r="F6" s="3259"/>
      <c r="G6" s="3249" t="s">
        <v>2547</v>
      </c>
      <c r="H6" s="3250"/>
      <c r="I6" s="3249" t="s">
        <v>2547</v>
      </c>
      <c r="J6" s="3250"/>
      <c r="K6" s="611" t="s">
        <v>2548</v>
      </c>
      <c r="L6" s="1134"/>
      <c r="M6" s="1135"/>
      <c r="N6" s="1135"/>
      <c r="O6" s="1135"/>
      <c r="P6" s="3299"/>
      <c r="Q6" s="3240"/>
      <c r="R6" s="3243"/>
      <c r="S6" s="3244"/>
      <c r="T6" s="3245"/>
      <c r="U6" s="3246"/>
      <c r="V6" s="3248"/>
      <c r="W6" s="3248"/>
      <c r="X6" s="1818"/>
      <c r="Y6" s="3245"/>
      <c r="Z6" s="3246"/>
      <c r="AA6" s="3262"/>
      <c r="AB6" s="3262"/>
      <c r="AC6" s="3262"/>
    </row>
    <row r="7" spans="1:29" s="117" customFormat="1" ht="15.75" thickBot="1">
      <c r="A7" s="409" t="s">
        <v>2549</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55" t="s">
        <v>2550</v>
      </c>
      <c r="Q7" s="3256"/>
      <c r="R7" s="771" t="s">
        <v>17</v>
      </c>
      <c r="S7" s="772">
        <f t="shared" ref="S7:S15" si="0">F7</f>
        <v>0</v>
      </c>
      <c r="T7" s="771" t="s">
        <v>17</v>
      </c>
      <c r="U7" s="772">
        <f t="shared" ref="U7:U15" si="1">H7</f>
        <v>0</v>
      </c>
      <c r="V7" s="771" t="s">
        <v>17</v>
      </c>
      <c r="W7" s="772">
        <f t="shared" ref="W7:W15" si="2">J7</f>
        <v>0</v>
      </c>
      <c r="X7" s="773"/>
      <c r="Y7" s="3255" t="s">
        <v>2550</v>
      </c>
      <c r="Z7" s="3254"/>
      <c r="AA7" s="774" t="e">
        <f>D7/F7</f>
        <v>#DIV/0!</v>
      </c>
      <c r="AB7" s="774" t="e">
        <f>D7/H7</f>
        <v>#DIV/0!</v>
      </c>
      <c r="AC7" s="774" t="e">
        <f>D7/J7</f>
        <v>#DIV/0!</v>
      </c>
    </row>
    <row r="8" spans="1:29" s="117" customFormat="1" ht="15.75" thickBot="1">
      <c r="A8" s="409" t="s">
        <v>2551</v>
      </c>
      <c r="B8" s="410"/>
      <c r="C8" s="415" t="s">
        <v>2552</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55" t="s">
        <v>2553</v>
      </c>
      <c r="Q8" s="3254"/>
      <c r="R8" s="771" t="s">
        <v>17</v>
      </c>
      <c r="S8" s="772">
        <f t="shared" si="0"/>
        <v>0</v>
      </c>
      <c r="T8" s="771" t="s">
        <v>17</v>
      </c>
      <c r="U8" s="772">
        <f t="shared" si="1"/>
        <v>0</v>
      </c>
      <c r="V8" s="771" t="s">
        <v>17</v>
      </c>
      <c r="W8" s="772">
        <f t="shared" si="2"/>
        <v>0</v>
      </c>
      <c r="X8" s="773"/>
      <c r="Y8" s="3255" t="s">
        <v>2553</v>
      </c>
      <c r="Z8" s="3254"/>
      <c r="AA8" s="774" t="e">
        <f t="shared" ref="AA8:AA40" si="3">D8/F8</f>
        <v>#DIV/0!</v>
      </c>
      <c r="AB8" s="774" t="e">
        <f t="shared" ref="AB8:AB40" si="4">D8/H8</f>
        <v>#DIV/0!</v>
      </c>
      <c r="AC8" s="774" t="e">
        <f t="shared" ref="AC8:AC40" si="5">D8/J8</f>
        <v>#DIV/0!</v>
      </c>
    </row>
    <row r="9" spans="1:29" s="117" customFormat="1">
      <c r="A9" s="416" t="s">
        <v>2554</v>
      </c>
      <c r="B9" s="71" t="s">
        <v>2555</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14" t="s">
        <v>2556</v>
      </c>
      <c r="Q9" s="1800" t="str">
        <f t="shared" ref="Q9:Q15" si="6">B9</f>
        <v>用途</v>
      </c>
      <c r="R9" s="771" t="s">
        <v>17</v>
      </c>
      <c r="S9" s="772">
        <f t="shared" si="0"/>
        <v>100</v>
      </c>
      <c r="T9" s="771" t="s">
        <v>17</v>
      </c>
      <c r="U9" s="772">
        <f t="shared" si="1"/>
        <v>100</v>
      </c>
      <c r="V9" s="771" t="s">
        <v>17</v>
      </c>
      <c r="W9" s="772">
        <f t="shared" si="2"/>
        <v>100</v>
      </c>
      <c r="X9" s="773"/>
      <c r="Y9" s="3068"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14"/>
      <c r="Q10" s="1800" t="str">
        <f t="shared" si="6"/>
        <v>土地使用年限（年）</v>
      </c>
      <c r="R10" s="771" t="s">
        <v>17</v>
      </c>
      <c r="S10" s="772">
        <f t="shared" si="0"/>
        <v>100</v>
      </c>
      <c r="T10" s="771" t="s">
        <v>17</v>
      </c>
      <c r="U10" s="772">
        <f t="shared" si="1"/>
        <v>100</v>
      </c>
      <c r="V10" s="771" t="s">
        <v>17</v>
      </c>
      <c r="W10" s="772">
        <f t="shared" si="2"/>
        <v>100</v>
      </c>
      <c r="X10" s="773"/>
      <c r="Y10" s="3068"/>
      <c r="Z10" s="55" t="str">
        <f t="shared" si="7"/>
        <v>土地使用年限（年）</v>
      </c>
      <c r="AA10" s="774">
        <f t="shared" si="3"/>
        <v>1</v>
      </c>
      <c r="AB10" s="774">
        <f t="shared" si="4"/>
        <v>1</v>
      </c>
      <c r="AC10" s="774">
        <f t="shared" si="5"/>
        <v>1</v>
      </c>
    </row>
    <row r="11" spans="1:29" ht="15">
      <c r="A11" s="429"/>
      <c r="B11" s="423" t="s">
        <v>2559</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14"/>
      <c r="Q11" s="1800" t="str">
        <f t="shared" si="6"/>
        <v>容积率</v>
      </c>
      <c r="R11" s="771" t="s">
        <v>17</v>
      </c>
      <c r="S11" s="772" t="e">
        <f t="shared" si="0"/>
        <v>#N/A</v>
      </c>
      <c r="T11" s="771" t="s">
        <v>17</v>
      </c>
      <c r="U11" s="772" t="e">
        <f t="shared" si="1"/>
        <v>#N/A</v>
      </c>
      <c r="V11" s="771" t="s">
        <v>17</v>
      </c>
      <c r="W11" s="772" t="e">
        <f t="shared" si="2"/>
        <v>#N/A</v>
      </c>
      <c r="X11" s="773"/>
      <c r="Y11" s="3068"/>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214"/>
      <c r="Q12" s="1800">
        <f t="shared" si="6"/>
        <v>111</v>
      </c>
      <c r="R12" s="771" t="s">
        <v>17</v>
      </c>
      <c r="S12" s="772">
        <f t="shared" si="0"/>
        <v>100</v>
      </c>
      <c r="T12" s="771" t="s">
        <v>17</v>
      </c>
      <c r="U12" s="772">
        <f t="shared" si="1"/>
        <v>100</v>
      </c>
      <c r="V12" s="771" t="s">
        <v>17</v>
      </c>
      <c r="W12" s="772">
        <f t="shared" si="2"/>
        <v>100</v>
      </c>
      <c r="X12" s="773"/>
      <c r="Y12" s="3068"/>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214"/>
      <c r="Q13" s="1800">
        <f t="shared" si="6"/>
        <v>111</v>
      </c>
      <c r="R13" s="771" t="s">
        <v>17</v>
      </c>
      <c r="S13" s="772">
        <f t="shared" si="0"/>
        <v>100</v>
      </c>
      <c r="T13" s="771" t="s">
        <v>17</v>
      </c>
      <c r="U13" s="772">
        <f t="shared" si="1"/>
        <v>100</v>
      </c>
      <c r="V13" s="771" t="s">
        <v>17</v>
      </c>
      <c r="W13" s="772">
        <f t="shared" si="2"/>
        <v>100</v>
      </c>
      <c r="X13" s="773"/>
      <c r="Y13" s="3068"/>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214"/>
      <c r="Q14" s="1800">
        <f t="shared" si="6"/>
        <v>111</v>
      </c>
      <c r="R14" s="771" t="s">
        <v>17</v>
      </c>
      <c r="S14" s="772">
        <f t="shared" si="0"/>
        <v>100</v>
      </c>
      <c r="T14" s="771" t="s">
        <v>17</v>
      </c>
      <c r="U14" s="772">
        <f t="shared" si="1"/>
        <v>100</v>
      </c>
      <c r="V14" s="771" t="s">
        <v>17</v>
      </c>
      <c r="W14" s="772">
        <f t="shared" si="2"/>
        <v>100</v>
      </c>
      <c r="X14" s="773"/>
      <c r="Y14" s="3068"/>
      <c r="Z14" s="55">
        <f t="shared" si="7"/>
        <v>111</v>
      </c>
      <c r="AA14" s="774">
        <f t="shared" si="3"/>
        <v>1</v>
      </c>
      <c r="AB14" s="774">
        <f t="shared" si="4"/>
        <v>1</v>
      </c>
      <c r="AC14" s="774">
        <f t="shared" si="5"/>
        <v>1</v>
      </c>
    </row>
    <row r="15" spans="1:29" ht="57">
      <c r="A15" s="441" t="s">
        <v>2560</v>
      </c>
      <c r="B15" s="69" t="s">
        <v>2704</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21" t="s">
        <v>2561</v>
      </c>
      <c r="Q15" s="1815" t="str">
        <f t="shared" si="6"/>
        <v>产业集聚程度</v>
      </c>
      <c r="R15" s="775" t="s">
        <v>17</v>
      </c>
      <c r="S15" s="776">
        <f t="shared" si="0"/>
        <v>100</v>
      </c>
      <c r="T15" s="775" t="s">
        <v>17</v>
      </c>
      <c r="U15" s="776">
        <f t="shared" si="1"/>
        <v>100</v>
      </c>
      <c r="V15" s="775" t="s">
        <v>17</v>
      </c>
      <c r="W15" s="776">
        <f t="shared" si="2"/>
        <v>100</v>
      </c>
      <c r="X15" s="1818"/>
      <c r="Y15" s="3221" t="s">
        <v>2561</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22"/>
      <c r="Q16" s="1815"/>
      <c r="R16" s="775"/>
      <c r="S16" s="776"/>
      <c r="T16" s="775"/>
      <c r="U16" s="776"/>
      <c r="V16" s="775"/>
      <c r="W16" s="776"/>
      <c r="X16" s="1818"/>
      <c r="Y16" s="3222"/>
      <c r="Z16" s="1819"/>
      <c r="AA16" s="1816">
        <v>1</v>
      </c>
      <c r="AB16" s="1816">
        <v>1</v>
      </c>
      <c r="AC16" s="1816">
        <v>1</v>
      </c>
    </row>
    <row r="17" spans="1:29" ht="85.5">
      <c r="A17" s="429"/>
      <c r="B17" s="452" t="s">
        <v>2097</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22"/>
      <c r="Q17" s="1815" t="str">
        <f>B17</f>
        <v>交通便捷度</v>
      </c>
      <c r="R17" s="775" t="s">
        <v>17</v>
      </c>
      <c r="S17" s="776">
        <f>F17</f>
        <v>100</v>
      </c>
      <c r="T17" s="775" t="s">
        <v>17</v>
      </c>
      <c r="U17" s="776">
        <f>H17</f>
        <v>100</v>
      </c>
      <c r="V17" s="775" t="s">
        <v>17</v>
      </c>
      <c r="W17" s="776">
        <f>J17</f>
        <v>100</v>
      </c>
      <c r="X17" s="1818"/>
      <c r="Y17" s="3222"/>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222"/>
      <c r="Q18" s="1815"/>
      <c r="R18" s="775"/>
      <c r="S18" s="776"/>
      <c r="T18" s="775"/>
      <c r="U18" s="776"/>
      <c r="V18" s="775"/>
      <c r="W18" s="776"/>
      <c r="X18" s="1818"/>
      <c r="Y18" s="3222"/>
      <c r="Z18" s="1819"/>
      <c r="AA18" s="1816">
        <v>1</v>
      </c>
      <c r="AB18" s="1816">
        <v>1</v>
      </c>
      <c r="AC18" s="1816">
        <v>1</v>
      </c>
    </row>
    <row r="19" spans="1:29" ht="42.75">
      <c r="A19" s="429"/>
      <c r="B19" s="452" t="s">
        <v>2689</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22"/>
      <c r="Q19" s="1815" t="str">
        <f>B19</f>
        <v>公共配套设施</v>
      </c>
      <c r="R19" s="775" t="s">
        <v>17</v>
      </c>
      <c r="S19" s="776">
        <f>F19</f>
        <v>100</v>
      </c>
      <c r="T19" s="775" t="s">
        <v>17</v>
      </c>
      <c r="U19" s="776">
        <f>H19</f>
        <v>100</v>
      </c>
      <c r="V19" s="775" t="s">
        <v>17</v>
      </c>
      <c r="W19" s="776">
        <f>J19</f>
        <v>100</v>
      </c>
      <c r="X19" s="1818"/>
      <c r="Y19" s="3222"/>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222"/>
      <c r="Q20" s="1815"/>
      <c r="R20" s="775"/>
      <c r="S20" s="776"/>
      <c r="T20" s="775"/>
      <c r="U20" s="776"/>
      <c r="V20" s="775"/>
      <c r="W20" s="776"/>
      <c r="X20" s="1818"/>
      <c r="Y20" s="3222"/>
      <c r="Z20" s="1819"/>
      <c r="AA20" s="1816">
        <v>1</v>
      </c>
      <c r="AB20" s="1816">
        <v>1</v>
      </c>
      <c r="AC20" s="1816">
        <v>1</v>
      </c>
    </row>
    <row r="21" spans="1:29" ht="28.5">
      <c r="A21" s="429"/>
      <c r="B21" s="1388" t="s">
        <v>2690</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22"/>
      <c r="Q21" s="1815" t="str">
        <f>B21</f>
        <v>基础设施水平</v>
      </c>
      <c r="R21" s="775" t="s">
        <v>17</v>
      </c>
      <c r="S21" s="776">
        <f>F21</f>
        <v>100</v>
      </c>
      <c r="T21" s="775" t="s">
        <v>17</v>
      </c>
      <c r="U21" s="776">
        <f>H21</f>
        <v>100</v>
      </c>
      <c r="V21" s="775" t="s">
        <v>17</v>
      </c>
      <c r="W21" s="776">
        <f>J21</f>
        <v>100</v>
      </c>
      <c r="X21" s="1818"/>
      <c r="Y21" s="3222"/>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222"/>
      <c r="Q22" s="1815"/>
      <c r="R22" s="775"/>
      <c r="S22" s="776"/>
      <c r="T22" s="775"/>
      <c r="U22" s="776"/>
      <c r="V22" s="775"/>
      <c r="W22" s="776"/>
      <c r="X22" s="1818"/>
      <c r="Y22" s="3222"/>
      <c r="Z22" s="1819"/>
      <c r="AA22" s="1816">
        <v>1</v>
      </c>
      <c r="AB22" s="1816">
        <v>1</v>
      </c>
      <c r="AC22" s="1816">
        <v>1</v>
      </c>
    </row>
    <row r="23" spans="1:29" ht="71.25">
      <c r="A23" s="429"/>
      <c r="B23" s="452" t="s">
        <v>2691</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22"/>
      <c r="Q23" s="1815" t="str">
        <f>B23</f>
        <v>环境质量</v>
      </c>
      <c r="R23" s="775" t="s">
        <v>17</v>
      </c>
      <c r="S23" s="776">
        <f>F23</f>
        <v>100</v>
      </c>
      <c r="T23" s="775" t="s">
        <v>17</v>
      </c>
      <c r="U23" s="776">
        <f>H23</f>
        <v>100</v>
      </c>
      <c r="V23" s="775" t="s">
        <v>17</v>
      </c>
      <c r="W23" s="776">
        <f>J23</f>
        <v>100</v>
      </c>
      <c r="X23" s="1818"/>
      <c r="Y23" s="3222"/>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222"/>
      <c r="Q24" s="1815"/>
      <c r="R24" s="775"/>
      <c r="S24" s="776"/>
      <c r="T24" s="775"/>
      <c r="U24" s="776"/>
      <c r="V24" s="775"/>
      <c r="W24" s="776"/>
      <c r="X24" s="1818"/>
      <c r="Y24" s="3222"/>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22"/>
      <c r="Q25" s="1815">
        <f>B25</f>
        <v>111</v>
      </c>
      <c r="R25" s="775" t="s">
        <v>17</v>
      </c>
      <c r="S25" s="776">
        <f>F25</f>
        <v>100</v>
      </c>
      <c r="T25" s="775" t="s">
        <v>17</v>
      </c>
      <c r="U25" s="776">
        <f>H25</f>
        <v>100</v>
      </c>
      <c r="V25" s="775" t="s">
        <v>17</v>
      </c>
      <c r="W25" s="776">
        <f>J25</f>
        <v>100</v>
      </c>
      <c r="X25" s="1818"/>
      <c r="Y25" s="3222"/>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22"/>
      <c r="Q26" s="1815">
        <f t="shared" ref="Q26:Q40" si="11">B26</f>
        <v>111</v>
      </c>
      <c r="R26" s="775" t="s">
        <v>17</v>
      </c>
      <c r="S26" s="776">
        <f>F26</f>
        <v>100</v>
      </c>
      <c r="T26" s="775" t="s">
        <v>17</v>
      </c>
      <c r="U26" s="776">
        <f>H26</f>
        <v>100</v>
      </c>
      <c r="V26" s="775" t="s">
        <v>17</v>
      </c>
      <c r="W26" s="776">
        <f>J26</f>
        <v>100</v>
      </c>
      <c r="X26" s="1818"/>
      <c r="Y26" s="3222"/>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22"/>
      <c r="Q27" s="1800">
        <f t="shared" si="11"/>
        <v>111</v>
      </c>
      <c r="R27" s="771" t="s">
        <v>17</v>
      </c>
      <c r="S27" s="772">
        <f>F27</f>
        <v>100</v>
      </c>
      <c r="T27" s="771" t="s">
        <v>17</v>
      </c>
      <c r="U27" s="772">
        <f>H27</f>
        <v>100</v>
      </c>
      <c r="V27" s="771" t="s">
        <v>17</v>
      </c>
      <c r="W27" s="772">
        <f>J27</f>
        <v>100</v>
      </c>
      <c r="X27" s="773"/>
      <c r="Y27" s="3222"/>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22"/>
      <c r="Q28" s="1815">
        <f t="shared" si="11"/>
        <v>111</v>
      </c>
      <c r="R28" s="775" t="s">
        <v>17</v>
      </c>
      <c r="S28" s="776">
        <f t="shared" ref="S28:S40" si="12">F28</f>
        <v>100</v>
      </c>
      <c r="T28" s="775" t="s">
        <v>17</v>
      </c>
      <c r="U28" s="776">
        <f t="shared" ref="U28:U40" si="13">H28</f>
        <v>100</v>
      </c>
      <c r="V28" s="775" t="s">
        <v>17</v>
      </c>
      <c r="W28" s="776">
        <f t="shared" ref="W28:W40" si="14">J28</f>
        <v>100</v>
      </c>
      <c r="X28" s="1818"/>
      <c r="Y28" s="3222"/>
      <c r="Z28" s="1819">
        <f t="shared" ref="Z28:Z40" si="15">Q28</f>
        <v>111</v>
      </c>
      <c r="AA28" s="1816">
        <f t="shared" si="3"/>
        <v>1</v>
      </c>
      <c r="AB28" s="1816">
        <f t="shared" si="4"/>
        <v>1</v>
      </c>
      <c r="AC28" s="1816">
        <f t="shared" si="5"/>
        <v>1</v>
      </c>
    </row>
    <row r="29" spans="1:29" ht="15">
      <c r="A29" s="467" t="s">
        <v>2564</v>
      </c>
      <c r="B29" s="71" t="s">
        <v>2694</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303" t="s">
        <v>2566</v>
      </c>
      <c r="Q29" s="1815" t="str">
        <f t="shared" si="11"/>
        <v>建筑类型</v>
      </c>
      <c r="R29" s="775" t="s">
        <v>17</v>
      </c>
      <c r="S29" s="776">
        <f t="shared" si="12"/>
        <v>100</v>
      </c>
      <c r="T29" s="775" t="s">
        <v>17</v>
      </c>
      <c r="U29" s="776">
        <f t="shared" si="13"/>
        <v>100</v>
      </c>
      <c r="V29" s="775" t="s">
        <v>17</v>
      </c>
      <c r="W29" s="776">
        <f t="shared" si="14"/>
        <v>100</v>
      </c>
      <c r="X29" s="1818"/>
      <c r="Y29" s="3226" t="s">
        <v>2566</v>
      </c>
      <c r="Z29" s="1819" t="str">
        <f t="shared" si="15"/>
        <v>建筑类型</v>
      </c>
      <c r="AA29" s="1816">
        <f t="shared" si="3"/>
        <v>1</v>
      </c>
      <c r="AB29" s="1816">
        <f t="shared" si="4"/>
        <v>1</v>
      </c>
      <c r="AC29" s="1816">
        <f t="shared" si="5"/>
        <v>1</v>
      </c>
    </row>
    <row r="30" spans="1:29" s="472" customFormat="1" ht="15">
      <c r="A30" s="469"/>
      <c r="B30" s="423" t="s">
        <v>2567</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26"/>
      <c r="Q30" s="777" t="str">
        <f t="shared" si="11"/>
        <v>项目建筑规模</v>
      </c>
      <c r="R30" s="778" t="s">
        <v>17</v>
      </c>
      <c r="S30" s="779" t="e">
        <f t="shared" si="12"/>
        <v>#N/A</v>
      </c>
      <c r="T30" s="778" t="s">
        <v>17</v>
      </c>
      <c r="U30" s="779" t="e">
        <f t="shared" si="13"/>
        <v>#N/A</v>
      </c>
      <c r="V30" s="778" t="s">
        <v>17</v>
      </c>
      <c r="W30" s="779" t="e">
        <f t="shared" si="14"/>
        <v>#N/A</v>
      </c>
      <c r="X30" s="780"/>
      <c r="Y30" s="3226"/>
      <c r="Z30" s="781" t="str">
        <f t="shared" si="15"/>
        <v>项目建筑规模</v>
      </c>
      <c r="AA30" s="1816" t="e">
        <f t="shared" si="3"/>
        <v>#N/A</v>
      </c>
      <c r="AB30" s="1816" t="e">
        <f t="shared" si="4"/>
        <v>#N/A</v>
      </c>
      <c r="AC30" s="1816" t="e">
        <f t="shared" si="5"/>
        <v>#N/A</v>
      </c>
    </row>
    <row r="31" spans="1:29" ht="15">
      <c r="A31" s="473"/>
      <c r="B31" s="423" t="s">
        <v>2568</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26"/>
      <c r="Q31" s="1815" t="str">
        <f t="shared" si="11"/>
        <v>建筑结构</v>
      </c>
      <c r="R31" s="775" t="s">
        <v>17</v>
      </c>
      <c r="S31" s="776">
        <f t="shared" si="12"/>
        <v>100</v>
      </c>
      <c r="T31" s="775" t="s">
        <v>17</v>
      </c>
      <c r="U31" s="776">
        <f t="shared" si="13"/>
        <v>100</v>
      </c>
      <c r="V31" s="775" t="s">
        <v>17</v>
      </c>
      <c r="W31" s="776">
        <f t="shared" si="14"/>
        <v>100</v>
      </c>
      <c r="X31" s="1818"/>
      <c r="Y31" s="3226"/>
      <c r="Z31" s="1819" t="str">
        <f t="shared" si="15"/>
        <v>建筑结构</v>
      </c>
      <c r="AA31" s="1816">
        <f t="shared" si="3"/>
        <v>1</v>
      </c>
      <c r="AB31" s="1816">
        <f t="shared" si="4"/>
        <v>1</v>
      </c>
      <c r="AC31" s="1816">
        <f t="shared" si="5"/>
        <v>1</v>
      </c>
    </row>
    <row r="32" spans="1:29" ht="15">
      <c r="A32" s="473"/>
      <c r="B32" s="423" t="s">
        <v>2662</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26"/>
      <c r="Q32" s="1815" t="str">
        <f t="shared" si="11"/>
        <v>公共部分装修</v>
      </c>
      <c r="R32" s="775" t="s">
        <v>17</v>
      </c>
      <c r="S32" s="776">
        <f t="shared" si="12"/>
        <v>100</v>
      </c>
      <c r="T32" s="775" t="s">
        <v>17</v>
      </c>
      <c r="U32" s="776">
        <f t="shared" si="13"/>
        <v>100</v>
      </c>
      <c r="V32" s="775" t="s">
        <v>17</v>
      </c>
      <c r="W32" s="776">
        <f t="shared" si="14"/>
        <v>100</v>
      </c>
      <c r="X32" s="1818"/>
      <c r="Y32" s="3226"/>
      <c r="Z32" s="1819" t="str">
        <f t="shared" si="15"/>
        <v>公共部分装修</v>
      </c>
      <c r="AA32" s="1816">
        <f t="shared" si="3"/>
        <v>1</v>
      </c>
      <c r="AB32" s="1816">
        <f t="shared" si="4"/>
        <v>1</v>
      </c>
      <c r="AC32" s="1816">
        <f t="shared" si="5"/>
        <v>1</v>
      </c>
    </row>
    <row r="33" spans="1:29" ht="15">
      <c r="A33" s="473"/>
      <c r="B33" s="423" t="s">
        <v>2663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26"/>
      <c r="Q33" s="1815" t="str">
        <f t="shared" si="11"/>
        <v>成新度</v>
      </c>
      <c r="R33" s="775" t="s">
        <v>17</v>
      </c>
      <c r="S33" s="776" t="e">
        <f t="shared" si="12"/>
        <v>#N/A</v>
      </c>
      <c r="T33" s="775" t="s">
        <v>17</v>
      </c>
      <c r="U33" s="776" t="e">
        <f t="shared" si="13"/>
        <v>#N/A</v>
      </c>
      <c r="V33" s="775" t="s">
        <v>17</v>
      </c>
      <c r="W33" s="776" t="e">
        <f t="shared" si="14"/>
        <v>#N/A</v>
      </c>
      <c r="X33" s="1818"/>
      <c r="Y33" s="3226"/>
      <c r="Z33" s="1819" t="str">
        <f t="shared" si="15"/>
        <v>成新度</v>
      </c>
      <c r="AA33" s="1816" t="e">
        <f t="shared" si="3"/>
        <v>#N/A</v>
      </c>
      <c r="AB33" s="1816" t="e">
        <f t="shared" si="4"/>
        <v>#N/A</v>
      </c>
      <c r="AC33" s="1816" t="e">
        <f t="shared" si="5"/>
        <v>#N/A</v>
      </c>
    </row>
    <row r="34" spans="1:29" s="117" customFormat="1" ht="15">
      <c r="A34" s="474"/>
      <c r="B34" s="423" t="s">
        <v>2696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26"/>
      <c r="Q34" s="1800" t="str">
        <f t="shared" si="11"/>
        <v>物业管理</v>
      </c>
      <c r="R34" s="771" t="s">
        <v>17</v>
      </c>
      <c r="S34" s="772">
        <f t="shared" si="12"/>
        <v>100</v>
      </c>
      <c r="T34" s="771" t="s">
        <v>17</v>
      </c>
      <c r="U34" s="772">
        <f t="shared" si="13"/>
        <v>100</v>
      </c>
      <c r="V34" s="771" t="s">
        <v>17</v>
      </c>
      <c r="W34" s="772">
        <f t="shared" si="14"/>
        <v>100</v>
      </c>
      <c r="X34" s="773"/>
      <c r="Y34" s="3226"/>
      <c r="Z34" s="55" t="str">
        <f t="shared" si="15"/>
        <v>物业管理</v>
      </c>
      <c r="AA34" s="774">
        <f t="shared" si="3"/>
        <v>1</v>
      </c>
      <c r="AB34" s="774">
        <f t="shared" si="4"/>
        <v>1</v>
      </c>
      <c r="AC34" s="774">
        <f t="shared" si="5"/>
        <v>1</v>
      </c>
    </row>
    <row r="35" spans="1:29" ht="15">
      <c r="A35" s="473"/>
      <c r="B35" s="423" t="s">
        <v>2664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26" t="s">
        <v>2566</v>
      </c>
      <c r="Q35" s="1815" t="str">
        <f t="shared" si="11"/>
        <v>市政基础设施</v>
      </c>
      <c r="R35" s="775" t="s">
        <v>17</v>
      </c>
      <c r="S35" s="776">
        <f t="shared" si="12"/>
        <v>100</v>
      </c>
      <c r="T35" s="775" t="s">
        <v>17</v>
      </c>
      <c r="U35" s="776">
        <f t="shared" si="13"/>
        <v>100</v>
      </c>
      <c r="V35" s="775" t="s">
        <v>17</v>
      </c>
      <c r="W35" s="776">
        <f t="shared" si="14"/>
        <v>100</v>
      </c>
      <c r="X35" s="1818"/>
      <c r="Y35" s="3226" t="s">
        <v>2566</v>
      </c>
      <c r="Z35" s="1819" t="str">
        <f t="shared" si="15"/>
        <v>市政基础设施</v>
      </c>
      <c r="AA35" s="1816">
        <f t="shared" si="3"/>
        <v>1</v>
      </c>
      <c r="AB35" s="1816">
        <f t="shared" si="4"/>
        <v>1</v>
      </c>
      <c r="AC35" s="1816">
        <f t="shared" si="5"/>
        <v>1</v>
      </c>
    </row>
    <row r="36" spans="1:29" ht="15">
      <c r="A36" s="473"/>
      <c r="B36" s="423" t="s">
        <v>2669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26"/>
      <c r="Q36" s="1815" t="str">
        <f t="shared" si="11"/>
        <v>内部装修</v>
      </c>
      <c r="R36" s="775" t="s">
        <v>17</v>
      </c>
      <c r="S36" s="776">
        <f t="shared" si="12"/>
        <v>100</v>
      </c>
      <c r="T36" s="775" t="s">
        <v>17</v>
      </c>
      <c r="U36" s="776">
        <f t="shared" si="13"/>
        <v>100</v>
      </c>
      <c r="V36" s="775" t="s">
        <v>17</v>
      </c>
      <c r="W36" s="776">
        <f t="shared" si="14"/>
        <v>100</v>
      </c>
      <c r="X36" s="1818"/>
      <c r="Y36" s="3226"/>
      <c r="Z36" s="1819" t="str">
        <f t="shared" si="15"/>
        <v>内部装修</v>
      </c>
      <c r="AA36" s="1816">
        <f t="shared" si="3"/>
        <v>1</v>
      </c>
      <c r="AB36" s="1816">
        <f t="shared" si="4"/>
        <v>1</v>
      </c>
      <c r="AC36" s="1816">
        <f t="shared" si="5"/>
        <v>1</v>
      </c>
    </row>
    <row r="37" spans="1:29" ht="15">
      <c r="A37" s="473"/>
      <c r="B37" s="423" t="s">
        <v>2705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26"/>
      <c r="Q37" s="1815" t="str">
        <f t="shared" si="11"/>
        <v>内部装修状况</v>
      </c>
      <c r="R37" s="775" t="s">
        <v>17</v>
      </c>
      <c r="S37" s="776">
        <f t="shared" si="12"/>
        <v>100</v>
      </c>
      <c r="T37" s="775" t="s">
        <v>17</v>
      </c>
      <c r="U37" s="776">
        <f t="shared" si="13"/>
        <v>100</v>
      </c>
      <c r="V37" s="775" t="s">
        <v>17</v>
      </c>
      <c r="W37" s="776">
        <f t="shared" si="14"/>
        <v>100</v>
      </c>
      <c r="X37" s="1818"/>
      <c r="Y37" s="3226"/>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26"/>
      <c r="Q38" s="777">
        <f t="shared" si="11"/>
        <v>111</v>
      </c>
      <c r="R38" s="778" t="s">
        <v>17</v>
      </c>
      <c r="S38" s="779">
        <f t="shared" si="12"/>
        <v>100</v>
      </c>
      <c r="T38" s="778" t="s">
        <v>17</v>
      </c>
      <c r="U38" s="779">
        <f t="shared" si="13"/>
        <v>100</v>
      </c>
      <c r="V38" s="778" t="s">
        <v>17</v>
      </c>
      <c r="W38" s="779">
        <f t="shared" si="14"/>
        <v>100</v>
      </c>
      <c r="X38" s="780"/>
      <c r="Y38" s="3226"/>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26"/>
      <c r="Q39" s="1815">
        <f t="shared" si="11"/>
        <v>111</v>
      </c>
      <c r="R39" s="775" t="s">
        <v>17</v>
      </c>
      <c r="S39" s="776">
        <f t="shared" si="12"/>
        <v>100</v>
      </c>
      <c r="T39" s="775" t="s">
        <v>17</v>
      </c>
      <c r="U39" s="776">
        <f t="shared" si="13"/>
        <v>100</v>
      </c>
      <c r="V39" s="775" t="s">
        <v>17</v>
      </c>
      <c r="W39" s="776">
        <f t="shared" si="14"/>
        <v>100</v>
      </c>
      <c r="X39" s="1818"/>
      <c r="Y39" s="3226"/>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27"/>
      <c r="Q40" s="1815">
        <f t="shared" si="11"/>
        <v>111</v>
      </c>
      <c r="R40" s="775" t="s">
        <v>17</v>
      </c>
      <c r="S40" s="776">
        <f t="shared" si="12"/>
        <v>100</v>
      </c>
      <c r="T40" s="775" t="s">
        <v>17</v>
      </c>
      <c r="U40" s="776">
        <f t="shared" si="13"/>
        <v>100</v>
      </c>
      <c r="V40" s="775" t="s">
        <v>17</v>
      </c>
      <c r="W40" s="776">
        <f t="shared" si="14"/>
        <v>100</v>
      </c>
      <c r="X40" s="1818"/>
      <c r="Y40" s="3227"/>
      <c r="Z40" s="1819">
        <f t="shared" si="15"/>
        <v>111</v>
      </c>
      <c r="AA40" s="1816">
        <f t="shared" si="3"/>
        <v>1</v>
      </c>
      <c r="AB40" s="1816">
        <f t="shared" si="4"/>
        <v>1</v>
      </c>
      <c r="AC40" s="1816">
        <f t="shared" si="5"/>
        <v>1</v>
      </c>
    </row>
    <row r="41" spans="1:29" ht="15">
      <c r="A41" s="480" t="s">
        <v>2578</v>
      </c>
      <c r="B41" s="481"/>
      <c r="C41" s="1411" t="s">
        <v>1</v>
      </c>
      <c r="D41" s="1412"/>
      <c r="E41" s="1413"/>
      <c r="F41" s="1414"/>
      <c r="G41" s="1415"/>
      <c r="H41" s="1416"/>
      <c r="I41" s="1413"/>
      <c r="J41" s="1416"/>
      <c r="K41" s="784"/>
      <c r="L41" s="1147"/>
      <c r="M41" s="1148"/>
      <c r="N41" s="1135"/>
      <c r="O41" s="1148"/>
      <c r="P41" s="3214" t="str">
        <f>A41</f>
        <v>成交单价（元/平方米）</v>
      </c>
      <c r="Q41" s="3214"/>
      <c r="R41" s="3215">
        <f>E41</f>
        <v>0</v>
      </c>
      <c r="S41" s="3215"/>
      <c r="T41" s="3215">
        <f>G41</f>
        <v>0</v>
      </c>
      <c r="U41" s="3215"/>
      <c r="V41" s="3215">
        <f>I41</f>
        <v>0</v>
      </c>
      <c r="W41" s="3215"/>
      <c r="X41" s="760"/>
      <c r="Y41" s="782"/>
      <c r="Z41" s="760"/>
      <c r="AA41" s="760"/>
      <c r="AB41" s="760"/>
      <c r="AC41" s="760"/>
    </row>
    <row r="42" spans="1:29" ht="15.75" thickBot="1">
      <c r="A42" s="487" t="s">
        <v>2670</v>
      </c>
      <c r="B42" s="488"/>
      <c r="C42" s="1417" t="e">
        <f>R43</f>
        <v>#DIV/0!</v>
      </c>
      <c r="D42" s="1418"/>
      <c r="E42" s="1419" t="e">
        <f>R42</f>
        <v>#DIV/0!</v>
      </c>
      <c r="F42" s="1419"/>
      <c r="G42" s="1417" t="e">
        <f>T42</f>
        <v>#DIV/0!</v>
      </c>
      <c r="H42" s="1418"/>
      <c r="I42" s="1419" t="e">
        <f>V42</f>
        <v>#DIV/0!</v>
      </c>
      <c r="J42" s="1418"/>
      <c r="K42" s="785"/>
      <c r="L42" s="1147"/>
      <c r="M42" s="1148"/>
      <c r="N42" s="1135"/>
      <c r="O42" s="1148"/>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60"/>
      <c r="Y42" s="760"/>
      <c r="Z42" s="760"/>
      <c r="AA42" s="760"/>
      <c r="AB42" s="760"/>
      <c r="AC42" s="760"/>
    </row>
    <row r="43" spans="1:29" ht="15.75" thickBot="1">
      <c r="A43" s="493" t="s">
        <v>2671</v>
      </c>
      <c r="B43" s="494"/>
      <c r="C43" s="1421" t="e">
        <f>R43</f>
        <v>#DIV/0!</v>
      </c>
      <c r="D43" s="1421"/>
      <c r="E43" s="1421"/>
      <c r="F43" s="1421"/>
      <c r="G43" s="1421"/>
      <c r="H43" s="1421"/>
      <c r="I43" s="1421"/>
      <c r="J43" s="1421"/>
      <c r="K43" s="786"/>
      <c r="L43" s="1147"/>
      <c r="M43" s="1148"/>
      <c r="N43" s="1148"/>
      <c r="O43" s="1148"/>
      <c r="P43" s="3292" t="str">
        <f>A43</f>
        <v>估价对象XX用房的比较价值（楼面单价，元/平方米）</v>
      </c>
      <c r="Q43" s="3293"/>
      <c r="R43" s="3294" t="e">
        <f>IF(F1="售价",ROUND(AVERAGE(R42:V42),0),ROUND(AVERAGE(R42:V42),1))</f>
        <v>#DIV/0!</v>
      </c>
      <c r="S43" s="3294"/>
      <c r="T43" s="3294"/>
      <c r="U43" s="3294"/>
      <c r="V43" s="3294"/>
      <c r="W43" s="3294"/>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2675</v>
      </c>
      <c r="B51" s="760"/>
      <c r="C51" s="765"/>
      <c r="D51" s="765"/>
      <c r="E51" s="765"/>
      <c r="F51" s="766"/>
      <c r="G51" s="766"/>
      <c r="H51" s="765"/>
      <c r="I51" s="765"/>
      <c r="J51" s="765"/>
      <c r="K51" s="1164"/>
      <c r="L51" s="1165"/>
      <c r="M51" s="1163"/>
      <c r="N51" s="1163"/>
      <c r="O51" s="1163"/>
      <c r="P51" s="504"/>
      <c r="Q51" s="505"/>
    </row>
    <row r="52" spans="1:17" s="509" customFormat="1" ht="15">
      <c r="A52" s="506" t="s">
        <v>2549</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2586</v>
      </c>
      <c r="B54" s="517"/>
      <c r="C54" s="518"/>
      <c r="D54" s="519"/>
      <c r="E54" s="519"/>
      <c r="F54" s="519"/>
      <c r="G54" s="519"/>
      <c r="H54" s="519"/>
      <c r="I54" s="519"/>
      <c r="J54" s="519"/>
      <c r="K54" s="519"/>
      <c r="L54" s="519"/>
      <c r="M54" s="520"/>
      <c r="N54" s="519"/>
      <c r="O54" s="521"/>
      <c r="P54" s="505"/>
      <c r="Q54" s="505"/>
    </row>
    <row r="55" spans="1:17" s="117" customFormat="1" ht="15">
      <c r="A55" s="522" t="s">
        <v>2551</v>
      </c>
      <c r="B55" s="511"/>
      <c r="C55" s="523" t="s">
        <v>2653</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2589</v>
      </c>
      <c r="B57" s="529" t="s">
        <v>2555</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2558</v>
      </c>
      <c r="C59" s="540" t="s">
        <v>2590</v>
      </c>
      <c r="D59" s="540" t="s">
        <v>2591</v>
      </c>
      <c r="E59" s="540" t="s">
        <v>2592</v>
      </c>
      <c r="F59" s="540" t="s">
        <v>2593</v>
      </c>
      <c r="G59" s="540" t="s">
        <v>2594</v>
      </c>
      <c r="H59" s="540" t="s">
        <v>2595</v>
      </c>
      <c r="I59" s="540" t="s">
        <v>2596</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2559</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2560</v>
      </c>
      <c r="B70" s="529" t="s">
        <v>2706</v>
      </c>
      <c r="C70" s="574" t="s">
        <v>2598</v>
      </c>
      <c r="D70" s="574" t="s">
        <v>2599</v>
      </c>
      <c r="E70" s="574" t="s">
        <v>2600</v>
      </c>
      <c r="F70" s="574" t="s">
        <v>2601</v>
      </c>
      <c r="G70" s="574" t="s">
        <v>2602</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2603</v>
      </c>
      <c r="C72" s="579" t="s">
        <v>2598</v>
      </c>
      <c r="D72" s="579" t="s">
        <v>2599</v>
      </c>
      <c r="E72" s="579" t="s">
        <v>2600</v>
      </c>
      <c r="F72" s="579" t="s">
        <v>2601</v>
      </c>
      <c r="G72" s="579" t="s">
        <v>2602</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2604</v>
      </c>
      <c r="C74" s="579" t="s">
        <v>2598</v>
      </c>
      <c r="D74" s="579" t="s">
        <v>2599</v>
      </c>
      <c r="E74" s="579" t="s">
        <v>2600</v>
      </c>
      <c r="F74" s="579" t="s">
        <v>2601</v>
      </c>
      <c r="G74" s="579" t="s">
        <v>2602</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2690</v>
      </c>
      <c r="C76" s="661" t="s">
        <v>2676</v>
      </c>
      <c r="D76" s="661" t="s">
        <v>2677</v>
      </c>
      <c r="E76" s="661" t="s">
        <v>2678</v>
      </c>
      <c r="F76" s="661" t="s">
        <v>2679</v>
      </c>
      <c r="G76" s="661" t="s">
        <v>2680</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2699</v>
      </c>
      <c r="C78" s="579" t="s">
        <v>2598</v>
      </c>
      <c r="D78" s="579" t="s">
        <v>2599</v>
      </c>
      <c r="E78" s="579" t="s">
        <v>2600</v>
      </c>
      <c r="F78" s="579" t="s">
        <v>2601</v>
      </c>
      <c r="G78" s="579" t="s">
        <v>2602</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2564</v>
      </c>
      <c r="B88" s="529" t="s">
        <v>2613</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2614</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2615</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2617</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2618</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2619</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2621</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2707</v>
      </c>
      <c r="C106" s="579" t="s">
        <v>2598</v>
      </c>
      <c r="D106" s="579" t="s">
        <v>2599</v>
      </c>
      <c r="E106" s="579" t="s">
        <v>2600</v>
      </c>
      <c r="F106" s="579" t="s">
        <v>2601</v>
      </c>
      <c r="G106" s="579" t="s">
        <v>2602</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北京京城机电资产管理有限责任公司：</v>
      </c>
    </row>
    <row r="4" spans="1:1" ht="36">
      <c r="A4" s="1953" t="str">
        <f>"受贵公司委托，我公司对"&amp;项目基本情况!S1&amp;"进行了预评估。"</f>
        <v>受贵公司委托，我公司对北京市西城区广安门外大街168号1幢3层1-301等六套办公用房房地产房地产抵押价值进行了预评估。</v>
      </c>
    </row>
    <row r="5" spans="1:1" ht="18.75">
      <c r="A5" s="1954" t="s">
        <v>1613</v>
      </c>
    </row>
    <row r="6" spans="1:1" ht="18.75">
      <c r="A6" s="1955" t="s">
        <v>1614</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1619</v>
      </c>
    </row>
    <row r="15" spans="1:1" ht="18">
      <c r="A15" s="1959" t="str">
        <f>TEXT(项目基本情况!D3,"yyyy年m月d日;;")&amp;IF(项目基本情况!D3=项目基本情况!B3,"（评估专业人员实地查勘之日）","")</f>
        <v>2017年11月8日（评估专业人员实地查勘之日）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27"/>
      <c r="F1" s="2591"/>
      <c r="G1" s="1628" t="s">
        <v>2644</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2328</v>
      </c>
      <c r="B2" s="1422" t="e">
        <f ca="1">IF(C2="——",IF(B37="元/平方米",ROUND(C39*D3/10000,0),ROUND(F3*C39/10000,0)),IF(B37="元/平方米",ROUND(C39*D3/10000,0),ROUND(F3*C39/10000,0))-D2)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2330</v>
      </c>
      <c r="B3" s="610" t="e">
        <f ca="1">IF(AND(C2="——",B37="元/平方米"),C39,ROUND(B2*10000/D3,0))</f>
        <v>#DIV/0!</v>
      </c>
      <c r="C3" s="401" t="s">
        <v>2645</v>
      </c>
      <c r="D3" s="400">
        <f>SUMIF('数据-汇总表'!$C19:$C33,D1,'数据-汇总表'!$E19:$E33)</f>
        <v>0</v>
      </c>
      <c r="E3" s="401" t="s">
        <v>2709</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2646</v>
      </c>
      <c r="B4" s="403"/>
      <c r="C4" s="3231" t="s">
        <v>2647</v>
      </c>
      <c r="D4" s="3232"/>
      <c r="E4" s="3233" t="s">
        <v>2648</v>
      </c>
      <c r="F4" s="3234"/>
      <c r="G4" s="3231" t="s">
        <v>2649</v>
      </c>
      <c r="H4" s="3232"/>
      <c r="I4" s="3231" t="s">
        <v>2650</v>
      </c>
      <c r="J4" s="3232"/>
      <c r="K4" s="611" t="s">
        <v>2651</v>
      </c>
      <c r="L4" s="1134"/>
      <c r="M4" s="1135"/>
      <c r="N4" s="1135"/>
      <c r="O4" s="1135"/>
      <c r="P4" s="3296" t="s">
        <v>2652</v>
      </c>
      <c r="Q4" s="3297"/>
      <c r="R4" s="3300" t="s">
        <v>2648</v>
      </c>
      <c r="S4" s="3301"/>
      <c r="T4" s="3300" t="s">
        <v>2649</v>
      </c>
      <c r="U4" s="3301"/>
      <c r="V4" s="3248" t="s">
        <v>2650</v>
      </c>
      <c r="W4" s="3248"/>
      <c r="X4" s="1818"/>
      <c r="Y4" s="3300" t="s">
        <v>2652</v>
      </c>
      <c r="Z4" s="3301"/>
      <c r="AA4" s="3295" t="s">
        <v>2648</v>
      </c>
      <c r="AB4" s="3261" t="s">
        <v>2649</v>
      </c>
      <c r="AC4" s="3295" t="s">
        <v>2650</v>
      </c>
    </row>
    <row r="5" spans="1:29" ht="15">
      <c r="A5" s="405"/>
      <c r="B5" s="406"/>
      <c r="C5" s="3257" t="s">
        <v>2543</v>
      </c>
      <c r="D5" s="3252"/>
      <c r="E5" s="3302" t="s">
        <v>2544</v>
      </c>
      <c r="F5" s="3264"/>
      <c r="G5" s="3257" t="s">
        <v>2545</v>
      </c>
      <c r="H5" s="3252"/>
      <c r="I5" s="3257" t="s">
        <v>2546</v>
      </c>
      <c r="J5" s="3252"/>
      <c r="K5" s="611"/>
      <c r="L5" s="1134"/>
      <c r="M5" s="1135"/>
      <c r="N5" s="1135"/>
      <c r="O5" s="1135"/>
      <c r="P5" s="3298"/>
      <c r="Q5" s="3238"/>
      <c r="R5" s="3243"/>
      <c r="S5" s="3244"/>
      <c r="T5" s="3243"/>
      <c r="U5" s="3244"/>
      <c r="V5" s="3248"/>
      <c r="W5" s="3248"/>
      <c r="X5" s="1818"/>
      <c r="Y5" s="3243"/>
      <c r="Z5" s="3244"/>
      <c r="AA5" s="3261"/>
      <c r="AB5" s="3261"/>
      <c r="AC5" s="3261"/>
    </row>
    <row r="6" spans="1:29" ht="15.75" thickBot="1">
      <c r="A6" s="407"/>
      <c r="B6" s="408"/>
      <c r="C6" s="3249" t="s">
        <v>2547</v>
      </c>
      <c r="D6" s="3250"/>
      <c r="E6" s="3258" t="s">
        <v>2547</v>
      </c>
      <c r="F6" s="3259"/>
      <c r="G6" s="3249" t="s">
        <v>2547</v>
      </c>
      <c r="H6" s="3250"/>
      <c r="I6" s="3249" t="s">
        <v>2547</v>
      </c>
      <c r="J6" s="3250"/>
      <c r="K6" s="611" t="s">
        <v>2548</v>
      </c>
      <c r="L6" s="1134"/>
      <c r="M6" s="1135"/>
      <c r="N6" s="1135"/>
      <c r="O6" s="1135"/>
      <c r="P6" s="3299"/>
      <c r="Q6" s="3240"/>
      <c r="R6" s="3243"/>
      <c r="S6" s="3244"/>
      <c r="T6" s="3245"/>
      <c r="U6" s="3246"/>
      <c r="V6" s="3248"/>
      <c r="W6" s="3248"/>
      <c r="X6" s="1818"/>
      <c r="Y6" s="3245"/>
      <c r="Z6" s="3246"/>
      <c r="AA6" s="3262"/>
      <c r="AB6" s="3262"/>
      <c r="AC6" s="3262"/>
    </row>
    <row r="7" spans="1:29" s="117" customFormat="1" ht="15.75" thickBot="1">
      <c r="A7" s="409" t="s">
        <v>2549</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55" t="s">
        <v>2550</v>
      </c>
      <c r="Q7" s="3256"/>
      <c r="R7" s="771" t="s">
        <v>17</v>
      </c>
      <c r="S7" s="772">
        <f t="shared" ref="S7:S14" si="0">F7</f>
        <v>0</v>
      </c>
      <c r="T7" s="771" t="s">
        <v>17</v>
      </c>
      <c r="U7" s="772">
        <f t="shared" ref="U7:U14" si="1">H7</f>
        <v>0</v>
      </c>
      <c r="V7" s="771" t="s">
        <v>17</v>
      </c>
      <c r="W7" s="772">
        <f t="shared" ref="W7:W14" si="2">J7</f>
        <v>0</v>
      </c>
      <c r="X7" s="773"/>
      <c r="Y7" s="3255" t="s">
        <v>2550</v>
      </c>
      <c r="Z7" s="3254"/>
      <c r="AA7" s="774" t="e">
        <f>D7/F7</f>
        <v>#DIV/0!</v>
      </c>
      <c r="AB7" s="774" t="e">
        <f>D7/H7</f>
        <v>#DIV/0!</v>
      </c>
      <c r="AC7" s="774" t="e">
        <f>D7/J7</f>
        <v>#DIV/0!</v>
      </c>
    </row>
    <row r="8" spans="1:29" s="117" customFormat="1" ht="15.75" thickBot="1">
      <c r="A8" s="409" t="s">
        <v>2551</v>
      </c>
      <c r="B8" s="410"/>
      <c r="C8" s="415" t="s">
        <v>2653</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55" t="s">
        <v>2553</v>
      </c>
      <c r="Q8" s="3254"/>
      <c r="R8" s="771" t="s">
        <v>17</v>
      </c>
      <c r="S8" s="772">
        <f t="shared" si="0"/>
        <v>0</v>
      </c>
      <c r="T8" s="771" t="s">
        <v>17</v>
      </c>
      <c r="U8" s="772">
        <f t="shared" si="1"/>
        <v>0</v>
      </c>
      <c r="V8" s="771" t="s">
        <v>17</v>
      </c>
      <c r="W8" s="772">
        <f t="shared" si="2"/>
        <v>0</v>
      </c>
      <c r="X8" s="773"/>
      <c r="Y8" s="3255" t="s">
        <v>2553</v>
      </c>
      <c r="Z8" s="3254"/>
      <c r="AA8" s="774" t="e">
        <f t="shared" ref="AA8:AA36" si="3">D8/F8</f>
        <v>#DIV/0!</v>
      </c>
      <c r="AB8" s="774" t="e">
        <f t="shared" ref="AB8:AB36" si="4">D8/H8</f>
        <v>#DIV/0!</v>
      </c>
      <c r="AC8" s="774" t="e">
        <f t="shared" ref="AC8:AC36" si="5">D8/J8</f>
        <v>#DIV/0!</v>
      </c>
    </row>
    <row r="9" spans="1:29" s="117" customFormat="1">
      <c r="A9" s="68" t="s">
        <v>2554</v>
      </c>
      <c r="B9" s="641" t="s">
        <v>2555</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14" t="s">
        <v>2556</v>
      </c>
      <c r="Q9" s="1800" t="str">
        <f t="shared" ref="Q9:Q14" si="6">B9</f>
        <v>用途</v>
      </c>
      <c r="R9" s="771" t="s">
        <v>17</v>
      </c>
      <c r="S9" s="772">
        <f t="shared" si="0"/>
        <v>100</v>
      </c>
      <c r="T9" s="771" t="s">
        <v>17</v>
      </c>
      <c r="U9" s="772">
        <f t="shared" si="1"/>
        <v>100</v>
      </c>
      <c r="V9" s="771" t="s">
        <v>17</v>
      </c>
      <c r="W9" s="772">
        <f t="shared" si="2"/>
        <v>100</v>
      </c>
      <c r="X9" s="773"/>
      <c r="Y9" s="3068" t="s">
        <v>2557</v>
      </c>
      <c r="Z9" s="55" t="str">
        <f t="shared" ref="Z9:Z14" si="7">Q9</f>
        <v>用途</v>
      </c>
      <c r="AA9" s="774">
        <f t="shared" si="3"/>
        <v>1</v>
      </c>
      <c r="AB9" s="774">
        <f t="shared" si="4"/>
        <v>1</v>
      </c>
      <c r="AC9" s="774">
        <f t="shared" si="5"/>
        <v>1</v>
      </c>
    </row>
    <row r="10" spans="1:29" s="428" customFormat="1" ht="27">
      <c r="A10" s="642"/>
      <c r="B10" s="643" t="s">
        <v>2558</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14"/>
      <c r="Q10" s="1800" t="str">
        <f t="shared" si="6"/>
        <v>土地使用年限（年）</v>
      </c>
      <c r="R10" s="771" t="s">
        <v>17</v>
      </c>
      <c r="S10" s="772">
        <f t="shared" si="0"/>
        <v>100</v>
      </c>
      <c r="T10" s="771" t="s">
        <v>17</v>
      </c>
      <c r="U10" s="772">
        <f t="shared" si="1"/>
        <v>100</v>
      </c>
      <c r="V10" s="771" t="s">
        <v>17</v>
      </c>
      <c r="W10" s="772">
        <f t="shared" si="2"/>
        <v>100</v>
      </c>
      <c r="X10" s="773"/>
      <c r="Y10" s="3068"/>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14"/>
      <c r="Q11" s="1800">
        <f t="shared" si="6"/>
        <v>111</v>
      </c>
      <c r="R11" s="771" t="s">
        <v>17</v>
      </c>
      <c r="S11" s="772">
        <f t="shared" si="0"/>
        <v>100</v>
      </c>
      <c r="T11" s="771" t="s">
        <v>17</v>
      </c>
      <c r="U11" s="772">
        <f t="shared" si="1"/>
        <v>100</v>
      </c>
      <c r="V11" s="771" t="s">
        <v>17</v>
      </c>
      <c r="W11" s="772">
        <f t="shared" si="2"/>
        <v>100</v>
      </c>
      <c r="X11" s="773"/>
      <c r="Y11" s="3068"/>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14"/>
      <c r="Q12" s="1800">
        <f t="shared" si="6"/>
        <v>111</v>
      </c>
      <c r="R12" s="771" t="s">
        <v>17</v>
      </c>
      <c r="S12" s="772">
        <f t="shared" si="0"/>
        <v>100</v>
      </c>
      <c r="T12" s="771" t="s">
        <v>17</v>
      </c>
      <c r="U12" s="772">
        <f t="shared" si="1"/>
        <v>100</v>
      </c>
      <c r="V12" s="771" t="s">
        <v>17</v>
      </c>
      <c r="W12" s="772">
        <f t="shared" si="2"/>
        <v>100</v>
      </c>
      <c r="X12" s="773"/>
      <c r="Y12" s="3068"/>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14"/>
      <c r="Q13" s="1800">
        <f t="shared" si="6"/>
        <v>111</v>
      </c>
      <c r="R13" s="771" t="s">
        <v>17</v>
      </c>
      <c r="S13" s="772">
        <f t="shared" si="0"/>
        <v>100</v>
      </c>
      <c r="T13" s="771" t="s">
        <v>17</v>
      </c>
      <c r="U13" s="772">
        <f t="shared" si="1"/>
        <v>100</v>
      </c>
      <c r="V13" s="771" t="s">
        <v>17</v>
      </c>
      <c r="W13" s="772">
        <f t="shared" si="2"/>
        <v>100</v>
      </c>
      <c r="X13" s="773"/>
      <c r="Y13" s="3068"/>
      <c r="Z13" s="55">
        <f t="shared" si="7"/>
        <v>111</v>
      </c>
      <c r="AA13" s="774">
        <f t="shared" si="3"/>
        <v>1</v>
      </c>
      <c r="AB13" s="774">
        <f t="shared" si="4"/>
        <v>1</v>
      </c>
      <c r="AC13" s="774">
        <f t="shared" si="5"/>
        <v>1</v>
      </c>
    </row>
    <row r="14" spans="1:29" ht="85.5">
      <c r="A14" s="402" t="s">
        <v>2560</v>
      </c>
      <c r="B14" s="630" t="s">
        <v>2710</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21" t="s">
        <v>2561</v>
      </c>
      <c r="Q14" s="1815" t="str">
        <f t="shared" si="6"/>
        <v>交通便捷度</v>
      </c>
      <c r="R14" s="775" t="s">
        <v>17</v>
      </c>
      <c r="S14" s="776">
        <f t="shared" si="0"/>
        <v>100</v>
      </c>
      <c r="T14" s="775" t="s">
        <v>17</v>
      </c>
      <c r="U14" s="776">
        <f t="shared" si="1"/>
        <v>100</v>
      </c>
      <c r="V14" s="775" t="s">
        <v>17</v>
      </c>
      <c r="W14" s="776">
        <f t="shared" si="2"/>
        <v>100</v>
      </c>
      <c r="X14" s="1818"/>
      <c r="Y14" s="3221" t="s">
        <v>2561</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22"/>
      <c r="Q15" s="1815"/>
      <c r="R15" s="775"/>
      <c r="S15" s="776"/>
      <c r="T15" s="775"/>
      <c r="U15" s="776"/>
      <c r="V15" s="775"/>
      <c r="W15" s="776"/>
      <c r="X15" s="1818"/>
      <c r="Y15" s="3222"/>
      <c r="Z15" s="1819"/>
      <c r="AA15" s="1816">
        <v>1</v>
      </c>
      <c r="AB15" s="1816">
        <v>1</v>
      </c>
      <c r="AC15" s="1816">
        <v>1</v>
      </c>
    </row>
    <row r="16" spans="1:29" ht="42.75">
      <c r="A16" s="405"/>
      <c r="B16" s="632" t="s">
        <v>2689</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22"/>
      <c r="Q16" s="1815" t="str">
        <f>B16</f>
        <v>公共配套设施</v>
      </c>
      <c r="R16" s="775" t="s">
        <v>17</v>
      </c>
      <c r="S16" s="776">
        <f>F16</f>
        <v>100</v>
      </c>
      <c r="T16" s="775" t="s">
        <v>17</v>
      </c>
      <c r="U16" s="776">
        <f>H16</f>
        <v>100</v>
      </c>
      <c r="V16" s="775" t="s">
        <v>17</v>
      </c>
      <c r="W16" s="776">
        <f>J16</f>
        <v>100</v>
      </c>
      <c r="X16" s="1818"/>
      <c r="Y16" s="3222"/>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222"/>
      <c r="Q17" s="1815"/>
      <c r="R17" s="775"/>
      <c r="S17" s="776"/>
      <c r="T17" s="775"/>
      <c r="U17" s="776"/>
      <c r="V17" s="775"/>
      <c r="W17" s="776"/>
      <c r="X17" s="1818"/>
      <c r="Y17" s="3222"/>
      <c r="Z17" s="1819"/>
      <c r="AA17" s="1816">
        <v>1</v>
      </c>
      <c r="AB17" s="1816">
        <v>1</v>
      </c>
      <c r="AC17" s="1816">
        <v>1</v>
      </c>
    </row>
    <row r="18" spans="1:29" ht="28.5">
      <c r="A18" s="405"/>
      <c r="B18" s="634" t="s">
        <v>2690</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22"/>
      <c r="Q18" s="1815" t="str">
        <f>B18</f>
        <v>基础设施水平</v>
      </c>
      <c r="R18" s="775" t="s">
        <v>17</v>
      </c>
      <c r="S18" s="776">
        <f>F18</f>
        <v>100</v>
      </c>
      <c r="T18" s="775" t="s">
        <v>17</v>
      </c>
      <c r="U18" s="776">
        <f>H18</f>
        <v>100</v>
      </c>
      <c r="V18" s="775" t="s">
        <v>17</v>
      </c>
      <c r="W18" s="776">
        <f>J18</f>
        <v>100</v>
      </c>
      <c r="X18" s="1818"/>
      <c r="Y18" s="3222"/>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222"/>
      <c r="Q19" s="1815"/>
      <c r="R19" s="775"/>
      <c r="S19" s="776"/>
      <c r="T19" s="775"/>
      <c r="U19" s="776"/>
      <c r="V19" s="775"/>
      <c r="W19" s="776"/>
      <c r="X19" s="1818"/>
      <c r="Y19" s="3222"/>
      <c r="Z19" s="1819"/>
      <c r="AA19" s="1816">
        <v>1</v>
      </c>
      <c r="AB19" s="1816">
        <v>1</v>
      </c>
      <c r="AC19" s="1816">
        <v>1</v>
      </c>
    </row>
    <row r="20" spans="1:29" ht="57">
      <c r="A20" s="405"/>
      <c r="B20" s="632" t="s">
        <v>2711</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22"/>
      <c r="Q20" s="1815" t="str">
        <f>B20</f>
        <v>自然及人文环境</v>
      </c>
      <c r="R20" s="775" t="s">
        <v>17</v>
      </c>
      <c r="S20" s="776">
        <f>F20</f>
        <v>100</v>
      </c>
      <c r="T20" s="775" t="s">
        <v>17</v>
      </c>
      <c r="U20" s="776">
        <f>H20</f>
        <v>100</v>
      </c>
      <c r="V20" s="775" t="s">
        <v>17</v>
      </c>
      <c r="W20" s="776">
        <f>J20</f>
        <v>100</v>
      </c>
      <c r="X20" s="1818"/>
      <c r="Y20" s="3222"/>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22"/>
      <c r="Q21" s="1815"/>
      <c r="R21" s="775"/>
      <c r="S21" s="776"/>
      <c r="T21" s="775"/>
      <c r="U21" s="776"/>
      <c r="V21" s="775"/>
      <c r="W21" s="776"/>
      <c r="X21" s="1818"/>
      <c r="Y21" s="3222"/>
      <c r="Z21" s="1819"/>
      <c r="AA21" s="1816">
        <v>1</v>
      </c>
      <c r="AB21" s="1816">
        <v>1</v>
      </c>
      <c r="AC21" s="1816">
        <v>1</v>
      </c>
    </row>
    <row r="22" spans="1:29" ht="15">
      <c r="A22" s="405"/>
      <c r="B22" s="632" t="s">
        <v>2712</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22"/>
      <c r="Q22" s="1815" t="str">
        <f>B22</f>
        <v>楼层</v>
      </c>
      <c r="R22" s="775" t="s">
        <v>17</v>
      </c>
      <c r="S22" s="776">
        <f>F22</f>
        <v>100</v>
      </c>
      <c r="T22" s="775" t="s">
        <v>17</v>
      </c>
      <c r="U22" s="776">
        <f>H22</f>
        <v>100</v>
      </c>
      <c r="V22" s="775" t="s">
        <v>17</v>
      </c>
      <c r="W22" s="776">
        <f>J22</f>
        <v>100</v>
      </c>
      <c r="X22" s="1818"/>
      <c r="Y22" s="3222"/>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22"/>
      <c r="Q23" s="1815">
        <f>B23</f>
        <v>111</v>
      </c>
      <c r="R23" s="775" t="s">
        <v>17</v>
      </c>
      <c r="S23" s="776">
        <f>F23</f>
        <v>100</v>
      </c>
      <c r="T23" s="775" t="s">
        <v>17</v>
      </c>
      <c r="U23" s="776">
        <f>H23</f>
        <v>100</v>
      </c>
      <c r="V23" s="775" t="s">
        <v>17</v>
      </c>
      <c r="W23" s="776">
        <f>J23</f>
        <v>100</v>
      </c>
      <c r="X23" s="1818"/>
      <c r="Y23" s="3222"/>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22"/>
      <c r="Q24" s="1815">
        <f t="shared" ref="Q24:Q36" si="11">B24</f>
        <v>111</v>
      </c>
      <c r="R24" s="775" t="s">
        <v>17</v>
      </c>
      <c r="S24" s="776">
        <f>F24</f>
        <v>100</v>
      </c>
      <c r="T24" s="775" t="s">
        <v>17</v>
      </c>
      <c r="U24" s="776">
        <f>H24</f>
        <v>100</v>
      </c>
      <c r="V24" s="775" t="s">
        <v>17</v>
      </c>
      <c r="W24" s="776">
        <f>J24</f>
        <v>100</v>
      </c>
      <c r="X24" s="1818"/>
      <c r="Y24" s="3222"/>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22"/>
      <c r="Q25" s="1800">
        <f t="shared" si="11"/>
        <v>111</v>
      </c>
      <c r="R25" s="771" t="s">
        <v>17</v>
      </c>
      <c r="S25" s="772">
        <f>F25</f>
        <v>100</v>
      </c>
      <c r="T25" s="771" t="s">
        <v>17</v>
      </c>
      <c r="U25" s="772">
        <f>H25</f>
        <v>100</v>
      </c>
      <c r="V25" s="771" t="s">
        <v>17</v>
      </c>
      <c r="W25" s="772">
        <f>J25</f>
        <v>100</v>
      </c>
      <c r="X25" s="773"/>
      <c r="Y25" s="3222"/>
      <c r="Z25" s="55">
        <f>Q25</f>
        <v>111</v>
      </c>
      <c r="AA25" s="1816">
        <f>D25/F25</f>
        <v>1</v>
      </c>
      <c r="AB25" s="1816">
        <f>D25/H25</f>
        <v>1</v>
      </c>
      <c r="AC25" s="1816">
        <f>D25/J25</f>
        <v>1</v>
      </c>
    </row>
    <row r="26" spans="1:29" ht="15">
      <c r="A26" s="653" t="s">
        <v>2564</v>
      </c>
      <c r="B26" s="70" t="s">
        <v>2713</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03" t="s">
        <v>2566</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26" t="s">
        <v>2566</v>
      </c>
      <c r="Z26" s="1819" t="str">
        <f t="shared" ref="Z26:Z36" si="15">Q26</f>
        <v>配套类型</v>
      </c>
      <c r="AA26" s="1816">
        <f t="shared" si="3"/>
        <v>1</v>
      </c>
      <c r="AB26" s="1816">
        <f t="shared" si="4"/>
        <v>1</v>
      </c>
      <c r="AC26" s="1816">
        <f t="shared" si="5"/>
        <v>1</v>
      </c>
    </row>
    <row r="27" spans="1:29" s="472" customFormat="1" ht="15">
      <c r="A27" s="654"/>
      <c r="B27" s="655" t="s">
        <v>2714</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26"/>
      <c r="Q27" s="777" t="str">
        <f t="shared" si="11"/>
        <v>项目停车位配比</v>
      </c>
      <c r="R27" s="778" t="s">
        <v>17</v>
      </c>
      <c r="S27" s="779">
        <f t="shared" si="12"/>
        <v>100</v>
      </c>
      <c r="T27" s="778" t="s">
        <v>17</v>
      </c>
      <c r="U27" s="779">
        <f t="shared" si="13"/>
        <v>100</v>
      </c>
      <c r="V27" s="778" t="s">
        <v>17</v>
      </c>
      <c r="W27" s="779">
        <f t="shared" si="14"/>
        <v>100</v>
      </c>
      <c r="X27" s="780"/>
      <c r="Y27" s="3226"/>
      <c r="Z27" s="781" t="str">
        <f t="shared" si="15"/>
        <v>项目停车位配比</v>
      </c>
      <c r="AA27" s="1816">
        <f t="shared" si="3"/>
        <v>1</v>
      </c>
      <c r="AB27" s="1816">
        <f t="shared" si="4"/>
        <v>1</v>
      </c>
      <c r="AC27" s="1816">
        <f t="shared" si="5"/>
        <v>1</v>
      </c>
    </row>
    <row r="28" spans="1:29" ht="15">
      <c r="A28" s="657"/>
      <c r="B28" s="655" t="s">
        <v>2715</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26"/>
      <c r="Q28" s="1815" t="str">
        <f t="shared" si="11"/>
        <v>公共部分装修</v>
      </c>
      <c r="R28" s="775" t="s">
        <v>17</v>
      </c>
      <c r="S28" s="776">
        <f t="shared" si="12"/>
        <v>100</v>
      </c>
      <c r="T28" s="775" t="s">
        <v>17</v>
      </c>
      <c r="U28" s="776">
        <f t="shared" si="13"/>
        <v>100</v>
      </c>
      <c r="V28" s="775" t="s">
        <v>17</v>
      </c>
      <c r="W28" s="776">
        <f t="shared" si="14"/>
        <v>100</v>
      </c>
      <c r="X28" s="1818"/>
      <c r="Y28" s="3226"/>
      <c r="Z28" s="1819" t="str">
        <f t="shared" si="15"/>
        <v>公共部分装修</v>
      </c>
      <c r="AA28" s="1816">
        <f t="shared" si="3"/>
        <v>1</v>
      </c>
      <c r="AB28" s="1816">
        <f t="shared" si="4"/>
        <v>1</v>
      </c>
      <c r="AC28" s="1816">
        <f t="shared" si="5"/>
        <v>1</v>
      </c>
    </row>
    <row r="29" spans="1:29" ht="15">
      <c r="A29" s="657"/>
      <c r="B29" s="655" t="s">
        <v>2716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26"/>
      <c r="Q29" s="1815" t="str">
        <f t="shared" si="11"/>
        <v>成新率</v>
      </c>
      <c r="R29" s="775" t="s">
        <v>17</v>
      </c>
      <c r="S29" s="776" t="e">
        <f t="shared" si="12"/>
        <v>#N/A</v>
      </c>
      <c r="T29" s="775" t="s">
        <v>17</v>
      </c>
      <c r="U29" s="776" t="e">
        <f t="shared" si="13"/>
        <v>#N/A</v>
      </c>
      <c r="V29" s="775" t="s">
        <v>17</v>
      </c>
      <c r="W29" s="776" t="e">
        <f t="shared" si="14"/>
        <v>#N/A</v>
      </c>
      <c r="X29" s="1818"/>
      <c r="Y29" s="3226"/>
      <c r="Z29" s="1819" t="str">
        <f t="shared" si="15"/>
        <v>成新率</v>
      </c>
      <c r="AA29" s="1816" t="e">
        <f t="shared" si="3"/>
        <v>#N/A</v>
      </c>
      <c r="AB29" s="1816" t="e">
        <f t="shared" si="4"/>
        <v>#N/A</v>
      </c>
      <c r="AC29" s="1816" t="e">
        <f t="shared" si="5"/>
        <v>#N/A</v>
      </c>
    </row>
    <row r="30" spans="1:29" ht="15">
      <c r="A30" s="657"/>
      <c r="B30" s="655" t="s">
        <v>2717</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26"/>
      <c r="Q30" s="1815" t="str">
        <f t="shared" si="11"/>
        <v>物业等级</v>
      </c>
      <c r="R30" s="775" t="s">
        <v>17</v>
      </c>
      <c r="S30" s="776">
        <f t="shared" si="12"/>
        <v>100</v>
      </c>
      <c r="T30" s="775" t="s">
        <v>17</v>
      </c>
      <c r="U30" s="776">
        <f t="shared" si="13"/>
        <v>100</v>
      </c>
      <c r="V30" s="775" t="s">
        <v>17</v>
      </c>
      <c r="W30" s="776">
        <f t="shared" si="14"/>
        <v>100</v>
      </c>
      <c r="X30" s="1818"/>
      <c r="Y30" s="3226"/>
      <c r="Z30" s="1819" t="str">
        <f t="shared" si="15"/>
        <v>物业等级</v>
      </c>
      <c r="AA30" s="1816">
        <f t="shared" si="3"/>
        <v>1</v>
      </c>
      <c r="AB30" s="1816">
        <f t="shared" si="4"/>
        <v>1</v>
      </c>
      <c r="AC30" s="1816">
        <f t="shared" si="5"/>
        <v>1</v>
      </c>
    </row>
    <row r="31" spans="1:29" s="117" customFormat="1" ht="15">
      <c r="A31" s="659"/>
      <c r="B31" s="655" t="s">
        <v>2718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26"/>
      <c r="Q31" s="1800" t="str">
        <f t="shared" si="11"/>
        <v>停车位面积</v>
      </c>
      <c r="R31" s="771" t="s">
        <v>17</v>
      </c>
      <c r="S31" s="772" t="e">
        <f t="shared" si="12"/>
        <v>#N/A</v>
      </c>
      <c r="T31" s="771" t="s">
        <v>17</v>
      </c>
      <c r="U31" s="772" t="e">
        <f t="shared" si="13"/>
        <v>#N/A</v>
      </c>
      <c r="V31" s="771" t="s">
        <v>17</v>
      </c>
      <c r="W31" s="772" t="e">
        <f t="shared" si="14"/>
        <v>#N/A</v>
      </c>
      <c r="X31" s="773"/>
      <c r="Y31" s="3226"/>
      <c r="Z31" s="55" t="str">
        <f t="shared" si="15"/>
        <v>停车位面积</v>
      </c>
      <c r="AA31" s="774" t="e">
        <f t="shared" si="3"/>
        <v>#N/A</v>
      </c>
      <c r="AB31" s="774" t="e">
        <f t="shared" si="4"/>
        <v>#N/A</v>
      </c>
      <c r="AC31" s="774" t="e">
        <f t="shared" si="5"/>
        <v>#N/A</v>
      </c>
    </row>
    <row r="32" spans="1:29" ht="15">
      <c r="A32" s="657"/>
      <c r="B32" s="655" t="s">
        <v>2719</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26" t="s">
        <v>2566</v>
      </c>
      <c r="Q32" s="1815" t="str">
        <f t="shared" si="11"/>
        <v>车位类型</v>
      </c>
      <c r="R32" s="775" t="s">
        <v>17</v>
      </c>
      <c r="S32" s="776">
        <f t="shared" si="12"/>
        <v>100</v>
      </c>
      <c r="T32" s="775" t="s">
        <v>17</v>
      </c>
      <c r="U32" s="776">
        <f t="shared" si="13"/>
        <v>100</v>
      </c>
      <c r="V32" s="775" t="s">
        <v>17</v>
      </c>
      <c r="W32" s="776">
        <f t="shared" si="14"/>
        <v>100</v>
      </c>
      <c r="X32" s="1818"/>
      <c r="Y32" s="3226" t="s">
        <v>2566</v>
      </c>
      <c r="Z32" s="1819" t="str">
        <f t="shared" si="15"/>
        <v>车位类型</v>
      </c>
      <c r="AA32" s="1816">
        <f t="shared" si="3"/>
        <v>1</v>
      </c>
      <c r="AB32" s="1816">
        <f t="shared" si="4"/>
        <v>1</v>
      </c>
      <c r="AC32" s="1816">
        <f t="shared" si="5"/>
        <v>1</v>
      </c>
    </row>
    <row r="33" spans="1:29" ht="15">
      <c r="A33" s="657"/>
      <c r="B33" s="655" t="s">
        <v>2720</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26"/>
      <c r="Q33" s="1815" t="str">
        <f t="shared" si="11"/>
        <v>是否直接入户</v>
      </c>
      <c r="R33" s="775" t="s">
        <v>17</v>
      </c>
      <c r="S33" s="776">
        <f t="shared" si="12"/>
        <v>100</v>
      </c>
      <c r="T33" s="775" t="s">
        <v>17</v>
      </c>
      <c r="U33" s="776">
        <f t="shared" si="13"/>
        <v>100</v>
      </c>
      <c r="V33" s="775" t="s">
        <v>17</v>
      </c>
      <c r="W33" s="776">
        <f t="shared" si="14"/>
        <v>100</v>
      </c>
      <c r="X33" s="1818"/>
      <c r="Y33" s="3226"/>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26"/>
      <c r="Q34" s="1815">
        <f t="shared" si="11"/>
        <v>111</v>
      </c>
      <c r="R34" s="775" t="s">
        <v>17</v>
      </c>
      <c r="S34" s="776">
        <f t="shared" si="12"/>
        <v>100</v>
      </c>
      <c r="T34" s="775" t="s">
        <v>17</v>
      </c>
      <c r="U34" s="776">
        <f t="shared" si="13"/>
        <v>100</v>
      </c>
      <c r="V34" s="775" t="s">
        <v>17</v>
      </c>
      <c r="W34" s="776">
        <f t="shared" si="14"/>
        <v>100</v>
      </c>
      <c r="X34" s="1818"/>
      <c r="Y34" s="3226"/>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26"/>
      <c r="Q35" s="777">
        <f t="shared" si="11"/>
        <v>111</v>
      </c>
      <c r="R35" s="778" t="s">
        <v>17</v>
      </c>
      <c r="S35" s="779">
        <f t="shared" si="12"/>
        <v>100</v>
      </c>
      <c r="T35" s="778" t="s">
        <v>17</v>
      </c>
      <c r="U35" s="779">
        <f t="shared" si="13"/>
        <v>100</v>
      </c>
      <c r="V35" s="778" t="s">
        <v>17</v>
      </c>
      <c r="W35" s="779">
        <f t="shared" si="14"/>
        <v>100</v>
      </c>
      <c r="X35" s="780"/>
      <c r="Y35" s="3226"/>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26"/>
      <c r="Q36" s="1815">
        <f t="shared" si="11"/>
        <v>111</v>
      </c>
      <c r="R36" s="775" t="s">
        <v>17</v>
      </c>
      <c r="S36" s="776">
        <f t="shared" si="12"/>
        <v>100</v>
      </c>
      <c r="T36" s="775" t="s">
        <v>17</v>
      </c>
      <c r="U36" s="776">
        <f t="shared" si="13"/>
        <v>100</v>
      </c>
      <c r="V36" s="775" t="s">
        <v>17</v>
      </c>
      <c r="W36" s="776">
        <f t="shared" si="14"/>
        <v>100</v>
      </c>
      <c r="X36" s="1818"/>
      <c r="Y36" s="3226"/>
      <c r="Z36" s="1819">
        <f t="shared" si="15"/>
        <v>111</v>
      </c>
      <c r="AA36" s="1816">
        <f t="shared" si="3"/>
        <v>1</v>
      </c>
      <c r="AB36" s="1816">
        <f t="shared" si="4"/>
        <v>1</v>
      </c>
      <c r="AC36" s="1816">
        <f t="shared" si="5"/>
        <v>1</v>
      </c>
    </row>
    <row r="37" spans="1:29" ht="15">
      <c r="A37" s="480" t="s">
        <v>2721</v>
      </c>
      <c r="B37" s="2702" t="s">
        <v>2722</v>
      </c>
      <c r="C37" s="1411" t="s">
        <v>1</v>
      </c>
      <c r="D37" s="1412"/>
      <c r="E37" s="1413"/>
      <c r="F37" s="1414"/>
      <c r="G37" s="1415"/>
      <c r="H37" s="1416"/>
      <c r="I37" s="1413"/>
      <c r="J37" s="1416"/>
      <c r="K37" s="620"/>
      <c r="L37" s="1147"/>
      <c r="M37" s="1148"/>
      <c r="N37" s="1135"/>
      <c r="O37" s="1148"/>
      <c r="P37" s="3214" t="str">
        <f>A37</f>
        <v>成交单价</v>
      </c>
      <c r="Q37" s="3214"/>
      <c r="R37" s="3215">
        <f>E37</f>
        <v>0</v>
      </c>
      <c r="S37" s="3215"/>
      <c r="T37" s="3215">
        <f>G37</f>
        <v>0</v>
      </c>
      <c r="U37" s="3215"/>
      <c r="V37" s="3215">
        <f>I37</f>
        <v>0</v>
      </c>
      <c r="W37" s="3215"/>
      <c r="X37" s="760"/>
      <c r="Y37" s="782"/>
      <c r="Z37" s="760"/>
      <c r="AA37" s="760"/>
      <c r="AB37" s="760"/>
      <c r="AC37" s="760"/>
    </row>
    <row r="38" spans="1:29" ht="15.75" thickBot="1">
      <c r="A38" s="487" t="s">
        <v>2723</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60"/>
      <c r="Y38" s="760"/>
      <c r="Z38" s="760"/>
      <c r="AA38" s="760"/>
      <c r="AB38" s="760"/>
      <c r="AC38" s="760"/>
    </row>
    <row r="39" spans="1:29" ht="15.75" thickBot="1">
      <c r="A39" s="493" t="s">
        <v>2724</v>
      </c>
      <c r="B39" s="494"/>
      <c r="C39" s="1421" t="e">
        <f>R39</f>
        <v>#DIV/0!</v>
      </c>
      <c r="D39" s="1421"/>
      <c r="E39" s="1421"/>
      <c r="F39" s="1421"/>
      <c r="G39" s="1421"/>
      <c r="H39" s="1421"/>
      <c r="I39" s="1421"/>
      <c r="J39" s="1421"/>
      <c r="K39" s="622"/>
      <c r="L39" s="1147"/>
      <c r="M39" s="1148"/>
      <c r="N39" s="1148"/>
      <c r="O39" s="1148"/>
      <c r="P39" s="3292" t="str">
        <f>A39</f>
        <v>估价对象XX用房的比较价值（楼面单价，元/平方米）</v>
      </c>
      <c r="Q39" s="3293"/>
      <c r="R39" s="3294" t="e">
        <f>IF(F1="售价",ROUND(AVERAGE(R38:V38),0),ROUND(AVERAGE(R38:V38),1))</f>
        <v>#DIV/0!</v>
      </c>
      <c r="S39" s="3294"/>
      <c r="T39" s="3294"/>
      <c r="U39" s="3294"/>
      <c r="V39" s="3294"/>
      <c r="W39" s="3294"/>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2728</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2729</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2586</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2551</v>
      </c>
      <c r="B51" s="511"/>
      <c r="C51" s="523" t="s">
        <v>2653</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2589</v>
      </c>
      <c r="B53" s="529" t="s">
        <v>2555</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2558</v>
      </c>
      <c r="C55" s="540" t="s">
        <v>2590</v>
      </c>
      <c r="D55" s="540" t="s">
        <v>2591</v>
      </c>
      <c r="E55" s="540" t="s">
        <v>2592</v>
      </c>
      <c r="F55" s="540" t="s">
        <v>2593</v>
      </c>
      <c r="G55" s="540" t="s">
        <v>2594</v>
      </c>
      <c r="H55" s="540" t="s">
        <v>2595</v>
      </c>
      <c r="I55" s="540" t="s">
        <v>2596</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2560</v>
      </c>
      <c r="B63" s="529" t="s">
        <v>2603</v>
      </c>
      <c r="C63" s="574" t="s">
        <v>2598</v>
      </c>
      <c r="D63" s="574" t="s">
        <v>2599</v>
      </c>
      <c r="E63" s="574" t="s">
        <v>2600</v>
      </c>
      <c r="F63" s="574" t="s">
        <v>2601</v>
      </c>
      <c r="G63" s="574" t="s">
        <v>2602</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2604</v>
      </c>
      <c r="C65" s="579" t="s">
        <v>2598</v>
      </c>
      <c r="D65" s="579" t="s">
        <v>2599</v>
      </c>
      <c r="E65" s="579" t="s">
        <v>2600</v>
      </c>
      <c r="F65" s="579" t="s">
        <v>2601</v>
      </c>
      <c r="G65" s="579" t="s">
        <v>2602</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2690</v>
      </c>
      <c r="C67" s="661" t="s">
        <v>2676</v>
      </c>
      <c r="D67" s="661" t="s">
        <v>2677</v>
      </c>
      <c r="E67" s="661" t="s">
        <v>2678</v>
      </c>
      <c r="F67" s="661" t="s">
        <v>2679</v>
      </c>
      <c r="G67" s="661" t="s">
        <v>2680</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2610</v>
      </c>
      <c r="C69" s="579" t="s">
        <v>2598</v>
      </c>
      <c r="D69" s="579" t="s">
        <v>2599</v>
      </c>
      <c r="E69" s="579" t="s">
        <v>2600</v>
      </c>
      <c r="F69" s="579" t="s">
        <v>2601</v>
      </c>
      <c r="G69" s="579" t="s">
        <v>2602</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2730</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2564</v>
      </c>
      <c r="B79" s="529" t="s">
        <v>2731</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2732</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2617</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2734</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2736</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2737</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IF(C2="——",ROUND(C37*D3/10000,0),ROUND(C37*D3/10000,0)-D2)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 ca="1">IF(C2="——",C37,ROUND(B2*10000/D3,0))</f>
        <v>#DIV/0!</v>
      </c>
      <c r="C3" s="401" t="s">
        <v>2645</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1" t="s">
        <v>2647</v>
      </c>
      <c r="D4" s="3232"/>
      <c r="E4" s="3233" t="s">
        <v>2648</v>
      </c>
      <c r="F4" s="3234"/>
      <c r="G4" s="3231" t="s">
        <v>2649</v>
      </c>
      <c r="H4" s="3232"/>
      <c r="I4" s="3231" t="s">
        <v>2650</v>
      </c>
      <c r="J4" s="3232"/>
      <c r="K4" s="611" t="s">
        <v>2651</v>
      </c>
      <c r="L4" s="1134"/>
      <c r="M4" s="1135"/>
      <c r="N4" s="1135"/>
      <c r="O4" s="1135"/>
      <c r="P4" s="3296" t="s">
        <v>2652</v>
      </c>
      <c r="Q4" s="3297"/>
      <c r="R4" s="3300" t="s">
        <v>2648</v>
      </c>
      <c r="S4" s="3301"/>
      <c r="T4" s="3300" t="s">
        <v>2649</v>
      </c>
      <c r="U4" s="3301"/>
      <c r="V4" s="3248" t="s">
        <v>2650</v>
      </c>
      <c r="W4" s="3248"/>
      <c r="X4" s="1818"/>
      <c r="Y4" s="3300" t="s">
        <v>2652</v>
      </c>
      <c r="Z4" s="3301"/>
      <c r="AA4" s="3295" t="s">
        <v>2648</v>
      </c>
      <c r="AB4" s="3261" t="s">
        <v>2649</v>
      </c>
      <c r="AC4" s="3295" t="s">
        <v>2650</v>
      </c>
    </row>
    <row r="5" spans="1:29" ht="15">
      <c r="A5" s="405"/>
      <c r="B5" s="406"/>
      <c r="C5" s="3257" t="s">
        <v>2543</v>
      </c>
      <c r="D5" s="3252"/>
      <c r="E5" s="3302" t="s">
        <v>2544</v>
      </c>
      <c r="F5" s="3264"/>
      <c r="G5" s="3257" t="s">
        <v>2545</v>
      </c>
      <c r="H5" s="3252"/>
      <c r="I5" s="3257" t="s">
        <v>2546</v>
      </c>
      <c r="J5" s="3252"/>
      <c r="K5" s="611"/>
      <c r="L5" s="1134"/>
      <c r="M5" s="1135"/>
      <c r="N5" s="1135"/>
      <c r="O5" s="1135"/>
      <c r="P5" s="3298"/>
      <c r="Q5" s="3238"/>
      <c r="R5" s="3243"/>
      <c r="S5" s="3244"/>
      <c r="T5" s="3243"/>
      <c r="U5" s="3244"/>
      <c r="V5" s="3248"/>
      <c r="W5" s="3248"/>
      <c r="X5" s="1818"/>
      <c r="Y5" s="3243"/>
      <c r="Z5" s="3244"/>
      <c r="AA5" s="3261"/>
      <c r="AB5" s="3261"/>
      <c r="AC5" s="3261"/>
    </row>
    <row r="6" spans="1:29" ht="15.75" thickBot="1">
      <c r="A6" s="407"/>
      <c r="B6" s="408"/>
      <c r="C6" s="3249" t="s">
        <v>2547</v>
      </c>
      <c r="D6" s="3250"/>
      <c r="E6" s="3258" t="s">
        <v>2547</v>
      </c>
      <c r="F6" s="3259"/>
      <c r="G6" s="3249" t="s">
        <v>2547</v>
      </c>
      <c r="H6" s="3250"/>
      <c r="I6" s="3249" t="s">
        <v>2547</v>
      </c>
      <c r="J6" s="3250"/>
      <c r="K6" s="611" t="s">
        <v>2548</v>
      </c>
      <c r="L6" s="1134"/>
      <c r="M6" s="1135"/>
      <c r="N6" s="1135"/>
      <c r="O6" s="1135"/>
      <c r="P6" s="3299"/>
      <c r="Q6" s="3240"/>
      <c r="R6" s="3243"/>
      <c r="S6" s="3244"/>
      <c r="T6" s="3245"/>
      <c r="U6" s="3246"/>
      <c r="V6" s="3248"/>
      <c r="W6" s="3248"/>
      <c r="X6" s="1818"/>
      <c r="Y6" s="3245"/>
      <c r="Z6" s="3246"/>
      <c r="AA6" s="3262"/>
      <c r="AB6" s="3262"/>
      <c r="AC6" s="3262"/>
    </row>
    <row r="7" spans="1:29" s="117" customFormat="1" ht="15.75" thickBot="1">
      <c r="A7" s="409" t="s">
        <v>2549</v>
      </c>
      <c r="B7" s="410"/>
      <c r="C7" s="411">
        <f>'数据-取费表'!B2</f>
        <v>43047</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255" t="s">
        <v>2550</v>
      </c>
      <c r="Q7" s="3256"/>
      <c r="R7" s="771" t="s">
        <v>17</v>
      </c>
      <c r="S7" s="772">
        <f t="shared" ref="S7:S14" si="0">F7</f>
        <v>0</v>
      </c>
      <c r="T7" s="771" t="s">
        <v>17</v>
      </c>
      <c r="U7" s="772">
        <f t="shared" ref="U7:U14" si="1">H7</f>
        <v>0</v>
      </c>
      <c r="V7" s="771" t="s">
        <v>17</v>
      </c>
      <c r="W7" s="772">
        <f t="shared" ref="W7:W14" si="2">J7</f>
        <v>0</v>
      </c>
      <c r="X7" s="773"/>
      <c r="Y7" s="3255" t="s">
        <v>2550</v>
      </c>
      <c r="Z7" s="3254"/>
      <c r="AA7" s="774" t="e">
        <f>D7/F7</f>
        <v>#DIV/0!</v>
      </c>
      <c r="AB7" s="774" t="e">
        <f>D7/H7</f>
        <v>#DIV/0!</v>
      </c>
      <c r="AC7" s="774" t="e">
        <f>D7/J7</f>
        <v>#DIV/0!</v>
      </c>
    </row>
    <row r="8" spans="1:29" s="117" customFormat="1" ht="15.75" thickBot="1">
      <c r="A8" s="409" t="s">
        <v>2551</v>
      </c>
      <c r="B8" s="410"/>
      <c r="C8" s="415" t="s">
        <v>2653</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55" t="s">
        <v>2553</v>
      </c>
      <c r="Q8" s="3254"/>
      <c r="R8" s="771" t="s">
        <v>17</v>
      </c>
      <c r="S8" s="772">
        <f t="shared" si="0"/>
        <v>0</v>
      </c>
      <c r="T8" s="771" t="s">
        <v>17</v>
      </c>
      <c r="U8" s="772">
        <f t="shared" si="1"/>
        <v>0</v>
      </c>
      <c r="V8" s="771" t="s">
        <v>17</v>
      </c>
      <c r="W8" s="772">
        <f t="shared" si="2"/>
        <v>0</v>
      </c>
      <c r="X8" s="773"/>
      <c r="Y8" s="3255" t="s">
        <v>2553</v>
      </c>
      <c r="Z8" s="3254"/>
      <c r="AA8" s="774" t="e">
        <f t="shared" ref="AA8:AA34" si="3">D8/F8</f>
        <v>#DIV/0!</v>
      </c>
      <c r="AB8" s="774" t="e">
        <f t="shared" ref="AB8:AB34" si="4">D8/H8</f>
        <v>#DIV/0!</v>
      </c>
      <c r="AC8" s="774" t="e">
        <f t="shared" ref="AC8:AC34" si="5">D8/J8</f>
        <v>#DIV/0!</v>
      </c>
    </row>
    <row r="9" spans="1:29" s="117" customFormat="1">
      <c r="A9" s="416" t="s">
        <v>2554</v>
      </c>
      <c r="B9" s="71" t="s">
        <v>2555</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14" t="s">
        <v>2556</v>
      </c>
      <c r="Q9" s="1800" t="str">
        <f t="shared" ref="Q9:Q14" si="6">B9</f>
        <v>用途</v>
      </c>
      <c r="R9" s="771" t="s">
        <v>17</v>
      </c>
      <c r="S9" s="772">
        <f t="shared" si="0"/>
        <v>100</v>
      </c>
      <c r="T9" s="771" t="s">
        <v>17</v>
      </c>
      <c r="U9" s="772">
        <f t="shared" si="1"/>
        <v>100</v>
      </c>
      <c r="V9" s="771" t="s">
        <v>17</v>
      </c>
      <c r="W9" s="772">
        <f t="shared" si="2"/>
        <v>100</v>
      </c>
      <c r="X9" s="773"/>
      <c r="Y9" s="3068" t="s">
        <v>2557</v>
      </c>
      <c r="Z9" s="55" t="str">
        <f t="shared" ref="Z9:Z14" si="7">Q9</f>
        <v>用途</v>
      </c>
      <c r="AA9" s="774">
        <f t="shared" si="3"/>
        <v>1</v>
      </c>
      <c r="AB9" s="774">
        <f t="shared" si="4"/>
        <v>1</v>
      </c>
      <c r="AC9" s="774">
        <f t="shared" si="5"/>
        <v>1</v>
      </c>
    </row>
    <row r="10" spans="1:29" s="428" customFormat="1" ht="27">
      <c r="A10" s="422"/>
      <c r="B10" s="423" t="s">
        <v>2558</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14"/>
      <c r="Q10" s="1800" t="str">
        <f t="shared" si="6"/>
        <v>土地使用年限（年）</v>
      </c>
      <c r="R10" s="771" t="s">
        <v>17</v>
      </c>
      <c r="S10" s="772">
        <f t="shared" si="0"/>
        <v>100</v>
      </c>
      <c r="T10" s="771" t="s">
        <v>17</v>
      </c>
      <c r="U10" s="772">
        <f t="shared" si="1"/>
        <v>100</v>
      </c>
      <c r="V10" s="771" t="s">
        <v>17</v>
      </c>
      <c r="W10" s="772">
        <f t="shared" si="2"/>
        <v>100</v>
      </c>
      <c r="X10" s="773"/>
      <c r="Y10" s="3068"/>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14"/>
      <c r="Q11" s="1800">
        <f t="shared" si="6"/>
        <v>111</v>
      </c>
      <c r="R11" s="771" t="s">
        <v>17</v>
      </c>
      <c r="S11" s="772">
        <f t="shared" si="0"/>
        <v>100</v>
      </c>
      <c r="T11" s="771" t="s">
        <v>17</v>
      </c>
      <c r="U11" s="772">
        <f t="shared" si="1"/>
        <v>100</v>
      </c>
      <c r="V11" s="771" t="s">
        <v>17</v>
      </c>
      <c r="W11" s="772">
        <f t="shared" si="2"/>
        <v>100</v>
      </c>
      <c r="X11" s="773"/>
      <c r="Y11" s="3068"/>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14"/>
      <c r="Q12" s="1800">
        <f t="shared" si="6"/>
        <v>111</v>
      </c>
      <c r="R12" s="771" t="s">
        <v>17</v>
      </c>
      <c r="S12" s="772">
        <f t="shared" si="0"/>
        <v>100</v>
      </c>
      <c r="T12" s="771" t="s">
        <v>17</v>
      </c>
      <c r="U12" s="772">
        <f t="shared" si="1"/>
        <v>100</v>
      </c>
      <c r="V12" s="771" t="s">
        <v>17</v>
      </c>
      <c r="W12" s="772">
        <f t="shared" si="2"/>
        <v>100</v>
      </c>
      <c r="X12" s="773"/>
      <c r="Y12" s="3068"/>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214"/>
      <c r="Q13" s="1800">
        <f t="shared" si="6"/>
        <v>111</v>
      </c>
      <c r="R13" s="771" t="s">
        <v>17</v>
      </c>
      <c r="S13" s="772">
        <f t="shared" si="0"/>
        <v>100</v>
      </c>
      <c r="T13" s="771" t="s">
        <v>17</v>
      </c>
      <c r="U13" s="772">
        <f t="shared" si="1"/>
        <v>100</v>
      </c>
      <c r="V13" s="771" t="s">
        <v>17</v>
      </c>
      <c r="W13" s="772">
        <f t="shared" si="2"/>
        <v>100</v>
      </c>
      <c r="X13" s="773"/>
      <c r="Y13" s="3068"/>
      <c r="Z13" s="55">
        <f t="shared" si="7"/>
        <v>111</v>
      </c>
      <c r="AA13" s="774">
        <f t="shared" si="3"/>
        <v>1</v>
      </c>
      <c r="AB13" s="774">
        <f t="shared" si="4"/>
        <v>1</v>
      </c>
      <c r="AC13" s="774">
        <f t="shared" si="5"/>
        <v>1</v>
      </c>
    </row>
    <row r="14" spans="1:29" ht="85.5">
      <c r="A14" s="441" t="s">
        <v>2560</v>
      </c>
      <c r="B14" s="69" t="s">
        <v>2710</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21" t="s">
        <v>2561</v>
      </c>
      <c r="Q14" s="1815" t="str">
        <f t="shared" si="6"/>
        <v>交通便捷度</v>
      </c>
      <c r="R14" s="775" t="s">
        <v>17</v>
      </c>
      <c r="S14" s="776">
        <f t="shared" si="0"/>
        <v>100</v>
      </c>
      <c r="T14" s="775" t="s">
        <v>17</v>
      </c>
      <c r="U14" s="776">
        <f t="shared" si="1"/>
        <v>100</v>
      </c>
      <c r="V14" s="775" t="s">
        <v>17</v>
      </c>
      <c r="W14" s="776">
        <f t="shared" si="2"/>
        <v>100</v>
      </c>
      <c r="X14" s="1818"/>
      <c r="Y14" s="3221" t="s">
        <v>2561</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22"/>
      <c r="Q15" s="1815"/>
      <c r="R15" s="775"/>
      <c r="S15" s="776"/>
      <c r="T15" s="775"/>
      <c r="U15" s="776"/>
      <c r="V15" s="775"/>
      <c r="W15" s="776"/>
      <c r="X15" s="1818"/>
      <c r="Y15" s="3222"/>
      <c r="Z15" s="1819"/>
      <c r="AA15" s="1816">
        <v>1</v>
      </c>
      <c r="AB15" s="1816">
        <v>1</v>
      </c>
      <c r="AC15" s="1816">
        <v>1</v>
      </c>
    </row>
    <row r="16" spans="1:29" ht="42.75">
      <c r="A16" s="429"/>
      <c r="B16" s="452" t="s">
        <v>2689</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22"/>
      <c r="Q16" s="1815" t="str">
        <f>B16</f>
        <v>公共配套设施</v>
      </c>
      <c r="R16" s="775" t="s">
        <v>17</v>
      </c>
      <c r="S16" s="776">
        <f>F16</f>
        <v>100</v>
      </c>
      <c r="T16" s="775" t="s">
        <v>17</v>
      </c>
      <c r="U16" s="776">
        <f>H16</f>
        <v>100</v>
      </c>
      <c r="V16" s="775" t="s">
        <v>17</v>
      </c>
      <c r="W16" s="776">
        <f>J16</f>
        <v>100</v>
      </c>
      <c r="X16" s="1818"/>
      <c r="Y16" s="3222"/>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222"/>
      <c r="Q17" s="1815"/>
      <c r="R17" s="775"/>
      <c r="S17" s="776"/>
      <c r="T17" s="775"/>
      <c r="U17" s="776"/>
      <c r="V17" s="775"/>
      <c r="W17" s="776"/>
      <c r="X17" s="1818"/>
      <c r="Y17" s="3222"/>
      <c r="Z17" s="1819"/>
      <c r="AA17" s="1816">
        <v>1</v>
      </c>
      <c r="AB17" s="1816">
        <v>1</v>
      </c>
      <c r="AC17" s="1816">
        <v>1</v>
      </c>
    </row>
    <row r="18" spans="1:29" ht="28.5">
      <c r="A18" s="429"/>
      <c r="B18" s="1388" t="s">
        <v>2690</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22"/>
      <c r="Q18" s="1815" t="str">
        <f>B18</f>
        <v>基础设施水平</v>
      </c>
      <c r="R18" s="775" t="s">
        <v>17</v>
      </c>
      <c r="S18" s="776">
        <f>F18</f>
        <v>100</v>
      </c>
      <c r="T18" s="775" t="s">
        <v>17</v>
      </c>
      <c r="U18" s="776">
        <f>H18</f>
        <v>100</v>
      </c>
      <c r="V18" s="775" t="s">
        <v>17</v>
      </c>
      <c r="W18" s="776">
        <f>J18</f>
        <v>100</v>
      </c>
      <c r="X18" s="1818"/>
      <c r="Y18" s="3222"/>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222"/>
      <c r="Q19" s="1815"/>
      <c r="R19" s="775"/>
      <c r="S19" s="776"/>
      <c r="T19" s="775"/>
      <c r="U19" s="776"/>
      <c r="V19" s="775"/>
      <c r="W19" s="776"/>
      <c r="X19" s="1818"/>
      <c r="Y19" s="3222"/>
      <c r="Z19" s="1819"/>
      <c r="AA19" s="1816">
        <v>1</v>
      </c>
      <c r="AB19" s="1816">
        <v>1</v>
      </c>
      <c r="AC19" s="1816">
        <v>1</v>
      </c>
    </row>
    <row r="20" spans="1:29" ht="57">
      <c r="A20" s="429"/>
      <c r="B20" s="452" t="s">
        <v>2711</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22"/>
      <c r="Q20" s="1815" t="str">
        <f>B20</f>
        <v>自然及人文环境</v>
      </c>
      <c r="R20" s="775" t="s">
        <v>17</v>
      </c>
      <c r="S20" s="776">
        <f>F20</f>
        <v>100</v>
      </c>
      <c r="T20" s="775" t="s">
        <v>17</v>
      </c>
      <c r="U20" s="776">
        <f>H20</f>
        <v>100</v>
      </c>
      <c r="V20" s="775" t="s">
        <v>17</v>
      </c>
      <c r="W20" s="776">
        <f>J20</f>
        <v>100</v>
      </c>
      <c r="X20" s="1818"/>
      <c r="Y20" s="3222"/>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22"/>
      <c r="Q21" s="1815"/>
      <c r="R21" s="775"/>
      <c r="S21" s="776"/>
      <c r="T21" s="775"/>
      <c r="U21" s="776"/>
      <c r="V21" s="775"/>
      <c r="W21" s="776"/>
      <c r="X21" s="1818"/>
      <c r="Y21" s="3222"/>
      <c r="Z21" s="1819"/>
      <c r="AA21" s="1816">
        <v>1</v>
      </c>
      <c r="AB21" s="1816">
        <v>1</v>
      </c>
      <c r="AC21" s="1816">
        <v>1</v>
      </c>
    </row>
    <row r="22" spans="1:29" ht="15">
      <c r="A22" s="429"/>
      <c r="B22" s="452" t="s">
        <v>2712</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22"/>
      <c r="Q22" s="1815" t="str">
        <f>B22</f>
        <v>楼层</v>
      </c>
      <c r="R22" s="775" t="s">
        <v>17</v>
      </c>
      <c r="S22" s="776">
        <f>F22</f>
        <v>100</v>
      </c>
      <c r="T22" s="775" t="s">
        <v>17</v>
      </c>
      <c r="U22" s="776">
        <f>H22</f>
        <v>100</v>
      </c>
      <c r="V22" s="775" t="s">
        <v>17</v>
      </c>
      <c r="W22" s="776">
        <f>J22</f>
        <v>100</v>
      </c>
      <c r="X22" s="1818"/>
      <c r="Y22" s="3222"/>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22"/>
      <c r="Q23" s="1815">
        <f>B23</f>
        <v>111</v>
      </c>
      <c r="R23" s="775" t="s">
        <v>17</v>
      </c>
      <c r="S23" s="776">
        <f>F23</f>
        <v>100</v>
      </c>
      <c r="T23" s="775" t="s">
        <v>17</v>
      </c>
      <c r="U23" s="776">
        <f>H23</f>
        <v>100</v>
      </c>
      <c r="V23" s="775" t="s">
        <v>17</v>
      </c>
      <c r="W23" s="776">
        <f>J23</f>
        <v>100</v>
      </c>
      <c r="X23" s="1818"/>
      <c r="Y23" s="3222"/>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22"/>
      <c r="Q24" s="1815">
        <f t="shared" ref="Q24:Q34" si="11">B24</f>
        <v>111</v>
      </c>
      <c r="R24" s="775" t="s">
        <v>17</v>
      </c>
      <c r="S24" s="776">
        <f>F24</f>
        <v>100</v>
      </c>
      <c r="T24" s="775" t="s">
        <v>17</v>
      </c>
      <c r="U24" s="776">
        <f>H24</f>
        <v>100</v>
      </c>
      <c r="V24" s="775" t="s">
        <v>17</v>
      </c>
      <c r="W24" s="776">
        <f>J24</f>
        <v>100</v>
      </c>
      <c r="X24" s="1818"/>
      <c r="Y24" s="3222"/>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222"/>
      <c r="Q25" s="1800">
        <f t="shared" si="11"/>
        <v>111</v>
      </c>
      <c r="R25" s="771" t="s">
        <v>17</v>
      </c>
      <c r="S25" s="772">
        <f>F25</f>
        <v>100</v>
      </c>
      <c r="T25" s="771" t="s">
        <v>17</v>
      </c>
      <c r="U25" s="772">
        <f>H25</f>
        <v>100</v>
      </c>
      <c r="V25" s="771" t="s">
        <v>17</v>
      </c>
      <c r="W25" s="772">
        <f>J25</f>
        <v>100</v>
      </c>
      <c r="X25" s="773"/>
      <c r="Y25" s="3222"/>
      <c r="Z25" s="55">
        <f>Q25</f>
        <v>111</v>
      </c>
      <c r="AA25" s="1816">
        <f>D25/F25</f>
        <v>1</v>
      </c>
      <c r="AB25" s="1816">
        <f>D25/H25</f>
        <v>1</v>
      </c>
      <c r="AC25" s="1816">
        <f>D25/J25</f>
        <v>1</v>
      </c>
    </row>
    <row r="26" spans="1:29" ht="15">
      <c r="A26" s="467" t="s">
        <v>2564</v>
      </c>
      <c r="B26" s="71" t="s">
        <v>2715</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303" t="s">
        <v>2566</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26" t="s">
        <v>2566</v>
      </c>
      <c r="Z26" s="1819" t="str">
        <f t="shared" ref="Z26:Z34" si="15">Q26</f>
        <v>公共部分装修</v>
      </c>
      <c r="AA26" s="1816">
        <f t="shared" si="3"/>
        <v>1</v>
      </c>
      <c r="AB26" s="1816">
        <f t="shared" si="4"/>
        <v>1</v>
      </c>
      <c r="AC26" s="1816">
        <f t="shared" si="5"/>
        <v>1</v>
      </c>
    </row>
    <row r="27" spans="1:29" s="472" customFormat="1" ht="15">
      <c r="A27" s="469"/>
      <c r="B27" s="423" t="s">
        <v>2716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26"/>
      <c r="Q27" s="777" t="str">
        <f t="shared" si="11"/>
        <v>成新率</v>
      </c>
      <c r="R27" s="778" t="s">
        <v>17</v>
      </c>
      <c r="S27" s="779" t="e">
        <f t="shared" si="12"/>
        <v>#N/A</v>
      </c>
      <c r="T27" s="778" t="s">
        <v>17</v>
      </c>
      <c r="U27" s="779" t="e">
        <f t="shared" si="13"/>
        <v>#N/A</v>
      </c>
      <c r="V27" s="778" t="s">
        <v>17</v>
      </c>
      <c r="W27" s="779" t="e">
        <f t="shared" si="14"/>
        <v>#N/A</v>
      </c>
      <c r="X27" s="780"/>
      <c r="Y27" s="3226"/>
      <c r="Z27" s="781" t="str">
        <f t="shared" si="15"/>
        <v>成新率</v>
      </c>
      <c r="AA27" s="1816" t="e">
        <f t="shared" si="3"/>
        <v>#N/A</v>
      </c>
      <c r="AB27" s="1816" t="e">
        <f t="shared" si="4"/>
        <v>#N/A</v>
      </c>
      <c r="AC27" s="1816" t="e">
        <f t="shared" si="5"/>
        <v>#N/A</v>
      </c>
    </row>
    <row r="28" spans="1:29" ht="15">
      <c r="A28" s="473"/>
      <c r="B28" s="423" t="s">
        <v>2717</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26"/>
      <c r="Q28" s="1815" t="str">
        <f t="shared" si="11"/>
        <v>物业等级</v>
      </c>
      <c r="R28" s="775" t="s">
        <v>17</v>
      </c>
      <c r="S28" s="776">
        <f t="shared" si="12"/>
        <v>100</v>
      </c>
      <c r="T28" s="775" t="s">
        <v>17</v>
      </c>
      <c r="U28" s="776">
        <f t="shared" si="13"/>
        <v>100</v>
      </c>
      <c r="V28" s="775" t="s">
        <v>17</v>
      </c>
      <c r="W28" s="776">
        <f t="shared" si="14"/>
        <v>100</v>
      </c>
      <c r="X28" s="1818"/>
      <c r="Y28" s="3226"/>
      <c r="Z28" s="1819" t="str">
        <f t="shared" si="15"/>
        <v>物业等级</v>
      </c>
      <c r="AA28" s="1816">
        <f t="shared" si="3"/>
        <v>1</v>
      </c>
      <c r="AB28" s="1816">
        <f t="shared" si="4"/>
        <v>1</v>
      </c>
      <c r="AC28" s="1816">
        <f t="shared" si="5"/>
        <v>1</v>
      </c>
    </row>
    <row r="29" spans="1:29" ht="15">
      <c r="A29" s="473"/>
      <c r="B29" s="423" t="s">
        <v>2738</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26"/>
      <c r="Q29" s="1815" t="str">
        <f t="shared" si="11"/>
        <v>有无电梯</v>
      </c>
      <c r="R29" s="775" t="s">
        <v>17</v>
      </c>
      <c r="S29" s="776">
        <f t="shared" si="12"/>
        <v>100</v>
      </c>
      <c r="T29" s="775" t="s">
        <v>17</v>
      </c>
      <c r="U29" s="776">
        <f t="shared" si="13"/>
        <v>100</v>
      </c>
      <c r="V29" s="775" t="s">
        <v>17</v>
      </c>
      <c r="W29" s="776">
        <f t="shared" si="14"/>
        <v>100</v>
      </c>
      <c r="X29" s="1818"/>
      <c r="Y29" s="3226"/>
      <c r="Z29" s="1819" t="str">
        <f t="shared" si="15"/>
        <v>有无电梯</v>
      </c>
      <c r="AA29" s="1816">
        <f t="shared" si="3"/>
        <v>1</v>
      </c>
      <c r="AB29" s="1816">
        <f t="shared" si="4"/>
        <v>1</v>
      </c>
      <c r="AC29" s="1816">
        <f t="shared" si="5"/>
        <v>1</v>
      </c>
    </row>
    <row r="30" spans="1:29" ht="15">
      <c r="A30" s="473"/>
      <c r="B30" s="423" t="s">
        <v>2739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26"/>
      <c r="Q30" s="1815" t="str">
        <f t="shared" si="11"/>
        <v>建筑面积</v>
      </c>
      <c r="R30" s="775" t="s">
        <v>17</v>
      </c>
      <c r="S30" s="776" t="e">
        <f t="shared" si="12"/>
        <v>#N/A</v>
      </c>
      <c r="T30" s="775" t="s">
        <v>17</v>
      </c>
      <c r="U30" s="776" t="e">
        <f t="shared" si="13"/>
        <v>#N/A</v>
      </c>
      <c r="V30" s="775" t="s">
        <v>17</v>
      </c>
      <c r="W30" s="776" t="e">
        <f t="shared" si="14"/>
        <v>#N/A</v>
      </c>
      <c r="X30" s="1818"/>
      <c r="Y30" s="3226"/>
      <c r="Z30" s="1819" t="str">
        <f t="shared" si="15"/>
        <v>建筑面积</v>
      </c>
      <c r="AA30" s="1816" t="e">
        <f t="shared" si="3"/>
        <v>#N/A</v>
      </c>
      <c r="AB30" s="1816" t="e">
        <f t="shared" si="4"/>
        <v>#N/A</v>
      </c>
      <c r="AC30" s="1816" t="e">
        <f t="shared" si="5"/>
        <v>#N/A</v>
      </c>
    </row>
    <row r="31" spans="1:29" s="117" customFormat="1" ht="15">
      <c r="A31" s="474"/>
      <c r="B31" s="423" t="s">
        <v>2740</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26"/>
      <c r="Q31" s="1800" t="str">
        <f t="shared" si="11"/>
        <v>是否封闭</v>
      </c>
      <c r="R31" s="771" t="s">
        <v>17</v>
      </c>
      <c r="S31" s="772">
        <f t="shared" si="12"/>
        <v>100</v>
      </c>
      <c r="T31" s="771" t="s">
        <v>17</v>
      </c>
      <c r="U31" s="772">
        <f t="shared" si="13"/>
        <v>100</v>
      </c>
      <c r="V31" s="771" t="s">
        <v>17</v>
      </c>
      <c r="W31" s="772">
        <f t="shared" si="14"/>
        <v>100</v>
      </c>
      <c r="X31" s="773"/>
      <c r="Y31" s="3226"/>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26" t="s">
        <v>2566</v>
      </c>
      <c r="Q32" s="1815">
        <f t="shared" si="11"/>
        <v>111</v>
      </c>
      <c r="R32" s="775" t="s">
        <v>17</v>
      </c>
      <c r="S32" s="776">
        <f t="shared" si="12"/>
        <v>100</v>
      </c>
      <c r="T32" s="775" t="s">
        <v>17</v>
      </c>
      <c r="U32" s="776">
        <f t="shared" si="13"/>
        <v>100</v>
      </c>
      <c r="V32" s="775" t="s">
        <v>17</v>
      </c>
      <c r="W32" s="776">
        <f t="shared" si="14"/>
        <v>100</v>
      </c>
      <c r="X32" s="1818"/>
      <c r="Y32" s="3226" t="s">
        <v>2566</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26"/>
      <c r="Q33" s="1815">
        <f t="shared" si="11"/>
        <v>111</v>
      </c>
      <c r="R33" s="775" t="s">
        <v>17</v>
      </c>
      <c r="S33" s="776">
        <f t="shared" si="12"/>
        <v>100</v>
      </c>
      <c r="T33" s="775" t="s">
        <v>17</v>
      </c>
      <c r="U33" s="776">
        <f t="shared" si="13"/>
        <v>100</v>
      </c>
      <c r="V33" s="775" t="s">
        <v>17</v>
      </c>
      <c r="W33" s="776">
        <f t="shared" si="14"/>
        <v>100</v>
      </c>
      <c r="X33" s="1818"/>
      <c r="Y33" s="3226"/>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26"/>
      <c r="Q34" s="1815">
        <f t="shared" si="11"/>
        <v>111</v>
      </c>
      <c r="R34" s="775" t="s">
        <v>17</v>
      </c>
      <c r="S34" s="776">
        <f t="shared" si="12"/>
        <v>100</v>
      </c>
      <c r="T34" s="775" t="s">
        <v>17</v>
      </c>
      <c r="U34" s="776">
        <f t="shared" si="13"/>
        <v>100</v>
      </c>
      <c r="V34" s="775" t="s">
        <v>17</v>
      </c>
      <c r="W34" s="776">
        <f t="shared" si="14"/>
        <v>100</v>
      </c>
      <c r="X34" s="1818"/>
      <c r="Y34" s="3226"/>
      <c r="Z34" s="1819">
        <f t="shared" si="15"/>
        <v>111</v>
      </c>
      <c r="AA34" s="1816">
        <f t="shared" si="3"/>
        <v>1</v>
      </c>
      <c r="AB34" s="1816">
        <f t="shared" si="4"/>
        <v>1</v>
      </c>
      <c r="AC34" s="1816">
        <f t="shared" si="5"/>
        <v>1</v>
      </c>
    </row>
    <row r="35" spans="1:29" ht="15">
      <c r="A35" s="480" t="s">
        <v>2578</v>
      </c>
      <c r="B35" s="481"/>
      <c r="C35" s="1411" t="s">
        <v>1</v>
      </c>
      <c r="D35" s="1412"/>
      <c r="E35" s="1413"/>
      <c r="F35" s="1414"/>
      <c r="G35" s="1415"/>
      <c r="H35" s="1416"/>
      <c r="I35" s="1413"/>
      <c r="J35" s="1416"/>
      <c r="K35" s="784"/>
      <c r="L35" s="1147"/>
      <c r="M35" s="1148"/>
      <c r="N35" s="1135"/>
      <c r="O35" s="1148"/>
      <c r="P35" s="3214" t="str">
        <f>A35</f>
        <v>成交单价（元/平方米）</v>
      </c>
      <c r="Q35" s="3214"/>
      <c r="R35" s="3215">
        <f>E35</f>
        <v>0</v>
      </c>
      <c r="S35" s="3215"/>
      <c r="T35" s="3215">
        <f>G35</f>
        <v>0</v>
      </c>
      <c r="U35" s="3215"/>
      <c r="V35" s="3215">
        <f>I35</f>
        <v>0</v>
      </c>
      <c r="W35" s="3215"/>
      <c r="X35" s="760"/>
      <c r="Y35" s="782"/>
      <c r="Z35" s="760"/>
      <c r="AA35" s="760"/>
      <c r="AB35" s="760"/>
      <c r="AC35" s="760"/>
    </row>
    <row r="36" spans="1:29" ht="15.75" thickBot="1">
      <c r="A36" s="487" t="s">
        <v>2670</v>
      </c>
      <c r="B36" s="488"/>
      <c r="C36" s="1417" t="e">
        <f>R37</f>
        <v>#DIV/0!</v>
      </c>
      <c r="D36" s="1418"/>
      <c r="E36" s="1419" t="e">
        <f>R36</f>
        <v>#DIV/0!</v>
      </c>
      <c r="F36" s="1419"/>
      <c r="G36" s="1417" t="e">
        <f>T36</f>
        <v>#DIV/0!</v>
      </c>
      <c r="H36" s="1418"/>
      <c r="I36" s="1419" t="e">
        <f>V36</f>
        <v>#DIV/0!</v>
      </c>
      <c r="J36" s="1418"/>
      <c r="K36" s="785"/>
      <c r="L36" s="1147"/>
      <c r="M36" s="1148"/>
      <c r="N36" s="1135"/>
      <c r="O36" s="1148"/>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60"/>
      <c r="Y36" s="760"/>
      <c r="Z36" s="760"/>
      <c r="AA36" s="760"/>
      <c r="AB36" s="760"/>
      <c r="AC36" s="760"/>
    </row>
    <row r="37" spans="1:29" ht="15.75" thickBot="1">
      <c r="A37" s="493" t="s">
        <v>2671</v>
      </c>
      <c r="B37" s="494"/>
      <c r="C37" s="1421" t="e">
        <f>R37</f>
        <v>#DIV/0!</v>
      </c>
      <c r="D37" s="1421"/>
      <c r="E37" s="1421"/>
      <c r="F37" s="1421"/>
      <c r="G37" s="1421"/>
      <c r="H37" s="1421"/>
      <c r="I37" s="1421"/>
      <c r="J37" s="1421"/>
      <c r="K37" s="786"/>
      <c r="L37" s="1147"/>
      <c r="M37" s="1148"/>
      <c r="N37" s="1148"/>
      <c r="O37" s="1148"/>
      <c r="P37" s="3292" t="str">
        <f>A37</f>
        <v>估价对象XX用房的比较价值（楼面单价，元/平方米）</v>
      </c>
      <c r="Q37" s="3293"/>
      <c r="R37" s="3294" t="e">
        <f>IF(F1="售价",ROUND(AVERAGE(R36:V36),0),ROUND(AVERAGE(R36:V36),1))</f>
        <v>#DIV/0!</v>
      </c>
      <c r="S37" s="3294"/>
      <c r="T37" s="3294"/>
      <c r="U37" s="3294"/>
      <c r="V37" s="3294"/>
      <c r="W37" s="3294"/>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2675</v>
      </c>
      <c r="B45" s="760"/>
      <c r="C45" s="765"/>
      <c r="D45" s="765"/>
      <c r="E45" s="765"/>
      <c r="F45" s="766"/>
      <c r="G45" s="766"/>
      <c r="H45" s="765"/>
      <c r="I45" s="765"/>
      <c r="J45" s="765"/>
      <c r="K45" s="767"/>
      <c r="L45" s="768"/>
      <c r="M45" s="765"/>
      <c r="N45" s="765"/>
      <c r="O45" s="765"/>
      <c r="P45" s="504"/>
      <c r="Q45" s="505"/>
    </row>
    <row r="46" spans="1:29" s="509" customFormat="1" ht="15">
      <c r="A46" s="506" t="s">
        <v>2549</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2586</v>
      </c>
      <c r="B48" s="517"/>
      <c r="C48" s="518"/>
      <c r="D48" s="519"/>
      <c r="E48" s="519"/>
      <c r="F48" s="519"/>
      <c r="G48" s="519"/>
      <c r="H48" s="519"/>
      <c r="I48" s="519"/>
      <c r="J48" s="519"/>
      <c r="K48" s="519"/>
      <c r="L48" s="519"/>
      <c r="M48" s="520"/>
      <c r="N48" s="519"/>
      <c r="O48" s="521"/>
      <c r="P48" s="505"/>
      <c r="Q48" s="505"/>
    </row>
    <row r="49" spans="1:17" s="117" customFormat="1" ht="15">
      <c r="A49" s="522" t="s">
        <v>2551</v>
      </c>
      <c r="B49" s="511"/>
      <c r="C49" s="523" t="s">
        <v>2653</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2589</v>
      </c>
      <c r="B51" s="529" t="s">
        <v>2555</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2558</v>
      </c>
      <c r="C53" s="540" t="s">
        <v>2590</v>
      </c>
      <c r="D53" s="540" t="s">
        <v>2591</v>
      </c>
      <c r="E53" s="540" t="s">
        <v>2592</v>
      </c>
      <c r="F53" s="540" t="s">
        <v>2593</v>
      </c>
      <c r="G53" s="540" t="s">
        <v>2594</v>
      </c>
      <c r="H53" s="540" t="s">
        <v>2595</v>
      </c>
      <c r="I53" s="540" t="s">
        <v>2596</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2560</v>
      </c>
      <c r="B61" s="529" t="s">
        <v>2603</v>
      </c>
      <c r="C61" s="574" t="s">
        <v>2598</v>
      </c>
      <c r="D61" s="574" t="s">
        <v>2599</v>
      </c>
      <c r="E61" s="574" t="s">
        <v>2600</v>
      </c>
      <c r="F61" s="574" t="s">
        <v>2601</v>
      </c>
      <c r="G61" s="574" t="s">
        <v>2602</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2741</v>
      </c>
      <c r="C63" s="579" t="s">
        <v>2598</v>
      </c>
      <c r="D63" s="579" t="s">
        <v>2599</v>
      </c>
      <c r="E63" s="579" t="s">
        <v>2600</v>
      </c>
      <c r="F63" s="579" t="s">
        <v>2601</v>
      </c>
      <c r="G63" s="579" t="s">
        <v>2602</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2690</v>
      </c>
      <c r="C65" s="661" t="s">
        <v>2676</v>
      </c>
      <c r="D65" s="661" t="s">
        <v>2677</v>
      </c>
      <c r="E65" s="661" t="s">
        <v>2678</v>
      </c>
      <c r="F65" s="661" t="s">
        <v>2679</v>
      </c>
      <c r="G65" s="661" t="s">
        <v>2680</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2610</v>
      </c>
      <c r="C67" s="579" t="s">
        <v>2598</v>
      </c>
      <c r="D67" s="579" t="s">
        <v>2599</v>
      </c>
      <c r="E67" s="579" t="s">
        <v>2600</v>
      </c>
      <c r="F67" s="579" t="s">
        <v>2601</v>
      </c>
      <c r="G67" s="579" t="s">
        <v>2602</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2730</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2564</v>
      </c>
      <c r="B77" s="529" t="s">
        <v>2617</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2734</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2742</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2744</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2745</v>
      </c>
      <c r="B1" s="396"/>
      <c r="C1" s="397" t="s">
        <v>2746</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2328</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2646</v>
      </c>
      <c r="B4" s="403"/>
      <c r="C4" s="3231" t="s">
        <v>2647</v>
      </c>
      <c r="D4" s="3232"/>
      <c r="E4" s="3233" t="s">
        <v>2648</v>
      </c>
      <c r="F4" s="3234"/>
      <c r="G4" s="3231" t="s">
        <v>2649</v>
      </c>
      <c r="H4" s="3232"/>
      <c r="I4" s="3231" t="s">
        <v>2650</v>
      </c>
      <c r="J4" s="3232"/>
      <c r="K4" s="611" t="s">
        <v>2651</v>
      </c>
      <c r="L4" s="1134"/>
      <c r="M4" s="1135"/>
      <c r="N4" s="1135"/>
      <c r="O4" s="1135"/>
      <c r="P4" s="3296" t="s">
        <v>2652</v>
      </c>
      <c r="Q4" s="3297"/>
      <c r="R4" s="3300" t="s">
        <v>2648</v>
      </c>
      <c r="S4" s="3301"/>
      <c r="T4" s="3300" t="s">
        <v>2649</v>
      </c>
      <c r="U4" s="3301"/>
      <c r="V4" s="3248" t="s">
        <v>2650</v>
      </c>
      <c r="W4" s="3248"/>
      <c r="X4" s="1818"/>
      <c r="Y4" s="3300" t="s">
        <v>2652</v>
      </c>
      <c r="Z4" s="3301"/>
      <c r="AA4" s="3295" t="s">
        <v>2648</v>
      </c>
      <c r="AB4" s="3261" t="s">
        <v>2649</v>
      </c>
      <c r="AC4" s="3295" t="s">
        <v>2650</v>
      </c>
    </row>
    <row r="5" spans="1:30" ht="15">
      <c r="A5" s="405"/>
      <c r="B5" s="406"/>
      <c r="C5" s="3257" t="s">
        <v>2543</v>
      </c>
      <c r="D5" s="3252"/>
      <c r="E5" s="3302" t="s">
        <v>2544</v>
      </c>
      <c r="F5" s="3264"/>
      <c r="G5" s="3257" t="s">
        <v>2545</v>
      </c>
      <c r="H5" s="3252"/>
      <c r="I5" s="3257" t="s">
        <v>2546</v>
      </c>
      <c r="J5" s="3252"/>
      <c r="K5" s="611"/>
      <c r="L5" s="1134"/>
      <c r="M5" s="1135"/>
      <c r="N5" s="1135"/>
      <c r="O5" s="1135"/>
      <c r="P5" s="3298"/>
      <c r="Q5" s="3238"/>
      <c r="R5" s="3243"/>
      <c r="S5" s="3244"/>
      <c r="T5" s="3243"/>
      <c r="U5" s="3244"/>
      <c r="V5" s="3248"/>
      <c r="W5" s="3248"/>
      <c r="X5" s="1818"/>
      <c r="Y5" s="3243"/>
      <c r="Z5" s="3244"/>
      <c r="AA5" s="3261"/>
      <c r="AB5" s="3261"/>
      <c r="AC5" s="3261"/>
    </row>
    <row r="6" spans="1:30" ht="15.75" thickBot="1">
      <c r="A6" s="407"/>
      <c r="B6" s="408"/>
      <c r="C6" s="3249" t="s">
        <v>2547</v>
      </c>
      <c r="D6" s="3250"/>
      <c r="E6" s="3258" t="s">
        <v>2547</v>
      </c>
      <c r="F6" s="3259"/>
      <c r="G6" s="3249" t="s">
        <v>2547</v>
      </c>
      <c r="H6" s="3250"/>
      <c r="I6" s="3249" t="s">
        <v>2547</v>
      </c>
      <c r="J6" s="3250"/>
      <c r="K6" s="611" t="s">
        <v>2548</v>
      </c>
      <c r="L6" s="1134"/>
      <c r="M6" s="1135"/>
      <c r="N6" s="1135"/>
      <c r="O6" s="1135"/>
      <c r="P6" s="3299"/>
      <c r="Q6" s="3240"/>
      <c r="R6" s="3243"/>
      <c r="S6" s="3244"/>
      <c r="T6" s="3245"/>
      <c r="U6" s="3246"/>
      <c r="V6" s="3248"/>
      <c r="W6" s="3248"/>
      <c r="X6" s="1818"/>
      <c r="Y6" s="3245"/>
      <c r="Z6" s="3246"/>
      <c r="AA6" s="3262"/>
      <c r="AB6" s="3262"/>
      <c r="AC6" s="3262"/>
    </row>
    <row r="7" spans="1:30" s="117" customFormat="1" ht="15.75" thickBot="1">
      <c r="A7" s="409" t="s">
        <v>2549</v>
      </c>
      <c r="B7" s="410"/>
      <c r="C7" s="411">
        <f>'数据-取费表'!B2</f>
        <v>43047</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255" t="s">
        <v>2550</v>
      </c>
      <c r="Q7" s="3256"/>
      <c r="R7" s="771" t="s">
        <v>17</v>
      </c>
      <c r="S7" s="772">
        <f t="shared" ref="S7:S15" si="0">F7</f>
        <v>0</v>
      </c>
      <c r="T7" s="771" t="s">
        <v>17</v>
      </c>
      <c r="U7" s="772">
        <f t="shared" ref="U7:U15" si="1">H7</f>
        <v>0</v>
      </c>
      <c r="V7" s="771" t="s">
        <v>17</v>
      </c>
      <c r="W7" s="772">
        <f t="shared" ref="W7:W15" si="2">J7</f>
        <v>0</v>
      </c>
      <c r="X7" s="773"/>
      <c r="Y7" s="3255" t="s">
        <v>2550</v>
      </c>
      <c r="Z7" s="3254"/>
      <c r="AA7" s="774" t="e">
        <f>D7/F7</f>
        <v>#DIV/0!</v>
      </c>
      <c r="AB7" s="774" t="e">
        <f>D7/H7</f>
        <v>#DIV/0!</v>
      </c>
      <c r="AC7" s="774" t="e">
        <f>D7/J7</f>
        <v>#DIV/0!</v>
      </c>
    </row>
    <row r="8" spans="1:30" s="117" customFormat="1" ht="15.75" thickBot="1">
      <c r="A8" s="409" t="s">
        <v>2551</v>
      </c>
      <c r="B8" s="410"/>
      <c r="C8" s="415" t="s">
        <v>2552</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55" t="s">
        <v>2553</v>
      </c>
      <c r="Q8" s="3254"/>
      <c r="R8" s="771" t="s">
        <v>17</v>
      </c>
      <c r="S8" s="772">
        <f t="shared" si="0"/>
        <v>0</v>
      </c>
      <c r="T8" s="771" t="s">
        <v>17</v>
      </c>
      <c r="U8" s="772">
        <f t="shared" si="1"/>
        <v>0</v>
      </c>
      <c r="V8" s="771" t="s">
        <v>17</v>
      </c>
      <c r="W8" s="772">
        <f t="shared" si="2"/>
        <v>0</v>
      </c>
      <c r="X8" s="773"/>
      <c r="Y8" s="3255" t="s">
        <v>2553</v>
      </c>
      <c r="Z8" s="3254"/>
      <c r="AA8" s="774" t="e">
        <f t="shared" ref="AA8:AA45" si="3">D8/F8</f>
        <v>#DIV/0!</v>
      </c>
      <c r="AB8" s="774" t="e">
        <f t="shared" ref="AB8:AB45" si="4">D8/H8</f>
        <v>#DIV/0!</v>
      </c>
      <c r="AC8" s="774" t="e">
        <f t="shared" ref="AC8:AC45" si="5">D8/J8</f>
        <v>#DIV/0!</v>
      </c>
    </row>
    <row r="9" spans="1:30" s="117" customFormat="1">
      <c r="A9" s="416" t="s">
        <v>2554</v>
      </c>
      <c r="B9" s="71" t="s">
        <v>2555</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214" t="s">
        <v>2556</v>
      </c>
      <c r="Q9" s="1800" t="str">
        <f t="shared" ref="Q9:Q15" si="6">B9</f>
        <v>用途</v>
      </c>
      <c r="R9" s="771" t="s">
        <v>17</v>
      </c>
      <c r="S9" s="772">
        <f t="shared" si="0"/>
        <v>100</v>
      </c>
      <c r="T9" s="771" t="s">
        <v>17</v>
      </c>
      <c r="U9" s="772">
        <f t="shared" si="1"/>
        <v>100</v>
      </c>
      <c r="V9" s="771" t="s">
        <v>17</v>
      </c>
      <c r="W9" s="772">
        <f t="shared" si="2"/>
        <v>100</v>
      </c>
      <c r="X9" s="773"/>
      <c r="Y9" s="3068" t="s">
        <v>2557</v>
      </c>
      <c r="Z9" s="55" t="str">
        <f t="shared" ref="Z9:Z15" si="7">Q9</f>
        <v>用途</v>
      </c>
      <c r="AA9" s="774">
        <f t="shared" si="3"/>
        <v>1</v>
      </c>
      <c r="AB9" s="774">
        <f t="shared" si="4"/>
        <v>1</v>
      </c>
      <c r="AC9" s="774">
        <f t="shared" si="5"/>
        <v>1</v>
      </c>
    </row>
    <row r="10" spans="1:30" s="428" customFormat="1" ht="27">
      <c r="A10" s="422"/>
      <c r="B10" s="423" t="s">
        <v>2558</v>
      </c>
      <c r="C10" s="433"/>
      <c r="D10" s="136">
        <v>100</v>
      </c>
      <c r="E10" s="466"/>
      <c r="F10" s="136">
        <f>ROUND(100/'数据-取费表'!G16,0)</f>
        <v>108</v>
      </c>
      <c r="G10" s="464"/>
      <c r="H10" s="136">
        <f>ROUND(100/'数据-取费表'!G16,0)</f>
        <v>108</v>
      </c>
      <c r="I10" s="464"/>
      <c r="J10" s="136">
        <f>ROUND(100/'数据-取费表'!G16,0)</f>
        <v>108</v>
      </c>
      <c r="K10" s="673"/>
      <c r="L10" s="1139"/>
      <c r="M10" s="1140"/>
      <c r="N10" s="1140"/>
      <c r="O10" s="1141"/>
      <c r="P10" s="3214"/>
      <c r="Q10" s="1800" t="str">
        <f t="shared" si="6"/>
        <v>土地使用年限（年）</v>
      </c>
      <c r="R10" s="771" t="s">
        <v>17</v>
      </c>
      <c r="S10" s="772">
        <f t="shared" si="0"/>
        <v>108</v>
      </c>
      <c r="T10" s="771" t="s">
        <v>17</v>
      </c>
      <c r="U10" s="772">
        <f t="shared" si="1"/>
        <v>108</v>
      </c>
      <c r="V10" s="771" t="s">
        <v>17</v>
      </c>
      <c r="W10" s="772">
        <f t="shared" si="2"/>
        <v>108</v>
      </c>
      <c r="X10" s="773"/>
      <c r="Y10" s="3068"/>
      <c r="Z10" s="55" t="str">
        <f t="shared" si="7"/>
        <v>土地使用年限（年）</v>
      </c>
      <c r="AA10" s="774">
        <f t="shared" si="3"/>
        <v>0.92592592592592593</v>
      </c>
      <c r="AB10" s="774">
        <f t="shared" si="4"/>
        <v>0.92592592592592593</v>
      </c>
      <c r="AC10" s="774">
        <f t="shared" si="5"/>
        <v>0.92592592592592593</v>
      </c>
    </row>
    <row r="11" spans="1:30" ht="15">
      <c r="A11" s="429"/>
      <c r="B11" s="423" t="s">
        <v>2559</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14"/>
      <c r="Q11" s="1800" t="str">
        <f t="shared" si="6"/>
        <v>容积率</v>
      </c>
      <c r="R11" s="771" t="s">
        <v>17</v>
      </c>
      <c r="S11" s="772" t="e">
        <f t="shared" si="0"/>
        <v>#N/A</v>
      </c>
      <c r="T11" s="771" t="s">
        <v>17</v>
      </c>
      <c r="U11" s="772" t="e">
        <f t="shared" si="1"/>
        <v>#N/A</v>
      </c>
      <c r="V11" s="771" t="s">
        <v>17</v>
      </c>
      <c r="W11" s="772" t="e">
        <f t="shared" si="2"/>
        <v>#N/A</v>
      </c>
      <c r="X11" s="773"/>
      <c r="Y11" s="3068"/>
      <c r="Z11" s="55" t="str">
        <f t="shared" si="7"/>
        <v>容积率</v>
      </c>
      <c r="AA11" s="774" t="e">
        <f t="shared" si="3"/>
        <v>#N/A</v>
      </c>
      <c r="AB11" s="774" t="e">
        <f t="shared" si="4"/>
        <v>#N/A</v>
      </c>
      <c r="AC11" s="774" t="e">
        <f t="shared" si="5"/>
        <v>#N/A</v>
      </c>
    </row>
    <row r="12" spans="1:30" s="117" customFormat="1" ht="15">
      <c r="A12" s="432"/>
      <c r="B12" s="2607" t="s">
        <v>2748</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14"/>
      <c r="Q12" s="1800" t="str">
        <f t="shared" si="6"/>
        <v>配建</v>
      </c>
      <c r="R12" s="771" t="s">
        <v>17</v>
      </c>
      <c r="S12" s="772">
        <f t="shared" si="0"/>
        <v>100</v>
      </c>
      <c r="T12" s="771" t="s">
        <v>17</v>
      </c>
      <c r="U12" s="772">
        <f t="shared" si="1"/>
        <v>100</v>
      </c>
      <c r="V12" s="771" t="s">
        <v>17</v>
      </c>
      <c r="W12" s="772">
        <f t="shared" si="2"/>
        <v>100</v>
      </c>
      <c r="X12" s="773"/>
      <c r="Y12" s="3068"/>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14"/>
      <c r="Q13" s="1800">
        <f t="shared" si="6"/>
        <v>111</v>
      </c>
      <c r="R13" s="771" t="s">
        <v>17</v>
      </c>
      <c r="S13" s="772">
        <f t="shared" si="0"/>
        <v>100</v>
      </c>
      <c r="T13" s="771" t="s">
        <v>17</v>
      </c>
      <c r="U13" s="772">
        <f t="shared" si="1"/>
        <v>100</v>
      </c>
      <c r="V13" s="771" t="s">
        <v>17</v>
      </c>
      <c r="W13" s="772">
        <f t="shared" si="2"/>
        <v>100</v>
      </c>
      <c r="X13" s="773"/>
      <c r="Y13" s="3068"/>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14"/>
      <c r="Q14" s="1800">
        <f t="shared" si="6"/>
        <v>111</v>
      </c>
      <c r="R14" s="771" t="s">
        <v>17</v>
      </c>
      <c r="S14" s="772">
        <f t="shared" si="0"/>
        <v>100</v>
      </c>
      <c r="T14" s="771" t="s">
        <v>17</v>
      </c>
      <c r="U14" s="772">
        <f t="shared" si="1"/>
        <v>100</v>
      </c>
      <c r="V14" s="771" t="s">
        <v>17</v>
      </c>
      <c r="W14" s="772">
        <f t="shared" si="2"/>
        <v>100</v>
      </c>
      <c r="X14" s="773"/>
      <c r="Y14" s="3068"/>
      <c r="Z14" s="55">
        <f t="shared" si="7"/>
        <v>111</v>
      </c>
      <c r="AA14" s="774">
        <f>D14/F14</f>
        <v>1</v>
      </c>
      <c r="AB14" s="774">
        <f>D14/H14</f>
        <v>1</v>
      </c>
      <c r="AC14" s="774">
        <f>D14/J14</f>
        <v>1</v>
      </c>
    </row>
    <row r="15" spans="1:30" ht="99.75">
      <c r="A15" s="441" t="s">
        <v>2560</v>
      </c>
      <c r="B15" s="69" t="s">
        <v>2085</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21" t="s">
        <v>2561</v>
      </c>
      <c r="Q15" s="1815" t="str">
        <f t="shared" si="6"/>
        <v>居住社区成熟度</v>
      </c>
      <c r="R15" s="775" t="s">
        <v>17</v>
      </c>
      <c r="S15" s="776">
        <f t="shared" si="0"/>
        <v>100</v>
      </c>
      <c r="T15" s="775" t="s">
        <v>17</v>
      </c>
      <c r="U15" s="776">
        <f t="shared" si="1"/>
        <v>100</v>
      </c>
      <c r="V15" s="775" t="s">
        <v>17</v>
      </c>
      <c r="W15" s="776">
        <f t="shared" si="2"/>
        <v>100</v>
      </c>
      <c r="X15" s="1818"/>
      <c r="Y15" s="3221" t="s">
        <v>2561</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222"/>
      <c r="Q16" s="1815"/>
      <c r="R16" s="775"/>
      <c r="S16" s="776"/>
      <c r="T16" s="775"/>
      <c r="U16" s="776"/>
      <c r="V16" s="775"/>
      <c r="W16" s="776"/>
      <c r="X16" s="1818"/>
      <c r="Y16" s="3222"/>
      <c r="Z16" s="1819"/>
      <c r="AA16" s="1816">
        <v>1</v>
      </c>
      <c r="AB16" s="1816">
        <v>1</v>
      </c>
      <c r="AC16" s="1816">
        <v>1</v>
      </c>
    </row>
    <row r="17" spans="1:29" ht="71.25">
      <c r="A17" s="429"/>
      <c r="B17" s="452" t="s">
        <v>2654</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22"/>
      <c r="Q17" s="1815" t="str">
        <f>B17</f>
        <v>商业繁华度</v>
      </c>
      <c r="R17" s="775" t="s">
        <v>17</v>
      </c>
      <c r="S17" s="776">
        <f>F17</f>
        <v>100</v>
      </c>
      <c r="T17" s="775" t="s">
        <v>17</v>
      </c>
      <c r="U17" s="776">
        <f>H17</f>
        <v>100</v>
      </c>
      <c r="V17" s="775" t="s">
        <v>17</v>
      </c>
      <c r="W17" s="776">
        <f>J17</f>
        <v>100</v>
      </c>
      <c r="X17" s="1818"/>
      <c r="Y17" s="3222"/>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222"/>
      <c r="Q18" s="1815"/>
      <c r="R18" s="775"/>
      <c r="S18" s="776"/>
      <c r="T18" s="775"/>
      <c r="U18" s="776"/>
      <c r="V18" s="775"/>
      <c r="W18" s="776"/>
      <c r="X18" s="1818"/>
      <c r="Y18" s="3222"/>
      <c r="Z18" s="1819"/>
      <c r="AA18" s="1816">
        <v>1</v>
      </c>
      <c r="AB18" s="1816">
        <v>1</v>
      </c>
      <c r="AC18" s="1816">
        <v>1</v>
      </c>
    </row>
    <row r="19" spans="1:29" ht="71.25">
      <c r="A19" s="429"/>
      <c r="B19" s="452" t="s">
        <v>2688</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22"/>
      <c r="Q19" s="1815" t="str">
        <f>B19</f>
        <v>办公集聚程度</v>
      </c>
      <c r="R19" s="775" t="s">
        <v>17</v>
      </c>
      <c r="S19" s="776">
        <f>F19</f>
        <v>100</v>
      </c>
      <c r="T19" s="775" t="s">
        <v>17</v>
      </c>
      <c r="U19" s="776">
        <f>H19</f>
        <v>100</v>
      </c>
      <c r="V19" s="775" t="s">
        <v>17</v>
      </c>
      <c r="W19" s="776">
        <f>J19</f>
        <v>100</v>
      </c>
      <c r="X19" s="1818"/>
      <c r="Y19" s="3222"/>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222"/>
      <c r="Q20" s="1815"/>
      <c r="R20" s="775"/>
      <c r="S20" s="776"/>
      <c r="T20" s="775"/>
      <c r="U20" s="776"/>
      <c r="V20" s="775"/>
      <c r="W20" s="776"/>
      <c r="X20" s="1818"/>
      <c r="Y20" s="3222"/>
      <c r="Z20" s="1819"/>
      <c r="AA20" s="1816">
        <v>1</v>
      </c>
      <c r="AB20" s="1816">
        <v>1</v>
      </c>
      <c r="AC20" s="1816">
        <v>1</v>
      </c>
    </row>
    <row r="21" spans="1:29" ht="85.5">
      <c r="A21" s="429"/>
      <c r="B21" s="452" t="s">
        <v>2710</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22"/>
      <c r="Q21" s="1815" t="str">
        <f>B21</f>
        <v>交通便捷度</v>
      </c>
      <c r="R21" s="775" t="s">
        <v>17</v>
      </c>
      <c r="S21" s="776">
        <f>F21</f>
        <v>100</v>
      </c>
      <c r="T21" s="775" t="s">
        <v>17</v>
      </c>
      <c r="U21" s="776">
        <f>H21</f>
        <v>100</v>
      </c>
      <c r="V21" s="775" t="s">
        <v>17</v>
      </c>
      <c r="W21" s="776">
        <f>J21</f>
        <v>100</v>
      </c>
      <c r="X21" s="1818"/>
      <c r="Y21" s="3222"/>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222"/>
      <c r="Q22" s="1815"/>
      <c r="R22" s="775"/>
      <c r="S22" s="776"/>
      <c r="T22" s="775"/>
      <c r="U22" s="776"/>
      <c r="V22" s="775"/>
      <c r="W22" s="776"/>
      <c r="X22" s="1818"/>
      <c r="Y22" s="3222"/>
      <c r="Z22" s="1819"/>
      <c r="AA22" s="1816">
        <v>1</v>
      </c>
      <c r="AB22" s="1816">
        <v>1</v>
      </c>
      <c r="AC22" s="1816">
        <v>1</v>
      </c>
    </row>
    <row r="23" spans="1:29" ht="15">
      <c r="A23" s="405"/>
      <c r="B23" s="452" t="s">
        <v>2749</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22"/>
      <c r="Q23" s="1815" t="str">
        <f t="shared" ref="Q23:Q37" si="8">B23</f>
        <v>区域土地利用方向</v>
      </c>
      <c r="R23" s="775" t="s">
        <v>17</v>
      </c>
      <c r="S23" s="776">
        <f>F23</f>
        <v>100</v>
      </c>
      <c r="T23" s="775" t="s">
        <v>17</v>
      </c>
      <c r="U23" s="776">
        <f>H23</f>
        <v>100</v>
      </c>
      <c r="V23" s="775" t="s">
        <v>17</v>
      </c>
      <c r="W23" s="776">
        <f>J23</f>
        <v>100</v>
      </c>
      <c r="X23" s="1818"/>
      <c r="Y23" s="3222"/>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222"/>
      <c r="Q24" s="1815"/>
      <c r="R24" s="775"/>
      <c r="S24" s="776"/>
      <c r="T24" s="775"/>
      <c r="U24" s="776"/>
      <c r="V24" s="775"/>
      <c r="W24" s="776"/>
      <c r="X24" s="1818"/>
      <c r="Y24" s="3222"/>
      <c r="Z24" s="1819"/>
      <c r="AA24" s="1816"/>
      <c r="AB24" s="1816"/>
      <c r="AC24" s="1816"/>
    </row>
    <row r="25" spans="1:29" ht="57">
      <c r="A25" s="405"/>
      <c r="B25" s="1388" t="s">
        <v>2750</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22"/>
      <c r="Q25" s="1815" t="str">
        <f t="shared" si="8"/>
        <v>自然及人文环境状况</v>
      </c>
      <c r="R25" s="775" t="s">
        <v>17</v>
      </c>
      <c r="S25" s="776">
        <f>F25</f>
        <v>100</v>
      </c>
      <c r="T25" s="775" t="s">
        <v>17</v>
      </c>
      <c r="U25" s="776">
        <f>H25</f>
        <v>100</v>
      </c>
      <c r="V25" s="775" t="s">
        <v>17</v>
      </c>
      <c r="W25" s="776">
        <f>J25</f>
        <v>100</v>
      </c>
      <c r="X25" s="1818"/>
      <c r="Y25" s="3222"/>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222"/>
      <c r="Q26" s="1815"/>
      <c r="R26" s="775"/>
      <c r="S26" s="776"/>
      <c r="T26" s="775"/>
      <c r="U26" s="776"/>
      <c r="V26" s="775"/>
      <c r="W26" s="776"/>
      <c r="X26" s="1818"/>
      <c r="Y26" s="3222"/>
      <c r="Z26" s="1819"/>
      <c r="AA26" s="1816">
        <v>1</v>
      </c>
      <c r="AB26" s="1816">
        <v>1</v>
      </c>
      <c r="AC26" s="1816">
        <v>1</v>
      </c>
    </row>
    <row r="27" spans="1:29" s="117" customFormat="1" ht="42.75">
      <c r="A27" s="650"/>
      <c r="B27" s="1388" t="s">
        <v>2655</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22"/>
      <c r="Q27" s="1800" t="str">
        <f t="shared" si="8"/>
        <v>公共配套设施</v>
      </c>
      <c r="R27" s="771" t="s">
        <v>17</v>
      </c>
      <c r="S27" s="772">
        <f>F27</f>
        <v>100</v>
      </c>
      <c r="T27" s="771" t="s">
        <v>17</v>
      </c>
      <c r="U27" s="772">
        <f>H27</f>
        <v>100</v>
      </c>
      <c r="V27" s="771" t="s">
        <v>17</v>
      </c>
      <c r="W27" s="772">
        <f>J27</f>
        <v>100</v>
      </c>
      <c r="X27" s="773"/>
      <c r="Y27" s="3222"/>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222"/>
      <c r="Q28" s="1800"/>
      <c r="R28" s="771"/>
      <c r="S28" s="772"/>
      <c r="T28" s="771"/>
      <c r="U28" s="772"/>
      <c r="V28" s="771"/>
      <c r="W28" s="772"/>
      <c r="X28" s="773"/>
      <c r="Y28" s="3222"/>
      <c r="Z28" s="55"/>
      <c r="AA28" s="1816">
        <v>1</v>
      </c>
      <c r="AB28" s="1816">
        <v>1</v>
      </c>
      <c r="AC28" s="1816">
        <v>1</v>
      </c>
    </row>
    <row r="29" spans="1:29" s="117" customFormat="1" ht="28.5">
      <c r="A29" s="650"/>
      <c r="B29" s="1388" t="s">
        <v>2656</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22"/>
      <c r="Q29" s="1800" t="str">
        <f t="shared" ref="Q29" si="9">B29</f>
        <v>基础设施水平</v>
      </c>
      <c r="R29" s="771" t="s">
        <v>17</v>
      </c>
      <c r="S29" s="772">
        <f>F29</f>
        <v>100</v>
      </c>
      <c r="T29" s="771" t="s">
        <v>17</v>
      </c>
      <c r="U29" s="772">
        <f>H29</f>
        <v>100</v>
      </c>
      <c r="V29" s="771" t="s">
        <v>17</v>
      </c>
      <c r="W29" s="772">
        <f>J29</f>
        <v>100</v>
      </c>
      <c r="X29" s="773"/>
      <c r="Y29" s="3222"/>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222"/>
      <c r="Q30" s="1800"/>
      <c r="R30" s="771"/>
      <c r="S30" s="772"/>
      <c r="T30" s="771"/>
      <c r="U30" s="772"/>
      <c r="V30" s="771"/>
      <c r="W30" s="772"/>
      <c r="X30" s="773"/>
      <c r="Y30" s="3222"/>
      <c r="Z30" s="55"/>
      <c r="AA30" s="1816">
        <v>1</v>
      </c>
      <c r="AB30" s="1816">
        <v>1</v>
      </c>
      <c r="AC30" s="1816">
        <v>1</v>
      </c>
    </row>
    <row r="31" spans="1:29" ht="15">
      <c r="A31" s="429"/>
      <c r="B31" s="457" t="s">
        <v>2657</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22"/>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22"/>
      <c r="Z31" s="1819" t="str">
        <f t="shared" ref="Z31:Z45" si="13">Q31</f>
        <v>临街状况</v>
      </c>
      <c r="AA31" s="1816">
        <f t="shared" si="3"/>
        <v>1</v>
      </c>
      <c r="AB31" s="1816">
        <f t="shared" si="4"/>
        <v>1</v>
      </c>
      <c r="AC31" s="1816">
        <f t="shared" si="5"/>
        <v>1</v>
      </c>
    </row>
    <row r="32" spans="1:29" ht="27">
      <c r="A32" s="429"/>
      <c r="B32" s="1388" t="s">
        <v>2692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22"/>
      <c r="Q32" s="1815" t="str">
        <f t="shared" si="8"/>
        <v>毗邻道路的类型与等级</v>
      </c>
      <c r="R32" s="775" t="s">
        <v>17</v>
      </c>
      <c r="S32" s="776">
        <f t="shared" si="10"/>
        <v>100</v>
      </c>
      <c r="T32" s="775" t="s">
        <v>17</v>
      </c>
      <c r="U32" s="776">
        <f t="shared" si="11"/>
        <v>100</v>
      </c>
      <c r="V32" s="775" t="s">
        <v>17</v>
      </c>
      <c r="W32" s="776">
        <f t="shared" si="12"/>
        <v>100</v>
      </c>
      <c r="X32" s="1818"/>
      <c r="Y32" s="3222"/>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222"/>
      <c r="Q33" s="1815"/>
      <c r="R33" s="775"/>
      <c r="S33" s="776"/>
      <c r="T33" s="775"/>
      <c r="U33" s="776"/>
      <c r="V33" s="775"/>
      <c r="W33" s="776"/>
      <c r="X33" s="1818"/>
      <c r="Y33" s="3222"/>
      <c r="Z33" s="1819"/>
      <c r="AA33" s="1816">
        <v>1</v>
      </c>
      <c r="AB33" s="1816">
        <v>1</v>
      </c>
      <c r="AC33" s="1816">
        <v>1</v>
      </c>
    </row>
    <row r="34" spans="1:29" ht="15">
      <c r="A34" s="429"/>
      <c r="B34" s="423" t="s">
        <v>2751</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22"/>
      <c r="Q34" s="1815" t="str">
        <f t="shared" si="8"/>
        <v>土地级别</v>
      </c>
      <c r="R34" s="775" t="s">
        <v>17</v>
      </c>
      <c r="S34" s="776">
        <f t="shared" si="10"/>
        <v>100</v>
      </c>
      <c r="T34" s="775" t="s">
        <v>17</v>
      </c>
      <c r="U34" s="776">
        <f t="shared" si="11"/>
        <v>100</v>
      </c>
      <c r="V34" s="775" t="s">
        <v>17</v>
      </c>
      <c r="W34" s="776">
        <f t="shared" si="12"/>
        <v>100</v>
      </c>
      <c r="X34" s="1818"/>
      <c r="Y34" s="3222"/>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22"/>
      <c r="Q35" s="1815">
        <f t="shared" si="8"/>
        <v>111</v>
      </c>
      <c r="R35" s="775" t="s">
        <v>17</v>
      </c>
      <c r="S35" s="776">
        <f t="shared" si="10"/>
        <v>100</v>
      </c>
      <c r="T35" s="775" t="s">
        <v>17</v>
      </c>
      <c r="U35" s="776">
        <f t="shared" si="11"/>
        <v>100</v>
      </c>
      <c r="V35" s="775" t="s">
        <v>17</v>
      </c>
      <c r="W35" s="776">
        <f t="shared" si="12"/>
        <v>100</v>
      </c>
      <c r="X35" s="1818"/>
      <c r="Y35" s="3222"/>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03" t="s">
        <v>2566</v>
      </c>
      <c r="Q36" s="1815">
        <f t="shared" si="8"/>
        <v>111</v>
      </c>
      <c r="R36" s="775" t="s">
        <v>17</v>
      </c>
      <c r="S36" s="776">
        <f t="shared" si="10"/>
        <v>100</v>
      </c>
      <c r="T36" s="775" t="s">
        <v>17</v>
      </c>
      <c r="U36" s="776">
        <f t="shared" si="11"/>
        <v>100</v>
      </c>
      <c r="V36" s="775" t="s">
        <v>17</v>
      </c>
      <c r="W36" s="776">
        <f t="shared" si="12"/>
        <v>100</v>
      </c>
      <c r="X36" s="1818"/>
      <c r="Y36" s="3226" t="s">
        <v>2566</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26"/>
      <c r="Q37" s="1815">
        <f t="shared" si="8"/>
        <v>111</v>
      </c>
      <c r="R37" s="778" t="s">
        <v>17</v>
      </c>
      <c r="S37" s="779">
        <f t="shared" si="10"/>
        <v>100</v>
      </c>
      <c r="T37" s="778" t="s">
        <v>17</v>
      </c>
      <c r="U37" s="779">
        <f t="shared" si="11"/>
        <v>100</v>
      </c>
      <c r="V37" s="778" t="s">
        <v>17</v>
      </c>
      <c r="W37" s="779">
        <f t="shared" si="12"/>
        <v>100</v>
      </c>
      <c r="X37" s="780"/>
      <c r="Y37" s="3226"/>
      <c r="Z37" s="781">
        <f t="shared" si="13"/>
        <v>111</v>
      </c>
      <c r="AA37" s="1816">
        <f t="shared" si="3"/>
        <v>1</v>
      </c>
      <c r="AB37" s="1816">
        <f t="shared" si="4"/>
        <v>1</v>
      </c>
      <c r="AC37" s="1816">
        <f t="shared" si="5"/>
        <v>1</v>
      </c>
    </row>
    <row r="38" spans="1:29" ht="15">
      <c r="A38" s="473" t="s">
        <v>2564</v>
      </c>
      <c r="B38" s="457" t="s">
        <v>2752</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26"/>
      <c r="Q38" s="1815" t="str">
        <f>B38</f>
        <v>宗地面积</v>
      </c>
      <c r="R38" s="775" t="s">
        <v>17</v>
      </c>
      <c r="S38" s="776" t="e">
        <f t="shared" si="10"/>
        <v>#N/A</v>
      </c>
      <c r="T38" s="775" t="s">
        <v>17</v>
      </c>
      <c r="U38" s="776" t="e">
        <f t="shared" si="11"/>
        <v>#N/A</v>
      </c>
      <c r="V38" s="775" t="s">
        <v>17</v>
      </c>
      <c r="W38" s="776" t="e">
        <f t="shared" si="12"/>
        <v>#N/A</v>
      </c>
      <c r="X38" s="1818"/>
      <c r="Y38" s="3226"/>
      <c r="Z38" s="1819" t="str">
        <f t="shared" si="13"/>
        <v>宗地面积</v>
      </c>
      <c r="AA38" s="1816" t="e">
        <f t="shared" si="3"/>
        <v>#N/A</v>
      </c>
      <c r="AB38" s="1816" t="e">
        <f t="shared" si="4"/>
        <v>#N/A</v>
      </c>
      <c r="AC38" s="1816" t="e">
        <f t="shared" si="5"/>
        <v>#N/A</v>
      </c>
    </row>
    <row r="39" spans="1:29" ht="15">
      <c r="A39" s="473"/>
      <c r="B39" s="423" t="s">
        <v>2753</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26"/>
      <c r="Q39" s="1815" t="str">
        <f t="shared" ref="Q39:Q45" si="14">B39</f>
        <v>宗地形状</v>
      </c>
      <c r="R39" s="775" t="s">
        <v>17</v>
      </c>
      <c r="S39" s="776">
        <f t="shared" si="10"/>
        <v>100</v>
      </c>
      <c r="T39" s="775" t="s">
        <v>17</v>
      </c>
      <c r="U39" s="776">
        <f t="shared" si="11"/>
        <v>100</v>
      </c>
      <c r="V39" s="775" t="s">
        <v>17</v>
      </c>
      <c r="W39" s="776">
        <f t="shared" si="12"/>
        <v>100</v>
      </c>
      <c r="X39" s="1818"/>
      <c r="Y39" s="3226"/>
      <c r="Z39" s="1819" t="str">
        <f t="shared" si="13"/>
        <v>宗地形状</v>
      </c>
      <c r="AA39" s="1816">
        <f t="shared" si="3"/>
        <v>1</v>
      </c>
      <c r="AB39" s="1816">
        <f t="shared" si="4"/>
        <v>1</v>
      </c>
      <c r="AC39" s="1816">
        <f t="shared" si="5"/>
        <v>1</v>
      </c>
    </row>
    <row r="40" spans="1:29" ht="15">
      <c r="A40" s="473"/>
      <c r="B40" s="423" t="s">
        <v>2754</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26"/>
      <c r="Q40" s="1815" t="str">
        <f t="shared" si="14"/>
        <v>临街宽度及深度</v>
      </c>
      <c r="R40" s="775" t="s">
        <v>17</v>
      </c>
      <c r="S40" s="776">
        <f t="shared" si="10"/>
        <v>100</v>
      </c>
      <c r="T40" s="775" t="s">
        <v>17</v>
      </c>
      <c r="U40" s="776">
        <f t="shared" si="11"/>
        <v>100</v>
      </c>
      <c r="V40" s="775" t="s">
        <v>17</v>
      </c>
      <c r="W40" s="776">
        <f t="shared" si="12"/>
        <v>100</v>
      </c>
      <c r="X40" s="1818"/>
      <c r="Y40" s="3226"/>
      <c r="Z40" s="1819" t="str">
        <f t="shared" si="13"/>
        <v>临街宽度及深度</v>
      </c>
      <c r="AA40" s="1816">
        <f t="shared" si="3"/>
        <v>1</v>
      </c>
      <c r="AB40" s="1816">
        <f t="shared" si="4"/>
        <v>1</v>
      </c>
      <c r="AC40" s="1816">
        <f t="shared" si="5"/>
        <v>1</v>
      </c>
    </row>
    <row r="41" spans="1:29" s="117" customFormat="1" ht="15">
      <c r="A41" s="474"/>
      <c r="B41" s="423" t="s">
        <v>2755</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26"/>
      <c r="Q41" s="1815" t="str">
        <f t="shared" si="14"/>
        <v>宗地开发程度</v>
      </c>
      <c r="R41" s="771" t="s">
        <v>17</v>
      </c>
      <c r="S41" s="772">
        <f t="shared" si="10"/>
        <v>100</v>
      </c>
      <c r="T41" s="771" t="s">
        <v>17</v>
      </c>
      <c r="U41" s="772">
        <f t="shared" si="11"/>
        <v>100</v>
      </c>
      <c r="V41" s="771" t="s">
        <v>17</v>
      </c>
      <c r="W41" s="772">
        <f t="shared" si="12"/>
        <v>100</v>
      </c>
      <c r="X41" s="773"/>
      <c r="Y41" s="3226"/>
      <c r="Z41" s="55" t="str">
        <f t="shared" si="13"/>
        <v>宗地开发程度</v>
      </c>
      <c r="AA41" s="774">
        <f t="shared" si="3"/>
        <v>1</v>
      </c>
      <c r="AB41" s="774">
        <f t="shared" si="4"/>
        <v>1</v>
      </c>
      <c r="AC41" s="774">
        <f t="shared" si="5"/>
        <v>1</v>
      </c>
    </row>
    <row r="42" spans="1:29" ht="15">
      <c r="A42" s="473"/>
      <c r="B42" s="423" t="s">
        <v>2756</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26" t="s">
        <v>2566</v>
      </c>
      <c r="Q42" s="1815" t="str">
        <f t="shared" si="14"/>
        <v>工程地质条件</v>
      </c>
      <c r="R42" s="775" t="s">
        <v>17</v>
      </c>
      <c r="S42" s="776">
        <f t="shared" si="10"/>
        <v>100</v>
      </c>
      <c r="T42" s="775" t="s">
        <v>17</v>
      </c>
      <c r="U42" s="776">
        <f t="shared" si="11"/>
        <v>100</v>
      </c>
      <c r="V42" s="775" t="s">
        <v>17</v>
      </c>
      <c r="W42" s="776">
        <f t="shared" si="12"/>
        <v>100</v>
      </c>
      <c r="X42" s="1818"/>
      <c r="Y42" s="3226" t="s">
        <v>2566</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26"/>
      <c r="Q43" s="1815">
        <f t="shared" si="14"/>
        <v>111</v>
      </c>
      <c r="R43" s="775" t="s">
        <v>17</v>
      </c>
      <c r="S43" s="776">
        <f t="shared" si="10"/>
        <v>100</v>
      </c>
      <c r="T43" s="775" t="s">
        <v>17</v>
      </c>
      <c r="U43" s="776">
        <f t="shared" si="11"/>
        <v>100</v>
      </c>
      <c r="V43" s="775" t="s">
        <v>17</v>
      </c>
      <c r="W43" s="776">
        <f t="shared" si="12"/>
        <v>100</v>
      </c>
      <c r="X43" s="1818"/>
      <c r="Y43" s="3226"/>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26"/>
      <c r="Q44" s="1815">
        <f t="shared" si="14"/>
        <v>111</v>
      </c>
      <c r="R44" s="775" t="s">
        <v>17</v>
      </c>
      <c r="S44" s="776">
        <f t="shared" si="10"/>
        <v>100</v>
      </c>
      <c r="T44" s="775" t="s">
        <v>17</v>
      </c>
      <c r="U44" s="776">
        <f t="shared" si="11"/>
        <v>100</v>
      </c>
      <c r="V44" s="775" t="s">
        <v>17</v>
      </c>
      <c r="W44" s="776">
        <f t="shared" si="12"/>
        <v>100</v>
      </c>
      <c r="X44" s="1818"/>
      <c r="Y44" s="3226"/>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26"/>
      <c r="Q45" s="1815">
        <f t="shared" si="14"/>
        <v>111</v>
      </c>
      <c r="R45" s="778" t="s">
        <v>17</v>
      </c>
      <c r="S45" s="779">
        <f t="shared" si="10"/>
        <v>100</v>
      </c>
      <c r="T45" s="778" t="s">
        <v>17</v>
      </c>
      <c r="U45" s="779">
        <f t="shared" si="11"/>
        <v>100</v>
      </c>
      <c r="V45" s="778" t="s">
        <v>17</v>
      </c>
      <c r="W45" s="779">
        <f t="shared" si="12"/>
        <v>100</v>
      </c>
      <c r="X45" s="780"/>
      <c r="Y45" s="3226"/>
      <c r="Z45" s="781">
        <f t="shared" si="13"/>
        <v>111</v>
      </c>
      <c r="AA45" s="1816">
        <f t="shared" si="3"/>
        <v>1</v>
      </c>
      <c r="AB45" s="1816">
        <f t="shared" si="4"/>
        <v>1</v>
      </c>
      <c r="AC45" s="1816">
        <f t="shared" si="5"/>
        <v>1</v>
      </c>
    </row>
    <row r="46" spans="1:29" ht="15">
      <c r="A46" s="480" t="s">
        <v>2721</v>
      </c>
      <c r="B46" s="2711" t="s">
        <v>2757</v>
      </c>
      <c r="C46" s="683" t="s">
        <v>1</v>
      </c>
      <c r="D46" s="482"/>
      <c r="E46" s="483"/>
      <c r="F46" s="484"/>
      <c r="G46" s="485"/>
      <c r="H46" s="486"/>
      <c r="I46" s="483"/>
      <c r="J46" s="486"/>
      <c r="K46" s="784"/>
      <c r="L46" s="1147"/>
      <c r="M46" s="1148"/>
      <c r="N46" s="1135"/>
      <c r="O46" s="1148"/>
      <c r="P46" s="3214" t="str">
        <f>A46</f>
        <v>成交单价</v>
      </c>
      <c r="Q46" s="3214"/>
      <c r="R46" s="3248">
        <f>E46</f>
        <v>0</v>
      </c>
      <c r="S46" s="3248"/>
      <c r="T46" s="3248">
        <f>G46</f>
        <v>0</v>
      </c>
      <c r="U46" s="3248"/>
      <c r="V46" s="3248">
        <f>I46</f>
        <v>0</v>
      </c>
      <c r="W46" s="3248"/>
      <c r="X46" s="760"/>
      <c r="Y46" s="782"/>
      <c r="Z46" s="760"/>
      <c r="AA46" s="760"/>
      <c r="AB46" s="760"/>
      <c r="AC46" s="760"/>
    </row>
    <row r="47" spans="1:29" ht="15.75" thickBot="1">
      <c r="A47" s="487" t="s">
        <v>2670</v>
      </c>
      <c r="B47" s="684"/>
      <c r="C47" s="491" t="e">
        <f>R48</f>
        <v>#DIV/0!</v>
      </c>
      <c r="D47" s="490"/>
      <c r="E47" s="491" t="e">
        <f>R47</f>
        <v>#DIV/0!</v>
      </c>
      <c r="F47" s="492"/>
      <c r="G47" s="489" t="e">
        <f>T47</f>
        <v>#DIV/0!</v>
      </c>
      <c r="H47" s="490"/>
      <c r="I47" s="491" t="e">
        <f>V47</f>
        <v>#DIV/0!</v>
      </c>
      <c r="J47" s="490"/>
      <c r="K47" s="785"/>
      <c r="L47" s="1147"/>
      <c r="M47" s="1148"/>
      <c r="N47" s="1148"/>
      <c r="O47" s="1148"/>
      <c r="P47" s="3214" t="str">
        <f>A47</f>
        <v>比较价值（元/平方米）</v>
      </c>
      <c r="Q47" s="3214"/>
      <c r="R47" s="3304" t="e">
        <f>ROUND(PRODUCT(R46,AA7:AA45),0)</f>
        <v>#DIV/0!</v>
      </c>
      <c r="S47" s="3304"/>
      <c r="T47" s="3304" t="e">
        <f>ROUND(PRODUCT(T46,AB7:AB45),0)</f>
        <v>#DIV/0!</v>
      </c>
      <c r="U47" s="3304"/>
      <c r="V47" s="3304" t="e">
        <f>ROUND(PRODUCT(V46,AC7:AC45),0)</f>
        <v>#DIV/0!</v>
      </c>
      <c r="W47" s="3304"/>
      <c r="X47" s="760"/>
      <c r="Y47" s="760"/>
      <c r="Z47" s="760"/>
      <c r="AA47" s="760"/>
      <c r="AB47" s="760"/>
      <c r="AC47" s="760"/>
    </row>
    <row r="48" spans="1:29" ht="15.75" thickBot="1">
      <c r="A48" s="493" t="s">
        <v>2758</v>
      </c>
      <c r="B48" s="494"/>
      <c r="C48" s="495" t="e">
        <f>R48</f>
        <v>#DIV/0!</v>
      </c>
      <c r="D48" s="495"/>
      <c r="E48" s="495"/>
      <c r="F48" s="495"/>
      <c r="G48" s="495"/>
      <c r="H48" s="495"/>
      <c r="I48" s="495"/>
      <c r="J48" s="495"/>
      <c r="K48" s="786"/>
      <c r="L48" s="1147"/>
      <c r="M48" s="1148"/>
      <c r="N48" s="1148"/>
      <c r="O48" s="1148"/>
      <c r="P48" s="3292" t="str">
        <f>A48</f>
        <v>估价对象XX用房的比较价值（楼面单价，元/平方米）</v>
      </c>
      <c r="Q48" s="3293"/>
      <c r="R48" s="3305" t="e">
        <f>ROUND(AVERAGE(R47:V47),0)</f>
        <v>#DIV/0!</v>
      </c>
      <c r="S48" s="3305"/>
      <c r="T48" s="3305"/>
      <c r="U48" s="3305"/>
      <c r="V48" s="3305"/>
      <c r="W48" s="3305"/>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2759</v>
      </c>
      <c r="B55" s="686" t="s">
        <v>2760</v>
      </c>
      <c r="C55" s="2712" t="s">
        <v>2761</v>
      </c>
      <c r="D55" s="2713" t="s">
        <v>2762</v>
      </c>
      <c r="E55" s="687" t="s">
        <v>2763</v>
      </c>
      <c r="F55" s="1111" t="s">
        <v>2764</v>
      </c>
      <c r="G55" s="3231" t="s">
        <v>2765</v>
      </c>
      <c r="H55" s="3306"/>
      <c r="I55" s="144" t="s">
        <v>2766</v>
      </c>
      <c r="J55" s="2714">
        <f>项目基本情况!F35</f>
        <v>0</v>
      </c>
      <c r="K55" s="2715" t="s">
        <v>2767</v>
      </c>
      <c r="L55" s="1110"/>
      <c r="M55" s="1148"/>
      <c r="N55" s="1148"/>
      <c r="O55" s="1148"/>
    </row>
    <row r="56" spans="1:15" s="693" customFormat="1">
      <c r="A56" s="689" t="s">
        <v>2768</v>
      </c>
      <c r="B56" s="690" t="e">
        <f>C48</f>
        <v>#DIV/0!</v>
      </c>
      <c r="C56" s="691">
        <v>1</v>
      </c>
      <c r="D56" s="1167">
        <v>1</v>
      </c>
      <c r="E56" s="691">
        <f>'数据-汇总表'!E8+'数据-汇总表'!E9</f>
        <v>1952.76</v>
      </c>
      <c r="F56" s="1107" t="e">
        <f t="shared" ref="F56:F65" si="15">ROUND(B56*E56/10000,0)</f>
        <v>#DIV/0!</v>
      </c>
      <c r="G56" s="3213"/>
      <c r="H56" s="3214"/>
      <c r="I56" s="1112">
        <v>1</v>
      </c>
      <c r="J56" s="1115">
        <v>1</v>
      </c>
      <c r="K56" s="1149"/>
      <c r="L56" s="945"/>
      <c r="M56" s="945"/>
      <c r="N56" s="945"/>
      <c r="O56" s="945"/>
    </row>
    <row r="57" spans="1:15" s="693" customFormat="1">
      <c r="A57" s="694" t="s">
        <v>2769</v>
      </c>
      <c r="B57" s="263" t="e">
        <f>ROUND($C$48*C57*D57,0)</f>
        <v>#DIV/0!</v>
      </c>
      <c r="C57" s="201">
        <f t="shared" ref="C57:C65" si="16">IF($C$55="北京市系数",I57,J57)</f>
        <v>0</v>
      </c>
      <c r="D57" s="1168">
        <v>0.25</v>
      </c>
      <c r="E57" s="695"/>
      <c r="F57" s="1107" t="e">
        <f t="shared" si="15"/>
        <v>#DIV/0!</v>
      </c>
      <c r="G57" s="3307" t="s">
        <v>2770</v>
      </c>
      <c r="H57" s="1108">
        <f>项目基本情况!B37</f>
        <v>0</v>
      </c>
      <c r="I57" s="1112">
        <f>SUMIF(修正!A45:A56,H57,修正!B45:B56)</f>
        <v>0</v>
      </c>
      <c r="J57" s="1116"/>
      <c r="K57" s="1148"/>
      <c r="L57" s="945"/>
      <c r="M57" s="945"/>
      <c r="N57" s="945"/>
      <c r="O57" s="945"/>
    </row>
    <row r="58" spans="1:15" s="693" customFormat="1">
      <c r="A58" s="694" t="s">
        <v>2771</v>
      </c>
      <c r="B58" s="263" t="e">
        <f t="shared" ref="B58:B65" si="17">ROUND($C$48*C58*D58,0)</f>
        <v>#DIV/0!</v>
      </c>
      <c r="C58" s="201">
        <f t="shared" si="16"/>
        <v>0</v>
      </c>
      <c r="D58" s="1168">
        <v>0.25</v>
      </c>
      <c r="E58" s="695"/>
      <c r="F58" s="1107" t="e">
        <f t="shared" si="15"/>
        <v>#DIV/0!</v>
      </c>
      <c r="G58" s="3307"/>
      <c r="H58" s="1108">
        <f>项目基本情况!B37</f>
        <v>0</v>
      </c>
      <c r="I58" s="1112">
        <f>SUMIF(修正!A45:A56,H58,修正!C45:C56)</f>
        <v>0</v>
      </c>
      <c r="J58" s="1116"/>
      <c r="K58" s="1149"/>
      <c r="L58" s="945"/>
      <c r="M58" s="945"/>
      <c r="N58" s="945"/>
      <c r="O58" s="945"/>
    </row>
    <row r="59" spans="1:15" s="693" customFormat="1">
      <c r="A59" s="694" t="s">
        <v>2772</v>
      </c>
      <c r="B59" s="263" t="e">
        <f t="shared" si="17"/>
        <v>#DIV/0!</v>
      </c>
      <c r="C59" s="201">
        <f t="shared" si="16"/>
        <v>0</v>
      </c>
      <c r="D59" s="1168">
        <v>0.25</v>
      </c>
      <c r="E59" s="695"/>
      <c r="F59" s="1107" t="e">
        <f t="shared" si="15"/>
        <v>#DIV/0!</v>
      </c>
      <c r="G59" s="3307"/>
      <c r="H59" s="1108">
        <f>项目基本情况!B37</f>
        <v>0</v>
      </c>
      <c r="I59" s="1112">
        <f>SUMIF(修正!A45:A56,H59,修正!D45:D56)</f>
        <v>0</v>
      </c>
      <c r="J59" s="1116"/>
      <c r="K59" s="1148"/>
      <c r="L59" s="945"/>
      <c r="M59" s="945"/>
      <c r="N59" s="945"/>
      <c r="O59" s="945"/>
    </row>
    <row r="60" spans="1:15" s="693" customFormat="1">
      <c r="A60" s="694" t="s">
        <v>2773</v>
      </c>
      <c r="B60" s="263" t="e">
        <f t="shared" si="17"/>
        <v>#DIV/0!</v>
      </c>
      <c r="C60" s="201">
        <f t="shared" si="16"/>
        <v>0</v>
      </c>
      <c r="D60" s="1168">
        <v>0.25</v>
      </c>
      <c r="E60" s="695"/>
      <c r="F60" s="1107" t="e">
        <f t="shared" si="15"/>
        <v>#DIV/0!</v>
      </c>
      <c r="G60" s="3307"/>
      <c r="H60" s="1108">
        <f>项目基本情况!B37</f>
        <v>0</v>
      </c>
      <c r="I60" s="1112">
        <f>SUMIF(修正!A45:A56,H60,修正!E45:E56)</f>
        <v>0</v>
      </c>
      <c r="J60" s="1116"/>
      <c r="K60" s="1149"/>
      <c r="L60" s="945"/>
      <c r="M60" s="945"/>
      <c r="N60" s="945"/>
      <c r="O60" s="945"/>
    </row>
    <row r="61" spans="1:15" s="693" customFormat="1">
      <c r="A61" s="694" t="s">
        <v>2774</v>
      </c>
      <c r="B61" s="263" t="e">
        <f t="shared" si="17"/>
        <v>#DIV/0!</v>
      </c>
      <c r="C61" s="201">
        <f t="shared" si="16"/>
        <v>0</v>
      </c>
      <c r="D61" s="1168">
        <v>0.25</v>
      </c>
      <c r="E61" s="262">
        <f>'数据-汇总表'!E11</f>
        <v>0</v>
      </c>
      <c r="F61" s="1107" t="e">
        <f t="shared" si="15"/>
        <v>#DIV/0!</v>
      </c>
      <c r="G61" s="2716" t="s">
        <v>2775</v>
      </c>
      <c r="H61" s="1108">
        <f>项目基本情况!C37</f>
        <v>0</v>
      </c>
      <c r="I61" s="1112">
        <f>SUMIF(修正!A45:A56,H61,修正!F45:F56)</f>
        <v>0</v>
      </c>
      <c r="J61" s="1116"/>
      <c r="K61" s="1148"/>
      <c r="L61" s="945"/>
      <c r="M61" s="945"/>
      <c r="N61" s="945"/>
      <c r="O61" s="945"/>
    </row>
    <row r="62" spans="1:15" s="693" customFormat="1">
      <c r="A62" s="694" t="s">
        <v>2776</v>
      </c>
      <c r="B62" s="263" t="e">
        <f t="shared" si="17"/>
        <v>#DIV/0!</v>
      </c>
      <c r="C62" s="201">
        <f t="shared" si="16"/>
        <v>0</v>
      </c>
      <c r="D62" s="1168">
        <v>0.25</v>
      </c>
      <c r="E62" s="262">
        <f>'数据-汇总表'!E12</f>
        <v>0</v>
      </c>
      <c r="F62" s="1107" t="e">
        <f t="shared" si="15"/>
        <v>#DIV/0!</v>
      </c>
      <c r="G62" s="1113" t="s">
        <v>2777</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2778</v>
      </c>
      <c r="B63" s="263" t="e">
        <f t="shared" si="17"/>
        <v>#DIV/0!</v>
      </c>
      <c r="C63" s="201">
        <f t="shared" si="16"/>
        <v>0</v>
      </c>
      <c r="D63" s="1168">
        <v>0.25</v>
      </c>
      <c r="E63" s="262">
        <f>'数据-汇总表'!E13</f>
        <v>0</v>
      </c>
      <c r="F63" s="1107" t="e">
        <f t="shared" si="15"/>
        <v>#DIV/0!</v>
      </c>
      <c r="G63" s="1113" t="s">
        <v>2779</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2780</v>
      </c>
      <c r="B64" s="263" t="e">
        <f t="shared" si="17"/>
        <v>#DIV/0!</v>
      </c>
      <c r="C64" s="201">
        <f t="shared" si="16"/>
        <v>0</v>
      </c>
      <c r="D64" s="1168">
        <v>0.25</v>
      </c>
      <c r="E64" s="262">
        <f>'数据-汇总表'!E14</f>
        <v>0</v>
      </c>
      <c r="F64" s="1107" t="e">
        <f t="shared" si="15"/>
        <v>#DIV/0!</v>
      </c>
      <c r="G64" s="2716" t="s">
        <v>2770</v>
      </c>
      <c r="H64" s="1108">
        <f>项目基本情况!B37</f>
        <v>0</v>
      </c>
      <c r="I64" s="1112">
        <f>SUMIF(修正!A45:A56,H64,修正!H45:H56)</f>
        <v>0</v>
      </c>
      <c r="J64" s="1116"/>
      <c r="K64" s="1149"/>
      <c r="L64" s="945"/>
      <c r="M64" s="945"/>
      <c r="N64" s="945"/>
      <c r="O64" s="945"/>
    </row>
    <row r="65" spans="1:17" s="693" customFormat="1" ht="15" thickBot="1">
      <c r="A65" s="694" t="s">
        <v>2781</v>
      </c>
      <c r="B65" s="263" t="e">
        <f t="shared" si="17"/>
        <v>#DIV/0!</v>
      </c>
      <c r="C65" s="201">
        <f t="shared" si="16"/>
        <v>0</v>
      </c>
      <c r="D65" s="1168">
        <v>0.25</v>
      </c>
      <c r="E65" s="262">
        <f>'数据-汇总表'!E15</f>
        <v>0</v>
      </c>
      <c r="F65" s="1107" t="e">
        <f t="shared" si="15"/>
        <v>#DIV/0!</v>
      </c>
      <c r="G65" s="2717" t="s">
        <v>2775</v>
      </c>
      <c r="H65" s="1118">
        <f>项目基本情况!C37</f>
        <v>0</v>
      </c>
      <c r="I65" s="1114">
        <f>SUMIF(修正!A45:A56,H65,修正!H45:H56)</f>
        <v>0</v>
      </c>
      <c r="J65" s="1117"/>
      <c r="K65" s="1148"/>
      <c r="L65" s="945"/>
      <c r="M65" s="945"/>
      <c r="N65" s="945"/>
      <c r="O65" s="945"/>
    </row>
    <row r="66" spans="1:17" s="693" customFormat="1" ht="13.5" thickBot="1">
      <c r="A66" s="696" t="s">
        <v>2782</v>
      </c>
      <c r="B66" s="697" t="s">
        <v>28</v>
      </c>
      <c r="C66" s="697" t="s">
        <v>29</v>
      </c>
      <c r="D66" s="697" t="s">
        <v>1029</v>
      </c>
      <c r="E66" s="697">
        <f>IF(B46="楼面地价",SUM(E56:E65),'数据-汇总表'!D3)</f>
        <v>1952.76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2675</v>
      </c>
      <c r="B69" s="760"/>
      <c r="C69" s="765"/>
      <c r="D69" s="765"/>
      <c r="E69" s="765"/>
      <c r="F69" s="766"/>
      <c r="G69" s="766"/>
      <c r="H69" s="765"/>
      <c r="I69" s="765"/>
      <c r="J69" s="1163"/>
      <c r="K69" s="1164"/>
      <c r="L69" s="1165"/>
      <c r="M69" s="1163"/>
      <c r="N69" s="1163"/>
      <c r="O69" s="1163"/>
      <c r="P69" s="504"/>
      <c r="Q69" s="505"/>
    </row>
    <row r="70" spans="1:17" s="509" customFormat="1" ht="15">
      <c r="A70" s="2718" t="s">
        <v>2783</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2784</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2586</v>
      </c>
      <c r="B72" s="517"/>
      <c r="C72" s="518"/>
      <c r="D72" s="519"/>
      <c r="E72" s="519"/>
      <c r="F72" s="519"/>
      <c r="G72" s="519"/>
      <c r="H72" s="519"/>
      <c r="I72" s="519"/>
      <c r="J72" s="519"/>
      <c r="K72" s="519"/>
      <c r="L72" s="519"/>
      <c r="M72" s="520"/>
      <c r="N72" s="519"/>
      <c r="O72" s="1166"/>
      <c r="P72" s="505"/>
      <c r="Q72" s="505"/>
    </row>
    <row r="73" spans="1:17" s="117" customFormat="1" ht="15">
      <c r="A73" s="522" t="s">
        <v>2551</v>
      </c>
      <c r="B73" s="511"/>
      <c r="C73" s="523" t="s">
        <v>2653</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2589</v>
      </c>
      <c r="B75" s="529" t="s">
        <v>2555</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2558</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2559</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2560</v>
      </c>
      <c r="B88" s="529" t="s">
        <v>2597</v>
      </c>
      <c r="C88" s="574" t="s">
        <v>2598</v>
      </c>
      <c r="D88" s="574" t="s">
        <v>2599</v>
      </c>
      <c r="E88" s="574" t="s">
        <v>2600</v>
      </c>
      <c r="F88" s="574" t="s">
        <v>2601</v>
      </c>
      <c r="G88" s="574" t="s">
        <v>2602</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2785</v>
      </c>
      <c r="C90" s="579" t="s">
        <v>2598</v>
      </c>
      <c r="D90" s="579" t="s">
        <v>2599</v>
      </c>
      <c r="E90" s="579" t="s">
        <v>2600</v>
      </c>
      <c r="F90" s="579" t="s">
        <v>2601</v>
      </c>
      <c r="G90" s="579" t="s">
        <v>2602</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2698</v>
      </c>
      <c r="C92" s="579" t="s">
        <v>2598</v>
      </c>
      <c r="D92" s="579" t="s">
        <v>2599</v>
      </c>
      <c r="E92" s="579" t="s">
        <v>2600</v>
      </c>
      <c r="F92" s="579" t="s">
        <v>2601</v>
      </c>
      <c r="G92" s="579" t="s">
        <v>2602</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2603</v>
      </c>
      <c r="C94" s="579" t="s">
        <v>2598</v>
      </c>
      <c r="D94" s="579" t="s">
        <v>2599</v>
      </c>
      <c r="E94" s="579" t="s">
        <v>2600</v>
      </c>
      <c r="F94" s="579" t="s">
        <v>2601</v>
      </c>
      <c r="G94" s="579" t="s">
        <v>2602</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2786</v>
      </c>
      <c r="C96" s="579" t="s">
        <v>2598</v>
      </c>
      <c r="D96" s="579" t="s">
        <v>2599</v>
      </c>
      <c r="E96" s="579" t="s">
        <v>2600</v>
      </c>
      <c r="F96" s="579" t="s">
        <v>2601</v>
      </c>
      <c r="G96" s="579" t="s">
        <v>2602</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2787</v>
      </c>
      <c r="C98" s="574" t="s">
        <v>2598</v>
      </c>
      <c r="D98" s="574" t="s">
        <v>2599</v>
      </c>
      <c r="E98" s="574" t="s">
        <v>2600</v>
      </c>
      <c r="F98" s="574" t="s">
        <v>2601</v>
      </c>
      <c r="G98" s="574" t="s">
        <v>2602</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2655</v>
      </c>
      <c r="C100" s="574" t="s">
        <v>2598</v>
      </c>
      <c r="D100" s="574" t="s">
        <v>2599</v>
      </c>
      <c r="E100" s="574" t="s">
        <v>2600</v>
      </c>
      <c r="F100" s="574" t="s">
        <v>2601</v>
      </c>
      <c r="G100" s="574" t="s">
        <v>2602</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2656</v>
      </c>
      <c r="C102" s="661" t="s">
        <v>2676</v>
      </c>
      <c r="D102" s="661" t="s">
        <v>2677</v>
      </c>
      <c r="E102" s="661" t="s">
        <v>2678</v>
      </c>
      <c r="F102" s="661" t="s">
        <v>2679</v>
      </c>
      <c r="G102" s="661" t="s">
        <v>2680</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2692</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2751</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2564</v>
      </c>
      <c r="B116" s="529" t="s">
        <v>2792</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2793</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2794</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2795</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2796</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2745</v>
      </c>
      <c r="B1" s="396"/>
      <c r="C1" s="397" t="s">
        <v>2797</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2328</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1" t="s">
        <v>2647</v>
      </c>
      <c r="D4" s="3232"/>
      <c r="E4" s="3233" t="s">
        <v>2648</v>
      </c>
      <c r="F4" s="3234"/>
      <c r="G4" s="3231" t="s">
        <v>2649</v>
      </c>
      <c r="H4" s="3232"/>
      <c r="I4" s="3231" t="s">
        <v>2650</v>
      </c>
      <c r="J4" s="3232"/>
      <c r="K4" s="611" t="s">
        <v>2651</v>
      </c>
      <c r="L4" s="1134"/>
      <c r="M4" s="1135"/>
      <c r="N4" s="1135"/>
      <c r="O4" s="1135"/>
      <c r="P4" s="3296" t="s">
        <v>2652</v>
      </c>
      <c r="Q4" s="3297"/>
      <c r="R4" s="3300" t="s">
        <v>2648</v>
      </c>
      <c r="S4" s="3301"/>
      <c r="T4" s="3300" t="s">
        <v>2649</v>
      </c>
      <c r="U4" s="3301"/>
      <c r="V4" s="3248" t="s">
        <v>2650</v>
      </c>
      <c r="W4" s="3248"/>
      <c r="X4" s="1818"/>
      <c r="Y4" s="3300" t="s">
        <v>2652</v>
      </c>
      <c r="Z4" s="3301"/>
      <c r="AA4" s="3295" t="s">
        <v>2648</v>
      </c>
      <c r="AB4" s="3261" t="s">
        <v>2649</v>
      </c>
      <c r="AC4" s="3295" t="s">
        <v>2650</v>
      </c>
    </row>
    <row r="5" spans="1:29" ht="15">
      <c r="A5" s="405"/>
      <c r="B5" s="406"/>
      <c r="C5" s="3257" t="s">
        <v>2543</v>
      </c>
      <c r="D5" s="3252"/>
      <c r="E5" s="3302" t="s">
        <v>2544</v>
      </c>
      <c r="F5" s="3264"/>
      <c r="G5" s="3257" t="s">
        <v>2545</v>
      </c>
      <c r="H5" s="3252"/>
      <c r="I5" s="3257" t="s">
        <v>2546</v>
      </c>
      <c r="J5" s="3252"/>
      <c r="K5" s="611"/>
      <c r="L5" s="1134"/>
      <c r="M5" s="1135"/>
      <c r="N5" s="1135"/>
      <c r="O5" s="1135"/>
      <c r="P5" s="3298"/>
      <c r="Q5" s="3238"/>
      <c r="R5" s="3243"/>
      <c r="S5" s="3244"/>
      <c r="T5" s="3243"/>
      <c r="U5" s="3244"/>
      <c r="V5" s="3248"/>
      <c r="W5" s="3248"/>
      <c r="X5" s="1818"/>
      <c r="Y5" s="3243"/>
      <c r="Z5" s="3244"/>
      <c r="AA5" s="3261"/>
      <c r="AB5" s="3261"/>
      <c r="AC5" s="3261"/>
    </row>
    <row r="6" spans="1:29" ht="15.75" thickBot="1">
      <c r="A6" s="407"/>
      <c r="B6" s="408"/>
      <c r="C6" s="3308" t="s">
        <v>2798</v>
      </c>
      <c r="D6" s="3309"/>
      <c r="E6" s="3310" t="s">
        <v>2798</v>
      </c>
      <c r="F6" s="3311"/>
      <c r="G6" s="3308" t="s">
        <v>2798</v>
      </c>
      <c r="H6" s="3309"/>
      <c r="I6" s="3308" t="s">
        <v>2798</v>
      </c>
      <c r="J6" s="3309"/>
      <c r="K6" s="611" t="s">
        <v>2548</v>
      </c>
      <c r="L6" s="1134"/>
      <c r="M6" s="1135"/>
      <c r="N6" s="1135"/>
      <c r="O6" s="1135"/>
      <c r="P6" s="3299"/>
      <c r="Q6" s="3240"/>
      <c r="R6" s="3243"/>
      <c r="S6" s="3244"/>
      <c r="T6" s="3245"/>
      <c r="U6" s="3246"/>
      <c r="V6" s="3248"/>
      <c r="W6" s="3248"/>
      <c r="X6" s="1818"/>
      <c r="Y6" s="3245"/>
      <c r="Z6" s="3246"/>
      <c r="AA6" s="3262"/>
      <c r="AB6" s="3262"/>
      <c r="AC6" s="3262"/>
    </row>
    <row r="7" spans="1:29" s="117" customFormat="1" ht="15.75" thickBot="1">
      <c r="A7" s="409" t="s">
        <v>2549</v>
      </c>
      <c r="B7" s="410"/>
      <c r="C7" s="411">
        <f>'数据-取费表'!B2</f>
        <v>43047</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255" t="s">
        <v>2550</v>
      </c>
      <c r="Q7" s="3256"/>
      <c r="R7" s="771" t="s">
        <v>17</v>
      </c>
      <c r="S7" s="772">
        <f t="shared" ref="S7:S15" si="0">F7</f>
        <v>0</v>
      </c>
      <c r="T7" s="771" t="s">
        <v>17</v>
      </c>
      <c r="U7" s="772">
        <f t="shared" ref="U7:U15" si="1">H7</f>
        <v>0</v>
      </c>
      <c r="V7" s="771" t="s">
        <v>17</v>
      </c>
      <c r="W7" s="772">
        <f t="shared" ref="W7:W15" si="2">J7</f>
        <v>0</v>
      </c>
      <c r="X7" s="773"/>
      <c r="Y7" s="3255" t="s">
        <v>2550</v>
      </c>
      <c r="Z7" s="3254"/>
      <c r="AA7" s="774" t="e">
        <f>D7/F7</f>
        <v>#DIV/0!</v>
      </c>
      <c r="AB7" s="774" t="e">
        <f>D7/H7</f>
        <v>#DIV/0!</v>
      </c>
      <c r="AC7" s="774" t="e">
        <f>D7/J7</f>
        <v>#DIV/0!</v>
      </c>
    </row>
    <row r="8" spans="1:29" s="117" customFormat="1" ht="15.75" thickBot="1">
      <c r="A8" s="409" t="s">
        <v>2551</v>
      </c>
      <c r="B8" s="410"/>
      <c r="C8" s="415" t="s">
        <v>2552</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55" t="s">
        <v>2553</v>
      </c>
      <c r="Q8" s="3254"/>
      <c r="R8" s="771" t="s">
        <v>17</v>
      </c>
      <c r="S8" s="772">
        <f t="shared" si="0"/>
        <v>0</v>
      </c>
      <c r="T8" s="771" t="s">
        <v>17</v>
      </c>
      <c r="U8" s="772">
        <f t="shared" si="1"/>
        <v>0</v>
      </c>
      <c r="V8" s="771" t="s">
        <v>17</v>
      </c>
      <c r="W8" s="772">
        <f t="shared" si="2"/>
        <v>0</v>
      </c>
      <c r="X8" s="773"/>
      <c r="Y8" s="3255" t="s">
        <v>2553</v>
      </c>
      <c r="Z8" s="3254"/>
      <c r="AA8" s="774" t="e">
        <f t="shared" ref="AA8:AA40" si="3">D8/F8</f>
        <v>#DIV/0!</v>
      </c>
      <c r="AB8" s="774" t="e">
        <f t="shared" ref="AB8:AB40" si="4">D8/H8</f>
        <v>#DIV/0!</v>
      </c>
      <c r="AC8" s="774" t="e">
        <f t="shared" ref="AC8:AC40" si="5">D8/J8</f>
        <v>#DIV/0!</v>
      </c>
    </row>
    <row r="9" spans="1:29" s="117" customFormat="1">
      <c r="A9" s="416" t="s">
        <v>2554</v>
      </c>
      <c r="B9" s="71" t="s">
        <v>2555</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214" t="s">
        <v>2556</v>
      </c>
      <c r="Q9" s="1800" t="str">
        <f t="shared" ref="Q9:Q15" si="6">B9</f>
        <v>用途</v>
      </c>
      <c r="R9" s="771" t="s">
        <v>17</v>
      </c>
      <c r="S9" s="772">
        <f t="shared" si="0"/>
        <v>100</v>
      </c>
      <c r="T9" s="771" t="s">
        <v>17</v>
      </c>
      <c r="U9" s="772">
        <f t="shared" si="1"/>
        <v>100</v>
      </c>
      <c r="V9" s="771" t="s">
        <v>17</v>
      </c>
      <c r="W9" s="772">
        <f t="shared" si="2"/>
        <v>100</v>
      </c>
      <c r="X9" s="773"/>
      <c r="Y9" s="3068" t="s">
        <v>2557</v>
      </c>
      <c r="Z9" s="55" t="str">
        <f t="shared" ref="Z9:Z15" si="7">Q9</f>
        <v>用途</v>
      </c>
      <c r="AA9" s="774">
        <f t="shared" si="3"/>
        <v>1</v>
      </c>
      <c r="AB9" s="774">
        <f t="shared" si="4"/>
        <v>1</v>
      </c>
      <c r="AC9" s="774">
        <f t="shared" si="5"/>
        <v>1</v>
      </c>
    </row>
    <row r="10" spans="1:29" s="428" customFormat="1" ht="27">
      <c r="A10" s="422"/>
      <c r="B10" s="423" t="s">
        <v>2558</v>
      </c>
      <c r="C10" s="433"/>
      <c r="D10" s="136">
        <v>100</v>
      </c>
      <c r="E10" s="433"/>
      <c r="F10" s="136">
        <f>ROUND(100/'数据-取费表'!G16,0)</f>
        <v>108</v>
      </c>
      <c r="G10" s="433"/>
      <c r="H10" s="136">
        <f>ROUND(100/'数据-取费表'!G16,0)</f>
        <v>108</v>
      </c>
      <c r="I10" s="433"/>
      <c r="J10" s="136">
        <f>ROUND(100/'数据-取费表'!G16,0)</f>
        <v>108</v>
      </c>
      <c r="K10" s="673"/>
      <c r="L10" s="1139"/>
      <c r="M10" s="1140"/>
      <c r="N10" s="1140"/>
      <c r="O10" s="1141"/>
      <c r="P10" s="3214"/>
      <c r="Q10" s="1800" t="str">
        <f t="shared" si="6"/>
        <v>土地使用年限（年）</v>
      </c>
      <c r="R10" s="771" t="s">
        <v>17</v>
      </c>
      <c r="S10" s="772">
        <f t="shared" si="0"/>
        <v>108</v>
      </c>
      <c r="T10" s="771" t="s">
        <v>17</v>
      </c>
      <c r="U10" s="772">
        <f t="shared" si="1"/>
        <v>108</v>
      </c>
      <c r="V10" s="771" t="s">
        <v>17</v>
      </c>
      <c r="W10" s="772">
        <f t="shared" si="2"/>
        <v>108</v>
      </c>
      <c r="X10" s="773"/>
      <c r="Y10" s="3068"/>
      <c r="Z10" s="55" t="str">
        <f t="shared" si="7"/>
        <v>土地使用年限（年）</v>
      </c>
      <c r="AA10" s="774">
        <f t="shared" si="3"/>
        <v>0.92592592592592593</v>
      </c>
      <c r="AB10" s="774">
        <f t="shared" si="4"/>
        <v>0.92592592592592593</v>
      </c>
      <c r="AC10" s="774">
        <f t="shared" si="5"/>
        <v>0.92592592592592593</v>
      </c>
    </row>
    <row r="11" spans="1:29" ht="15">
      <c r="A11" s="429"/>
      <c r="B11" s="423" t="s">
        <v>2559</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14"/>
      <c r="Q11" s="1800" t="str">
        <f t="shared" si="6"/>
        <v>容积率</v>
      </c>
      <c r="R11" s="771" t="s">
        <v>17</v>
      </c>
      <c r="S11" s="772" t="e">
        <f t="shared" si="0"/>
        <v>#N/A</v>
      </c>
      <c r="T11" s="771" t="s">
        <v>17</v>
      </c>
      <c r="U11" s="772" t="e">
        <f t="shared" si="1"/>
        <v>#N/A</v>
      </c>
      <c r="V11" s="771" t="s">
        <v>17</v>
      </c>
      <c r="W11" s="772" t="e">
        <f t="shared" si="2"/>
        <v>#N/A</v>
      </c>
      <c r="X11" s="773"/>
      <c r="Y11" s="3068"/>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14"/>
      <c r="Q12" s="1800">
        <f t="shared" si="6"/>
        <v>111</v>
      </c>
      <c r="R12" s="771" t="s">
        <v>17</v>
      </c>
      <c r="S12" s="772">
        <f t="shared" si="0"/>
        <v>100</v>
      </c>
      <c r="T12" s="771" t="s">
        <v>17</v>
      </c>
      <c r="U12" s="772">
        <f t="shared" si="1"/>
        <v>100</v>
      </c>
      <c r="V12" s="771" t="s">
        <v>17</v>
      </c>
      <c r="W12" s="772">
        <f t="shared" si="2"/>
        <v>100</v>
      </c>
      <c r="X12" s="773"/>
      <c r="Y12" s="3068"/>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14"/>
      <c r="Q13" s="1800">
        <f t="shared" si="6"/>
        <v>111</v>
      </c>
      <c r="R13" s="771" t="s">
        <v>17</v>
      </c>
      <c r="S13" s="772">
        <f t="shared" si="0"/>
        <v>100</v>
      </c>
      <c r="T13" s="771" t="s">
        <v>17</v>
      </c>
      <c r="U13" s="772">
        <f t="shared" si="1"/>
        <v>100</v>
      </c>
      <c r="V13" s="771" t="s">
        <v>17</v>
      </c>
      <c r="W13" s="772">
        <f t="shared" si="2"/>
        <v>100</v>
      </c>
      <c r="X13" s="773"/>
      <c r="Y13" s="3068"/>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14"/>
      <c r="Q14" s="1800">
        <f t="shared" si="6"/>
        <v>111</v>
      </c>
      <c r="R14" s="771" t="s">
        <v>17</v>
      </c>
      <c r="S14" s="772">
        <f t="shared" si="0"/>
        <v>100</v>
      </c>
      <c r="T14" s="771" t="s">
        <v>17</v>
      </c>
      <c r="U14" s="772">
        <f t="shared" si="1"/>
        <v>100</v>
      </c>
      <c r="V14" s="771" t="s">
        <v>17</v>
      </c>
      <c r="W14" s="772">
        <f t="shared" si="2"/>
        <v>100</v>
      </c>
      <c r="X14" s="773"/>
      <c r="Y14" s="3068"/>
      <c r="Z14" s="55">
        <f t="shared" si="7"/>
        <v>111</v>
      </c>
      <c r="AA14" s="774">
        <f t="shared" si="3"/>
        <v>1</v>
      </c>
      <c r="AB14" s="774">
        <f t="shared" si="4"/>
        <v>1</v>
      </c>
      <c r="AC14" s="774">
        <f t="shared" si="5"/>
        <v>1</v>
      </c>
    </row>
    <row r="15" spans="1:29" ht="57">
      <c r="A15" s="441" t="s">
        <v>2560</v>
      </c>
      <c r="B15" s="630" t="s">
        <v>2799</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21" t="s">
        <v>2561</v>
      </c>
      <c r="Q15" s="1815" t="str">
        <f t="shared" si="6"/>
        <v>产业集聚程度</v>
      </c>
      <c r="R15" s="775" t="s">
        <v>17</v>
      </c>
      <c r="S15" s="776">
        <f t="shared" si="0"/>
        <v>100</v>
      </c>
      <c r="T15" s="775" t="s">
        <v>17</v>
      </c>
      <c r="U15" s="776">
        <f t="shared" si="1"/>
        <v>100</v>
      </c>
      <c r="V15" s="775" t="s">
        <v>17</v>
      </c>
      <c r="W15" s="776">
        <f t="shared" si="2"/>
        <v>100</v>
      </c>
      <c r="X15" s="1818"/>
      <c r="Y15" s="3221" t="s">
        <v>2561</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222"/>
      <c r="Q16" s="1815"/>
      <c r="R16" s="775"/>
      <c r="S16" s="776"/>
      <c r="T16" s="775"/>
      <c r="U16" s="776"/>
      <c r="V16" s="775"/>
      <c r="W16" s="776"/>
      <c r="X16" s="1818"/>
      <c r="Y16" s="3222"/>
      <c r="Z16" s="1819"/>
      <c r="AA16" s="1816">
        <v>1</v>
      </c>
      <c r="AB16" s="1816">
        <v>1</v>
      </c>
      <c r="AC16" s="1816">
        <v>1</v>
      </c>
    </row>
    <row r="17" spans="1:29" ht="85.5">
      <c r="A17" s="429"/>
      <c r="B17" s="632" t="s">
        <v>2710</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22"/>
      <c r="Q17" s="1815" t="str">
        <f>B17</f>
        <v>交通便捷度</v>
      </c>
      <c r="R17" s="775" t="s">
        <v>17</v>
      </c>
      <c r="S17" s="776">
        <f>F17</f>
        <v>100</v>
      </c>
      <c r="T17" s="775" t="s">
        <v>17</v>
      </c>
      <c r="U17" s="776">
        <f>H17</f>
        <v>100</v>
      </c>
      <c r="V17" s="775" t="s">
        <v>17</v>
      </c>
      <c r="W17" s="776">
        <f>J17</f>
        <v>100</v>
      </c>
      <c r="X17" s="1818"/>
      <c r="Y17" s="3222"/>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222"/>
      <c r="Q18" s="1815"/>
      <c r="R18" s="775"/>
      <c r="S18" s="776"/>
      <c r="T18" s="775"/>
      <c r="U18" s="776"/>
      <c r="V18" s="775"/>
      <c r="W18" s="776"/>
      <c r="X18" s="1818"/>
      <c r="Y18" s="3222"/>
      <c r="Z18" s="1819"/>
      <c r="AA18" s="1816">
        <v>1</v>
      </c>
      <c r="AB18" s="1816">
        <v>1</v>
      </c>
      <c r="AC18" s="1816">
        <v>1</v>
      </c>
    </row>
    <row r="19" spans="1:29" ht="15">
      <c r="A19" s="429"/>
      <c r="B19" s="632" t="s">
        <v>2749</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22"/>
      <c r="Q19" s="1815" t="str">
        <f t="shared" ref="Q19:Q33" si="8">B19</f>
        <v>区域土地利用方向</v>
      </c>
      <c r="R19" s="775" t="s">
        <v>17</v>
      </c>
      <c r="S19" s="776">
        <f>F19</f>
        <v>100</v>
      </c>
      <c r="T19" s="775" t="s">
        <v>17</v>
      </c>
      <c r="U19" s="776">
        <f>H19</f>
        <v>100</v>
      </c>
      <c r="V19" s="775" t="s">
        <v>17</v>
      </c>
      <c r="W19" s="776">
        <f>J19</f>
        <v>100</v>
      </c>
      <c r="X19" s="1818"/>
      <c r="Y19" s="3222"/>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222"/>
      <c r="Q20" s="1815"/>
      <c r="R20" s="775"/>
      <c r="S20" s="776"/>
      <c r="T20" s="775"/>
      <c r="U20" s="776"/>
      <c r="V20" s="775"/>
      <c r="W20" s="776"/>
      <c r="X20" s="1818"/>
      <c r="Y20" s="3222"/>
      <c r="Z20" s="1819"/>
      <c r="AA20" s="1816"/>
      <c r="AB20" s="1816"/>
      <c r="AC20" s="1816"/>
    </row>
    <row r="21" spans="1:29" ht="71.25">
      <c r="A21" s="405"/>
      <c r="B21" s="632" t="s">
        <v>2800</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22"/>
      <c r="Q21" s="1815" t="str">
        <f t="shared" si="8"/>
        <v>环境状况</v>
      </c>
      <c r="R21" s="775" t="s">
        <v>17</v>
      </c>
      <c r="S21" s="776">
        <f>F21</f>
        <v>100</v>
      </c>
      <c r="T21" s="775" t="s">
        <v>17</v>
      </c>
      <c r="U21" s="776">
        <f>H21</f>
        <v>100</v>
      </c>
      <c r="V21" s="775" t="s">
        <v>17</v>
      </c>
      <c r="W21" s="776">
        <f>J21</f>
        <v>100</v>
      </c>
      <c r="X21" s="1818"/>
      <c r="Y21" s="3222"/>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222"/>
      <c r="Q22" s="1815"/>
      <c r="R22" s="775"/>
      <c r="S22" s="776"/>
      <c r="T22" s="775"/>
      <c r="U22" s="776"/>
      <c r="V22" s="775"/>
      <c r="W22" s="776"/>
      <c r="X22" s="1818"/>
      <c r="Y22" s="3222"/>
      <c r="Z22" s="1819"/>
      <c r="AA22" s="1816">
        <v>1</v>
      </c>
      <c r="AB22" s="1816">
        <v>1</v>
      </c>
      <c r="AC22" s="1816">
        <v>1</v>
      </c>
    </row>
    <row r="23" spans="1:29" s="117" customFormat="1" ht="42.75">
      <c r="A23" s="650"/>
      <c r="B23" s="634" t="s">
        <v>2655</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22"/>
      <c r="Q23" s="1800" t="str">
        <f t="shared" si="8"/>
        <v>公共配套设施</v>
      </c>
      <c r="R23" s="771" t="s">
        <v>17</v>
      </c>
      <c r="S23" s="772">
        <f>F23</f>
        <v>100</v>
      </c>
      <c r="T23" s="771" t="s">
        <v>17</v>
      </c>
      <c r="U23" s="772">
        <f>H23</f>
        <v>100</v>
      </c>
      <c r="V23" s="771" t="s">
        <v>17</v>
      </c>
      <c r="W23" s="772">
        <f>J23</f>
        <v>100</v>
      </c>
      <c r="X23" s="773"/>
      <c r="Y23" s="3222"/>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222"/>
      <c r="Q24" s="1800"/>
      <c r="R24" s="771"/>
      <c r="S24" s="772"/>
      <c r="T24" s="771"/>
      <c r="U24" s="772"/>
      <c r="V24" s="771"/>
      <c r="W24" s="772"/>
      <c r="X24" s="773"/>
      <c r="Y24" s="3222"/>
      <c r="Z24" s="55"/>
      <c r="AA24" s="774">
        <v>1</v>
      </c>
      <c r="AB24" s="774">
        <v>1</v>
      </c>
      <c r="AC24" s="774">
        <v>1</v>
      </c>
    </row>
    <row r="25" spans="1:29" s="117" customFormat="1" ht="28.5">
      <c r="A25" s="650"/>
      <c r="B25" s="634" t="s">
        <v>2656</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22"/>
      <c r="Q25" s="1800" t="str">
        <f t="shared" ref="Q25" si="9">B25</f>
        <v>基础设施水平</v>
      </c>
      <c r="R25" s="771" t="s">
        <v>17</v>
      </c>
      <c r="S25" s="772">
        <f>F25</f>
        <v>100</v>
      </c>
      <c r="T25" s="771" t="s">
        <v>17</v>
      </c>
      <c r="U25" s="772">
        <f>H25</f>
        <v>100</v>
      </c>
      <c r="V25" s="771" t="s">
        <v>17</v>
      </c>
      <c r="W25" s="772">
        <f>J25</f>
        <v>100</v>
      </c>
      <c r="X25" s="773"/>
      <c r="Y25" s="3222"/>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222"/>
      <c r="Q26" s="1800"/>
      <c r="R26" s="771"/>
      <c r="S26" s="772"/>
      <c r="T26" s="771"/>
      <c r="U26" s="772"/>
      <c r="V26" s="771"/>
      <c r="W26" s="772"/>
      <c r="X26" s="773"/>
      <c r="Y26" s="3222"/>
      <c r="Z26" s="55"/>
      <c r="AA26" s="774">
        <v>1</v>
      </c>
      <c r="AB26" s="774">
        <v>1</v>
      </c>
      <c r="AC26" s="774">
        <v>1</v>
      </c>
    </row>
    <row r="27" spans="1:29" ht="15">
      <c r="A27" s="429"/>
      <c r="B27" s="633" t="s">
        <v>2657</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22"/>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22"/>
      <c r="Z27" s="1819" t="str">
        <f t="shared" ref="Z27:Z40" si="13">Q27</f>
        <v>临街状况</v>
      </c>
      <c r="AA27" s="1816">
        <f t="shared" si="3"/>
        <v>1</v>
      </c>
      <c r="AB27" s="1816">
        <f t="shared" si="4"/>
        <v>1</v>
      </c>
      <c r="AC27" s="1816">
        <f t="shared" si="5"/>
        <v>1</v>
      </c>
    </row>
    <row r="28" spans="1:29" ht="27">
      <c r="A28" s="429"/>
      <c r="B28" s="634" t="s">
        <v>2692</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22"/>
      <c r="Q28" s="1815" t="str">
        <f t="shared" si="8"/>
        <v>毗邻道路的类型与等级</v>
      </c>
      <c r="R28" s="775" t="s">
        <v>17</v>
      </c>
      <c r="S28" s="776">
        <f t="shared" si="10"/>
        <v>100</v>
      </c>
      <c r="T28" s="775" t="s">
        <v>17</v>
      </c>
      <c r="U28" s="776">
        <f t="shared" si="11"/>
        <v>100</v>
      </c>
      <c r="V28" s="775" t="s">
        <v>17</v>
      </c>
      <c r="W28" s="776">
        <f t="shared" si="12"/>
        <v>100</v>
      </c>
      <c r="X28" s="1818"/>
      <c r="Y28" s="3222"/>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222"/>
      <c r="Q29" s="1815"/>
      <c r="R29" s="775"/>
      <c r="S29" s="776"/>
      <c r="T29" s="775"/>
      <c r="U29" s="776"/>
      <c r="V29" s="775"/>
      <c r="W29" s="776"/>
      <c r="X29" s="1818"/>
      <c r="Y29" s="3222"/>
      <c r="Z29" s="1819"/>
      <c r="AA29" s="1816">
        <v>1</v>
      </c>
      <c r="AB29" s="1816">
        <v>1</v>
      </c>
      <c r="AC29" s="1816">
        <v>1</v>
      </c>
    </row>
    <row r="30" spans="1:29" ht="15">
      <c r="A30" s="429"/>
      <c r="B30" s="655" t="s">
        <v>2751</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22"/>
      <c r="Q30" s="1815" t="str">
        <f t="shared" si="8"/>
        <v>土地级别</v>
      </c>
      <c r="R30" s="775" t="s">
        <v>17</v>
      </c>
      <c r="S30" s="776">
        <f t="shared" si="10"/>
        <v>100</v>
      </c>
      <c r="T30" s="775" t="s">
        <v>17</v>
      </c>
      <c r="U30" s="776">
        <f t="shared" si="11"/>
        <v>100</v>
      </c>
      <c r="V30" s="775" t="s">
        <v>17</v>
      </c>
      <c r="W30" s="776">
        <f t="shared" si="12"/>
        <v>100</v>
      </c>
      <c r="X30" s="1818"/>
      <c r="Y30" s="3222"/>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22"/>
      <c r="Q31" s="1815">
        <f t="shared" si="8"/>
        <v>111</v>
      </c>
      <c r="R31" s="775" t="s">
        <v>17</v>
      </c>
      <c r="S31" s="776">
        <f t="shared" si="10"/>
        <v>100</v>
      </c>
      <c r="T31" s="775" t="s">
        <v>17</v>
      </c>
      <c r="U31" s="776">
        <f t="shared" si="11"/>
        <v>100</v>
      </c>
      <c r="V31" s="775" t="s">
        <v>17</v>
      </c>
      <c r="W31" s="776">
        <f t="shared" si="12"/>
        <v>100</v>
      </c>
      <c r="X31" s="1818"/>
      <c r="Y31" s="3222"/>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03" t="s">
        <v>2566</v>
      </c>
      <c r="Q32" s="1815">
        <f t="shared" si="8"/>
        <v>111</v>
      </c>
      <c r="R32" s="775" t="s">
        <v>17</v>
      </c>
      <c r="S32" s="776">
        <f t="shared" si="10"/>
        <v>100</v>
      </c>
      <c r="T32" s="775" t="s">
        <v>17</v>
      </c>
      <c r="U32" s="776">
        <f t="shared" si="11"/>
        <v>100</v>
      </c>
      <c r="V32" s="775" t="s">
        <v>17</v>
      </c>
      <c r="W32" s="776">
        <f t="shared" si="12"/>
        <v>100</v>
      </c>
      <c r="X32" s="1818"/>
      <c r="Y32" s="3226" t="s">
        <v>2566</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26"/>
      <c r="Q33" s="1815">
        <f t="shared" si="8"/>
        <v>111</v>
      </c>
      <c r="R33" s="778" t="s">
        <v>17</v>
      </c>
      <c r="S33" s="779">
        <f t="shared" si="10"/>
        <v>100</v>
      </c>
      <c r="T33" s="778" t="s">
        <v>17</v>
      </c>
      <c r="U33" s="779">
        <f t="shared" si="11"/>
        <v>100</v>
      </c>
      <c r="V33" s="778" t="s">
        <v>17</v>
      </c>
      <c r="W33" s="779">
        <f t="shared" si="12"/>
        <v>100</v>
      </c>
      <c r="X33" s="780"/>
      <c r="Y33" s="3226"/>
      <c r="Z33" s="781">
        <f t="shared" si="13"/>
        <v>111</v>
      </c>
      <c r="AA33" s="1816">
        <f t="shared" si="3"/>
        <v>1</v>
      </c>
      <c r="AB33" s="1816">
        <f t="shared" si="4"/>
        <v>1</v>
      </c>
      <c r="AC33" s="1816">
        <f t="shared" si="5"/>
        <v>1</v>
      </c>
    </row>
    <row r="34" spans="1:29" ht="15">
      <c r="A34" s="441" t="s">
        <v>2564</v>
      </c>
      <c r="B34" s="457" t="s">
        <v>2752</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26"/>
      <c r="Q34" s="1815" t="str">
        <f>B34</f>
        <v>宗地面积</v>
      </c>
      <c r="R34" s="775" t="s">
        <v>17</v>
      </c>
      <c r="S34" s="776" t="e">
        <f t="shared" si="10"/>
        <v>#N/A</v>
      </c>
      <c r="T34" s="775" t="s">
        <v>17</v>
      </c>
      <c r="U34" s="776" t="e">
        <f t="shared" si="11"/>
        <v>#N/A</v>
      </c>
      <c r="V34" s="775" t="s">
        <v>17</v>
      </c>
      <c r="W34" s="776" t="e">
        <f t="shared" si="12"/>
        <v>#N/A</v>
      </c>
      <c r="X34" s="1818"/>
      <c r="Y34" s="3226"/>
      <c r="Z34" s="1819" t="str">
        <f t="shared" si="13"/>
        <v>宗地面积</v>
      </c>
      <c r="AA34" s="1816" t="e">
        <f t="shared" si="3"/>
        <v>#N/A</v>
      </c>
      <c r="AB34" s="1816" t="e">
        <f t="shared" si="4"/>
        <v>#N/A</v>
      </c>
      <c r="AC34" s="1816" t="e">
        <f t="shared" si="5"/>
        <v>#N/A</v>
      </c>
    </row>
    <row r="35" spans="1:29" ht="15">
      <c r="A35" s="473"/>
      <c r="B35" s="423" t="s">
        <v>2753</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26"/>
      <c r="Q35" s="1815" t="str">
        <f t="shared" ref="Q35:Q40" si="14">B35</f>
        <v>宗地形状</v>
      </c>
      <c r="R35" s="775" t="s">
        <v>17</v>
      </c>
      <c r="S35" s="776">
        <f t="shared" si="10"/>
        <v>100</v>
      </c>
      <c r="T35" s="775" t="s">
        <v>17</v>
      </c>
      <c r="U35" s="776">
        <f t="shared" si="11"/>
        <v>100</v>
      </c>
      <c r="V35" s="775" t="s">
        <v>17</v>
      </c>
      <c r="W35" s="776">
        <f t="shared" si="12"/>
        <v>100</v>
      </c>
      <c r="X35" s="1818"/>
      <c r="Y35" s="3226"/>
      <c r="Z35" s="1819" t="str">
        <f t="shared" si="13"/>
        <v>宗地形状</v>
      </c>
      <c r="AA35" s="1816">
        <f t="shared" si="3"/>
        <v>1</v>
      </c>
      <c r="AB35" s="1816">
        <f t="shared" si="4"/>
        <v>1</v>
      </c>
      <c r="AC35" s="1816">
        <f t="shared" si="5"/>
        <v>1</v>
      </c>
    </row>
    <row r="36" spans="1:29" s="117" customFormat="1" ht="15">
      <c r="A36" s="474"/>
      <c r="B36" s="423" t="s">
        <v>2755</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26"/>
      <c r="Q36" s="1815" t="str">
        <f t="shared" si="14"/>
        <v>宗地开发程度</v>
      </c>
      <c r="R36" s="771" t="s">
        <v>17</v>
      </c>
      <c r="S36" s="772">
        <f t="shared" si="10"/>
        <v>100</v>
      </c>
      <c r="T36" s="771" t="s">
        <v>17</v>
      </c>
      <c r="U36" s="772">
        <f t="shared" si="11"/>
        <v>100</v>
      </c>
      <c r="V36" s="771" t="s">
        <v>17</v>
      </c>
      <c r="W36" s="772">
        <f t="shared" si="12"/>
        <v>100</v>
      </c>
      <c r="X36" s="773"/>
      <c r="Y36" s="3226"/>
      <c r="Z36" s="55" t="str">
        <f t="shared" si="13"/>
        <v>宗地开发程度</v>
      </c>
      <c r="AA36" s="774">
        <f t="shared" si="3"/>
        <v>1</v>
      </c>
      <c r="AB36" s="774">
        <f t="shared" si="4"/>
        <v>1</v>
      </c>
      <c r="AC36" s="774">
        <f t="shared" si="5"/>
        <v>1</v>
      </c>
    </row>
    <row r="37" spans="1:29" ht="15">
      <c r="A37" s="473"/>
      <c r="B37" s="423" t="s">
        <v>2756</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26" t="s">
        <v>2566</v>
      </c>
      <c r="Q37" s="1815" t="str">
        <f t="shared" si="14"/>
        <v>工程地质条件</v>
      </c>
      <c r="R37" s="775" t="s">
        <v>17</v>
      </c>
      <c r="S37" s="776">
        <f t="shared" si="10"/>
        <v>100</v>
      </c>
      <c r="T37" s="775" t="s">
        <v>17</v>
      </c>
      <c r="U37" s="776">
        <f t="shared" si="11"/>
        <v>100</v>
      </c>
      <c r="V37" s="775" t="s">
        <v>17</v>
      </c>
      <c r="W37" s="776">
        <f t="shared" si="12"/>
        <v>100</v>
      </c>
      <c r="X37" s="1818"/>
      <c r="Y37" s="3226" t="s">
        <v>2566</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26"/>
      <c r="Q38" s="1815">
        <f t="shared" si="14"/>
        <v>111</v>
      </c>
      <c r="R38" s="775" t="s">
        <v>17</v>
      </c>
      <c r="S38" s="776">
        <f t="shared" si="10"/>
        <v>100</v>
      </c>
      <c r="T38" s="775" t="s">
        <v>17</v>
      </c>
      <c r="U38" s="776">
        <f t="shared" si="11"/>
        <v>100</v>
      </c>
      <c r="V38" s="775" t="s">
        <v>17</v>
      </c>
      <c r="W38" s="776">
        <f t="shared" si="12"/>
        <v>100</v>
      </c>
      <c r="X38" s="1818"/>
      <c r="Y38" s="3226"/>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26"/>
      <c r="Q39" s="1815">
        <f t="shared" si="14"/>
        <v>111</v>
      </c>
      <c r="R39" s="775" t="s">
        <v>17</v>
      </c>
      <c r="S39" s="776">
        <f t="shared" si="10"/>
        <v>100</v>
      </c>
      <c r="T39" s="775" t="s">
        <v>17</v>
      </c>
      <c r="U39" s="776">
        <f t="shared" si="11"/>
        <v>100</v>
      </c>
      <c r="V39" s="775" t="s">
        <v>17</v>
      </c>
      <c r="W39" s="776">
        <f t="shared" si="12"/>
        <v>100</v>
      </c>
      <c r="X39" s="1818"/>
      <c r="Y39" s="3226"/>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26"/>
      <c r="Q40" s="1815">
        <f t="shared" si="14"/>
        <v>111</v>
      </c>
      <c r="R40" s="778" t="s">
        <v>17</v>
      </c>
      <c r="S40" s="779">
        <f t="shared" si="10"/>
        <v>100</v>
      </c>
      <c r="T40" s="778" t="s">
        <v>17</v>
      </c>
      <c r="U40" s="779">
        <f t="shared" si="11"/>
        <v>100</v>
      </c>
      <c r="V40" s="778" t="s">
        <v>17</v>
      </c>
      <c r="W40" s="779">
        <f t="shared" si="12"/>
        <v>100</v>
      </c>
      <c r="X40" s="780"/>
      <c r="Y40" s="3226"/>
      <c r="Z40" s="781">
        <f t="shared" si="13"/>
        <v>111</v>
      </c>
      <c r="AA40" s="1816">
        <f t="shared" si="3"/>
        <v>1</v>
      </c>
      <c r="AB40" s="1816">
        <f t="shared" si="4"/>
        <v>1</v>
      </c>
      <c r="AC40" s="1816">
        <f t="shared" si="5"/>
        <v>1</v>
      </c>
    </row>
    <row r="41" spans="1:29" ht="15">
      <c r="A41" s="480" t="s">
        <v>2721</v>
      </c>
      <c r="B41" s="2711" t="s">
        <v>2801</v>
      </c>
      <c r="C41" s="683" t="s">
        <v>1</v>
      </c>
      <c r="D41" s="482"/>
      <c r="E41" s="483"/>
      <c r="F41" s="484"/>
      <c r="G41" s="485"/>
      <c r="H41" s="486"/>
      <c r="I41" s="483"/>
      <c r="J41" s="486"/>
      <c r="K41" s="784"/>
      <c r="L41" s="1147"/>
      <c r="M41" s="1135"/>
      <c r="N41" s="1135"/>
      <c r="O41" s="1148"/>
      <c r="P41" s="3214" t="str">
        <f>A41</f>
        <v>成交单价</v>
      </c>
      <c r="Q41" s="3214"/>
      <c r="R41" s="3248">
        <f>E41</f>
        <v>0</v>
      </c>
      <c r="S41" s="3248"/>
      <c r="T41" s="3248">
        <f>G41</f>
        <v>0</v>
      </c>
      <c r="U41" s="3248"/>
      <c r="V41" s="3248">
        <f>I41</f>
        <v>0</v>
      </c>
      <c r="W41" s="3248"/>
      <c r="X41" s="760"/>
      <c r="Y41" s="782"/>
      <c r="Z41" s="760"/>
      <c r="AA41" s="760"/>
      <c r="AB41" s="760"/>
      <c r="AC41" s="760"/>
    </row>
    <row r="42" spans="1:29" ht="15.75" thickBot="1">
      <c r="A42" s="487" t="s">
        <v>2670</v>
      </c>
      <c r="B42" s="684"/>
      <c r="C42" s="491" t="e">
        <f>R43</f>
        <v>#DIV/0!</v>
      </c>
      <c r="D42" s="490"/>
      <c r="E42" s="491" t="e">
        <f>R42</f>
        <v>#DIV/0!</v>
      </c>
      <c r="F42" s="492"/>
      <c r="G42" s="489" t="e">
        <f>T42</f>
        <v>#DIV/0!</v>
      </c>
      <c r="H42" s="490"/>
      <c r="I42" s="491" t="e">
        <f>V42</f>
        <v>#DIV/0!</v>
      </c>
      <c r="J42" s="490"/>
      <c r="K42" s="785"/>
      <c r="L42" s="1147"/>
      <c r="M42" s="1135"/>
      <c r="N42" s="1135"/>
      <c r="O42" s="1148"/>
      <c r="P42" s="3214" t="str">
        <f>A42</f>
        <v>比较价值（元/平方米）</v>
      </c>
      <c r="Q42" s="3214"/>
      <c r="R42" s="3304" t="e">
        <f>ROUND(PRODUCT(R41,AA7:AA40),0)</f>
        <v>#DIV/0!</v>
      </c>
      <c r="S42" s="3304"/>
      <c r="T42" s="3304" t="e">
        <f>ROUND(PRODUCT(T41,AB7:AB40),0)</f>
        <v>#DIV/0!</v>
      </c>
      <c r="U42" s="3304"/>
      <c r="V42" s="3304" t="e">
        <f>ROUND(PRODUCT(V41,AC7:AC40),0)</f>
        <v>#DIV/0!</v>
      </c>
      <c r="W42" s="3304"/>
      <c r="X42" s="760"/>
      <c r="Y42" s="760"/>
      <c r="Z42" s="760"/>
      <c r="AA42" s="760"/>
      <c r="AB42" s="760"/>
      <c r="AC42" s="760"/>
    </row>
    <row r="43" spans="1:29" ht="15.75" thickBot="1">
      <c r="A43" s="493" t="s">
        <v>2671</v>
      </c>
      <c r="B43" s="494"/>
      <c r="C43" s="495" t="e">
        <f>R43</f>
        <v>#DIV/0!</v>
      </c>
      <c r="D43" s="495"/>
      <c r="E43" s="495"/>
      <c r="F43" s="495"/>
      <c r="G43" s="495"/>
      <c r="H43" s="495"/>
      <c r="I43" s="495"/>
      <c r="J43" s="495"/>
      <c r="K43" s="786"/>
      <c r="L43" s="1147"/>
      <c r="M43" s="1135"/>
      <c r="N43" s="1135"/>
      <c r="O43" s="1148"/>
      <c r="P43" s="3292" t="str">
        <f>A43</f>
        <v>估价对象XX用房的比较价值（楼面单价，元/平方米）</v>
      </c>
      <c r="Q43" s="3293"/>
      <c r="R43" s="3305" t="e">
        <f>ROUND(AVERAGE(R42:V42),0)</f>
        <v>#DIV/0!</v>
      </c>
      <c r="S43" s="3305"/>
      <c r="T43" s="3305"/>
      <c r="U43" s="3305"/>
      <c r="V43" s="3305"/>
      <c r="W43" s="3305"/>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2759</v>
      </c>
      <c r="B50" s="686" t="s">
        <v>2760</v>
      </c>
      <c r="C50" s="2712" t="s">
        <v>2761</v>
      </c>
      <c r="D50" s="2713" t="s">
        <v>2762</v>
      </c>
      <c r="E50" s="687" t="s">
        <v>2763</v>
      </c>
      <c r="F50" s="688" t="s">
        <v>2764</v>
      </c>
      <c r="G50" s="3231" t="s">
        <v>2765</v>
      </c>
      <c r="H50" s="3306"/>
      <c r="I50" s="1819" t="s">
        <v>2802</v>
      </c>
      <c r="J50" s="1819">
        <f>项目基本情况!F35</f>
        <v>0</v>
      </c>
      <c r="K50" s="2715" t="s">
        <v>2767</v>
      </c>
      <c r="L50" s="1110"/>
      <c r="M50" s="1148"/>
      <c r="N50" s="1148"/>
      <c r="O50" s="1148"/>
    </row>
    <row r="51" spans="1:17" s="693" customFormat="1">
      <c r="A51" s="689" t="s">
        <v>2768</v>
      </c>
      <c r="B51" s="690" t="e">
        <f>C43</f>
        <v>#DIV/0!</v>
      </c>
      <c r="C51" s="691">
        <v>1</v>
      </c>
      <c r="D51" s="1167">
        <v>1</v>
      </c>
      <c r="E51" s="691">
        <f>'数据-汇总表'!E8+'数据-汇总表'!E9</f>
        <v>1952.76</v>
      </c>
      <c r="F51" s="692" t="e">
        <f t="shared" ref="F51:F60" si="15">ROUND(B51*E51/10000,0)</f>
        <v>#DIV/0!</v>
      </c>
      <c r="G51" s="3213"/>
      <c r="H51" s="3214"/>
      <c r="I51" s="946">
        <v>1</v>
      </c>
      <c r="J51" s="946">
        <v>1</v>
      </c>
      <c r="K51" s="1149"/>
      <c r="L51" s="945"/>
      <c r="M51" s="945"/>
      <c r="N51" s="945"/>
      <c r="O51" s="945"/>
    </row>
    <row r="52" spans="1:17" s="693" customFormat="1">
      <c r="A52" s="694" t="s">
        <v>2769</v>
      </c>
      <c r="B52" s="263" t="e">
        <f>ROUND($C$43*C52*D52,0)</f>
        <v>#DIV/0!</v>
      </c>
      <c r="C52" s="201">
        <f t="shared" ref="C52:C60" si="16">IF($C$50="北京市系数",I52,J52)</f>
        <v>0</v>
      </c>
      <c r="D52" s="1168">
        <v>0.25</v>
      </c>
      <c r="E52" s="695"/>
      <c r="F52" s="692" t="e">
        <f t="shared" si="15"/>
        <v>#DIV/0!</v>
      </c>
      <c r="G52" s="3307" t="s">
        <v>2770</v>
      </c>
      <c r="H52" s="1108">
        <f>项目基本情况!B37</f>
        <v>0</v>
      </c>
      <c r="I52" s="946">
        <f>SUMIF(修正!A45:A56,H52,修正!B45:B56)</f>
        <v>0</v>
      </c>
      <c r="J52" s="947"/>
      <c r="K52" s="1148"/>
      <c r="L52" s="945"/>
      <c r="M52" s="945"/>
      <c r="N52" s="945"/>
      <c r="O52" s="945"/>
    </row>
    <row r="53" spans="1:17" s="693" customFormat="1">
      <c r="A53" s="694" t="s">
        <v>2771</v>
      </c>
      <c r="B53" s="263" t="e">
        <f t="shared" ref="B53:B60" si="17">ROUND($C$43*C53*D53,0)</f>
        <v>#DIV/0!</v>
      </c>
      <c r="C53" s="201">
        <f t="shared" si="16"/>
        <v>0</v>
      </c>
      <c r="D53" s="1168">
        <v>0.25</v>
      </c>
      <c r="E53" s="695"/>
      <c r="F53" s="692" t="e">
        <f t="shared" si="15"/>
        <v>#DIV/0!</v>
      </c>
      <c r="G53" s="3307"/>
      <c r="H53" s="1108">
        <f>项目基本情况!B37</f>
        <v>0</v>
      </c>
      <c r="I53" s="946">
        <f>SUMIF(修正!A45:A56,H53,修正!C45:C56)</f>
        <v>0</v>
      </c>
      <c r="J53" s="947"/>
      <c r="K53" s="1149"/>
      <c r="L53" s="945"/>
      <c r="M53" s="945"/>
      <c r="N53" s="945"/>
      <c r="O53" s="945"/>
    </row>
    <row r="54" spans="1:17" s="693" customFormat="1">
      <c r="A54" s="694" t="s">
        <v>2772</v>
      </c>
      <c r="B54" s="263" t="e">
        <f t="shared" si="17"/>
        <v>#DIV/0!</v>
      </c>
      <c r="C54" s="201">
        <f t="shared" si="16"/>
        <v>0</v>
      </c>
      <c r="D54" s="1168">
        <v>0.25</v>
      </c>
      <c r="E54" s="695"/>
      <c r="F54" s="692" t="e">
        <f t="shared" si="15"/>
        <v>#DIV/0!</v>
      </c>
      <c r="G54" s="3307"/>
      <c r="H54" s="1108">
        <f>项目基本情况!B37</f>
        <v>0</v>
      </c>
      <c r="I54" s="946">
        <f>SUMIF(修正!A45:A56,H54,修正!D45:D56)</f>
        <v>0</v>
      </c>
      <c r="J54" s="947"/>
      <c r="K54" s="1148"/>
      <c r="L54" s="945"/>
      <c r="M54" s="945"/>
      <c r="N54" s="945"/>
      <c r="O54" s="945"/>
    </row>
    <row r="55" spans="1:17" s="693" customFormat="1">
      <c r="A55" s="694" t="s">
        <v>2773</v>
      </c>
      <c r="B55" s="263" t="e">
        <f t="shared" si="17"/>
        <v>#DIV/0!</v>
      </c>
      <c r="C55" s="201">
        <f t="shared" si="16"/>
        <v>0</v>
      </c>
      <c r="D55" s="1168">
        <v>0.25</v>
      </c>
      <c r="E55" s="695"/>
      <c r="F55" s="692" t="e">
        <f t="shared" si="15"/>
        <v>#DIV/0!</v>
      </c>
      <c r="G55" s="3307"/>
      <c r="H55" s="1108">
        <f>项目基本情况!B37</f>
        <v>0</v>
      </c>
      <c r="I55" s="946">
        <f>SUMIF(修正!A45:A56,H55,修正!E45:E56)</f>
        <v>0</v>
      </c>
      <c r="J55" s="947"/>
      <c r="K55" s="1149"/>
      <c r="L55" s="945"/>
      <c r="M55" s="945"/>
      <c r="N55" s="945"/>
      <c r="O55" s="945"/>
    </row>
    <row r="56" spans="1:17" s="693" customFormat="1">
      <c r="A56" s="694" t="s">
        <v>2774</v>
      </c>
      <c r="B56" s="263" t="e">
        <f t="shared" si="17"/>
        <v>#DIV/0!</v>
      </c>
      <c r="C56" s="201">
        <f t="shared" si="16"/>
        <v>0</v>
      </c>
      <c r="D56" s="1168">
        <v>0.25</v>
      </c>
      <c r="E56" s="262">
        <f>'数据-汇总表'!E11</f>
        <v>0</v>
      </c>
      <c r="F56" s="692" t="e">
        <f t="shared" si="15"/>
        <v>#DIV/0!</v>
      </c>
      <c r="G56" s="2716" t="s">
        <v>2775</v>
      </c>
      <c r="H56" s="1108">
        <f>项目基本情况!C37</f>
        <v>0</v>
      </c>
      <c r="I56" s="946">
        <f>SUMIF(修正!A45:A56,H56,修正!F45:F56)</f>
        <v>0</v>
      </c>
      <c r="J56" s="947"/>
      <c r="K56" s="1148"/>
      <c r="L56" s="945"/>
      <c r="M56" s="945"/>
      <c r="N56" s="945"/>
      <c r="O56" s="945"/>
    </row>
    <row r="57" spans="1:17" s="693" customFormat="1">
      <c r="A57" s="694" t="s">
        <v>2776</v>
      </c>
      <c r="B57" s="263" t="e">
        <f t="shared" si="17"/>
        <v>#DIV/0!</v>
      </c>
      <c r="C57" s="201">
        <f t="shared" si="16"/>
        <v>0</v>
      </c>
      <c r="D57" s="1168">
        <v>0.25</v>
      </c>
      <c r="E57" s="262">
        <f>'数据-汇总表'!E12</f>
        <v>0</v>
      </c>
      <c r="F57" s="692" t="e">
        <f t="shared" si="15"/>
        <v>#DIV/0!</v>
      </c>
      <c r="G57" s="1113" t="s">
        <v>2777</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2778</v>
      </c>
      <c r="B58" s="263" t="e">
        <f t="shared" si="17"/>
        <v>#DIV/0!</v>
      </c>
      <c r="C58" s="201">
        <f t="shared" si="16"/>
        <v>0</v>
      </c>
      <c r="D58" s="1168">
        <v>0.25</v>
      </c>
      <c r="E58" s="262">
        <f>'数据-汇总表'!E13</f>
        <v>0</v>
      </c>
      <c r="F58" s="692" t="e">
        <f t="shared" si="15"/>
        <v>#DIV/0!</v>
      </c>
      <c r="G58" s="1113" t="s">
        <v>2779</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2780</v>
      </c>
      <c r="B59" s="263" t="e">
        <f t="shared" si="17"/>
        <v>#DIV/0!</v>
      </c>
      <c r="C59" s="201">
        <f t="shared" si="16"/>
        <v>0</v>
      </c>
      <c r="D59" s="1168">
        <v>0.25</v>
      </c>
      <c r="E59" s="262">
        <f>'数据-汇总表'!E14</f>
        <v>0</v>
      </c>
      <c r="F59" s="692" t="e">
        <f t="shared" si="15"/>
        <v>#DIV/0!</v>
      </c>
      <c r="G59" s="2716" t="s">
        <v>2770</v>
      </c>
      <c r="H59" s="1108">
        <f>项目基本情况!B37</f>
        <v>0</v>
      </c>
      <c r="I59" s="946">
        <f>SUMIF(修正!A45:A56,H59,修正!H45:H56)</f>
        <v>0</v>
      </c>
      <c r="J59" s="947"/>
      <c r="K59" s="1149"/>
      <c r="L59" s="945"/>
      <c r="M59" s="945"/>
      <c r="N59" s="945"/>
      <c r="O59" s="945"/>
    </row>
    <row r="60" spans="1:17" s="693" customFormat="1" ht="15" thickBot="1">
      <c r="A60" s="694" t="s">
        <v>2781</v>
      </c>
      <c r="B60" s="263" t="e">
        <f t="shared" si="17"/>
        <v>#DIV/0!</v>
      </c>
      <c r="C60" s="201">
        <f t="shared" si="16"/>
        <v>0</v>
      </c>
      <c r="D60" s="1168">
        <v>0.25</v>
      </c>
      <c r="E60" s="262">
        <f>'数据-汇总表'!E15</f>
        <v>0</v>
      </c>
      <c r="F60" s="692" t="e">
        <f t="shared" si="15"/>
        <v>#DIV/0!</v>
      </c>
      <c r="G60" s="2717" t="s">
        <v>2775</v>
      </c>
      <c r="H60" s="1118">
        <f>项目基本情况!C37</f>
        <v>0</v>
      </c>
      <c r="I60" s="946">
        <f>SUMIF(修正!A45:A56,H60,修正!H45:H56)</f>
        <v>0</v>
      </c>
      <c r="J60" s="947"/>
      <c r="K60" s="1148"/>
      <c r="L60" s="945"/>
      <c r="M60" s="945"/>
      <c r="N60" s="945"/>
      <c r="O60" s="945"/>
    </row>
    <row r="61" spans="1:17" s="693" customFormat="1" ht="15" thickBot="1">
      <c r="A61" s="696" t="s">
        <v>2782</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2675</v>
      </c>
      <c r="B64" s="760"/>
      <c r="C64" s="765"/>
      <c r="D64" s="765"/>
      <c r="E64" s="765"/>
      <c r="F64" s="766"/>
      <c r="G64" s="766"/>
      <c r="H64" s="765"/>
      <c r="I64" s="765"/>
      <c r="J64" s="765"/>
      <c r="K64" s="767"/>
      <c r="L64" s="768"/>
      <c r="M64" s="765"/>
      <c r="N64" s="765"/>
      <c r="O64" s="1163"/>
      <c r="P64" s="504"/>
      <c r="Q64" s="505"/>
    </row>
    <row r="65" spans="1:17" s="509" customFormat="1" ht="15">
      <c r="A65" s="2718" t="s">
        <v>2783</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2803</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2586</v>
      </c>
      <c r="B67" s="517"/>
      <c r="C67" s="518"/>
      <c r="D67" s="519"/>
      <c r="E67" s="519"/>
      <c r="F67" s="519"/>
      <c r="G67" s="519"/>
      <c r="H67" s="519"/>
      <c r="I67" s="519"/>
      <c r="J67" s="519"/>
      <c r="K67" s="519"/>
      <c r="L67" s="519"/>
      <c r="M67" s="520"/>
      <c r="N67" s="520"/>
      <c r="O67" s="521"/>
      <c r="P67" s="505"/>
      <c r="Q67" s="505"/>
    </row>
    <row r="68" spans="1:17" s="117" customFormat="1" ht="15">
      <c r="A68" s="522" t="s">
        <v>2551</v>
      </c>
      <c r="B68" s="511"/>
      <c r="C68" s="523" t="s">
        <v>2653</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2589</v>
      </c>
      <c r="B70" s="529" t="s">
        <v>2555</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2558</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2559</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2560</v>
      </c>
      <c r="B83" s="529" t="s">
        <v>2706</v>
      </c>
      <c r="C83" s="574" t="s">
        <v>2598</v>
      </c>
      <c r="D83" s="574" t="s">
        <v>2599</v>
      </c>
      <c r="E83" s="574" t="s">
        <v>2600</v>
      </c>
      <c r="F83" s="574" t="s">
        <v>2601</v>
      </c>
      <c r="G83" s="574" t="s">
        <v>2602</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2603</v>
      </c>
      <c r="C85" s="579" t="s">
        <v>2598</v>
      </c>
      <c r="D85" s="579" t="s">
        <v>2599</v>
      </c>
      <c r="E85" s="579" t="s">
        <v>2600</v>
      </c>
      <c r="F85" s="579" t="s">
        <v>2601</v>
      </c>
      <c r="G85" s="579" t="s">
        <v>2602</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2786</v>
      </c>
      <c r="C87" s="574" t="s">
        <v>2598</v>
      </c>
      <c r="D87" s="574" t="s">
        <v>2599</v>
      </c>
      <c r="E87" s="574" t="s">
        <v>2600</v>
      </c>
      <c r="F87" s="574" t="s">
        <v>2601</v>
      </c>
      <c r="G87" s="574" t="s">
        <v>2602</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2787</v>
      </c>
      <c r="C89" s="574" t="s">
        <v>2598</v>
      </c>
      <c r="D89" s="574" t="s">
        <v>2599</v>
      </c>
      <c r="E89" s="574" t="s">
        <v>2600</v>
      </c>
      <c r="F89" s="574" t="s">
        <v>2601</v>
      </c>
      <c r="G89" s="574" t="s">
        <v>2602</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2655</v>
      </c>
      <c r="C91" s="574" t="s">
        <v>2598</v>
      </c>
      <c r="D91" s="574" t="s">
        <v>2599</v>
      </c>
      <c r="E91" s="574" t="s">
        <v>2600</v>
      </c>
      <c r="F91" s="574" t="s">
        <v>2601</v>
      </c>
      <c r="G91" s="574" t="s">
        <v>2602</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2804</v>
      </c>
      <c r="C93" s="661" t="s">
        <v>2676</v>
      </c>
      <c r="D93" s="661" t="s">
        <v>2677</v>
      </c>
      <c r="E93" s="661" t="s">
        <v>2678</v>
      </c>
      <c r="F93" s="661" t="s">
        <v>2679</v>
      </c>
      <c r="G93" s="661" t="s">
        <v>2680</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2692</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2751</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2564</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2793</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2795</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2796</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2805</v>
      </c>
      <c r="B1" s="242"/>
      <c r="C1" s="246" t="s">
        <v>2806</v>
      </c>
      <c r="D1" s="389">
        <f>SUM(D29:D30,D33:D39)</f>
        <v>0</v>
      </c>
      <c r="E1" s="2724"/>
      <c r="F1" s="2724"/>
      <c r="G1" s="2724"/>
      <c r="H1" s="2724"/>
      <c r="I1" s="2724"/>
      <c r="J1" s="2724"/>
      <c r="K1" s="1374"/>
      <c r="L1" s="2725" t="s">
        <v>2807</v>
      </c>
      <c r="M1" s="1084">
        <f>SUMPRODUCT((区片价!B5:B9=I2)*(区片价!C3:F3=E2)*(区片价!C5:F9))</f>
        <v>0</v>
      </c>
      <c r="N1" s="1087">
        <f>SUMPRODUCT((因素修正幅度!B5:B9=I2)*(因素修正幅度!C3:F3=E2)*(因素修正幅度!C5:F9))</f>
        <v>0</v>
      </c>
      <c r="O1" s="2726"/>
      <c r="P1" s="2726"/>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4"/>
      <c r="L2" s="2733" t="s">
        <v>2818</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2819</v>
      </c>
      <c r="B3" s="249" t="e">
        <f>ROUND(B2*10000/D1,0)</f>
        <v>#DIV/0!</v>
      </c>
      <c r="C3" s="2728" t="s">
        <v>2820</v>
      </c>
      <c r="D3" s="2729" t="s">
        <v>2821</v>
      </c>
      <c r="E3" s="2734"/>
      <c r="F3" s="2735" t="s">
        <v>2822</v>
      </c>
      <c r="G3" s="917" t="e">
        <f>IF(F3="宗地容积率",'数据-汇总表'!I4,IF(F3="估价对象容积率",'数据-汇总表'!I6,'数据-汇总表'!I7))</f>
        <v>#DIV/0!</v>
      </c>
      <c r="H3" s="199" t="s">
        <v>2823</v>
      </c>
      <c r="I3" s="948"/>
      <c r="J3" s="2732" t="s">
        <v>2824</v>
      </c>
      <c r="K3" s="1374"/>
      <c r="L3" s="2733" t="s">
        <v>2825</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15"/>
      <c r="B4" s="3316"/>
      <c r="C4" s="3316"/>
      <c r="D4" s="3317"/>
      <c r="E4" s="3317"/>
      <c r="F4" s="3317"/>
      <c r="G4" s="3317"/>
      <c r="H4" s="3317"/>
      <c r="I4" s="3317"/>
      <c r="J4" s="3318"/>
      <c r="K4" s="1374"/>
      <c r="L4" s="2733" t="s">
        <v>2826</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2827</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2828</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2829</v>
      </c>
      <c r="B6" s="2747" t="s">
        <v>2830</v>
      </c>
      <c r="C6" s="919">
        <f>SUMIF(L1:L12,G2,M1:M12)</f>
        <v>0</v>
      </c>
      <c r="D6" s="2748" t="s">
        <v>2831</v>
      </c>
      <c r="E6" s="2749"/>
      <c r="F6" s="2749"/>
      <c r="G6" s="2750"/>
      <c r="H6" s="2750"/>
      <c r="I6" s="2750"/>
      <c r="J6" s="2751"/>
      <c r="K6" s="1847"/>
      <c r="L6" s="2733" t="s">
        <v>2832</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319" t="str">
        <f>IF(E2="商业",IF(C8="不临58条商业街","",2),"")</f>
        <v/>
      </c>
      <c r="B7" s="2752" t="s">
        <v>2833</v>
      </c>
      <c r="C7" s="920" t="e">
        <f>IF(C8="不临58条商业街",1,ROUND(1+(1.6*E8+1.2*E9+0.8*E10+0.4*E11)*C9,4))</f>
        <v>#DIV/0!</v>
      </c>
      <c r="D7" s="2753" t="s">
        <v>2834</v>
      </c>
      <c r="E7" s="949"/>
      <c r="F7" s="2754"/>
      <c r="G7" s="2755"/>
      <c r="H7" s="2755"/>
      <c r="I7" s="2755"/>
      <c r="J7" s="2756"/>
      <c r="K7" s="1847"/>
      <c r="L7" s="2733" t="s">
        <v>2835</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2836</v>
      </c>
      <c r="X7" s="1609">
        <f>G2</f>
        <v>0</v>
      </c>
      <c r="Y7" s="1609" t="s">
        <v>2837</v>
      </c>
      <c r="Z7" s="1610" t="e">
        <f>G3</f>
        <v>#DIV/0!</v>
      </c>
      <c r="AA7" s="1611"/>
      <c r="AB7" s="1611"/>
      <c r="AC7" s="1612"/>
      <c r="AD7" s="1613"/>
      <c r="AE7" s="1613"/>
      <c r="AF7" s="1613"/>
      <c r="AG7" s="1613"/>
      <c r="AH7" s="1613"/>
      <c r="AI7" s="1613"/>
      <c r="AJ7" s="1614"/>
    </row>
    <row r="8" spans="1:36" ht="15">
      <c r="A8" s="3320"/>
      <c r="B8" s="199" t="s">
        <v>2838</v>
      </c>
      <c r="C8" s="2757"/>
      <c r="D8" s="921" t="s">
        <v>139</v>
      </c>
      <c r="E8" s="922" t="e">
        <f>ROUND(C11/E7,4)</f>
        <v>#DIV/0!</v>
      </c>
      <c r="F8" s="2758" t="s">
        <v>2839</v>
      </c>
      <c r="G8" s="2759"/>
      <c r="H8" s="2759"/>
      <c r="I8" s="2759"/>
      <c r="J8" s="2760"/>
      <c r="K8" s="1374"/>
      <c r="L8" s="2733" t="s">
        <v>2840</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12" t="s">
        <v>2841</v>
      </c>
      <c r="X8" s="3313"/>
      <c r="Y8" s="1615" t="s">
        <v>2842</v>
      </c>
      <c r="Z8" s="1615" t="s">
        <v>2843</v>
      </c>
      <c r="AA8" s="1615" t="s">
        <v>2844</v>
      </c>
      <c r="AB8" s="1615" t="s">
        <v>2845</v>
      </c>
      <c r="AC8" s="1615" t="s">
        <v>2846</v>
      </c>
      <c r="AD8" s="1615" t="s">
        <v>2847</v>
      </c>
      <c r="AE8" s="1615" t="s">
        <v>2848</v>
      </c>
      <c r="AF8" s="1615" t="s">
        <v>2849</v>
      </c>
      <c r="AG8" s="1615" t="s">
        <v>2850</v>
      </c>
      <c r="AH8" s="1615" t="s">
        <v>2851</v>
      </c>
      <c r="AI8" s="1615" t="s">
        <v>2852</v>
      </c>
      <c r="AJ8" s="1615" t="s">
        <v>2853</v>
      </c>
    </row>
    <row r="9" spans="1:36" ht="15">
      <c r="A9" s="3320"/>
      <c r="B9" s="199" t="s">
        <v>2854</v>
      </c>
      <c r="C9" s="923">
        <f>SUMIF(修正!C59:C119,C8,修正!E59:E119)</f>
        <v>0</v>
      </c>
      <c r="D9" s="201" t="s">
        <v>140</v>
      </c>
      <c r="E9" s="201" t="e">
        <f>ROUND(C11/E7,4)</f>
        <v>#DIV/0!</v>
      </c>
      <c r="F9" s="2758" t="s">
        <v>2855</v>
      </c>
      <c r="G9" s="2759"/>
      <c r="H9" s="2759"/>
      <c r="I9" s="2759"/>
      <c r="J9" s="2760"/>
      <c r="K9" s="1374"/>
      <c r="L9" s="2733" t="s">
        <v>2856</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14" t="s">
        <v>2857</v>
      </c>
      <c r="X9" s="1616" t="s">
        <v>2858</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20"/>
      <c r="B10" s="199" t="s">
        <v>2859</v>
      </c>
      <c r="C10" s="201">
        <f>SUMIF(修正!C59:C119,C8,修正!F59:F119)</f>
        <v>0</v>
      </c>
      <c r="D10" s="201" t="s">
        <v>141</v>
      </c>
      <c r="E10" s="201" t="e">
        <f>ROUND(C11/E7,4)</f>
        <v>#DIV/0!</v>
      </c>
      <c r="F10" s="2758" t="s">
        <v>2860</v>
      </c>
      <c r="G10" s="2759"/>
      <c r="H10" s="2759"/>
      <c r="I10" s="2759"/>
      <c r="J10" s="2760"/>
      <c r="K10" s="1374"/>
      <c r="L10" s="2733" t="s">
        <v>2861</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14"/>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20"/>
      <c r="B11" s="2761" t="s">
        <v>2862</v>
      </c>
      <c r="C11" s="924">
        <f>C10/4</f>
        <v>0</v>
      </c>
      <c r="D11" s="924" t="s">
        <v>142</v>
      </c>
      <c r="E11" s="924" t="e">
        <f>ROUND(C11/E7,4)</f>
        <v>#DIV/0!</v>
      </c>
      <c r="F11" s="2762" t="s">
        <v>2863</v>
      </c>
      <c r="G11" s="2763"/>
      <c r="H11" s="2763"/>
      <c r="I11" s="2763"/>
      <c r="J11" s="2764"/>
      <c r="K11" s="1374"/>
      <c r="L11" s="2733" t="s">
        <v>2864</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14" t="s">
        <v>2865</v>
      </c>
      <c r="X11" s="1619" t="s">
        <v>2866</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319" t="s">
        <v>2867</v>
      </c>
      <c r="B12" s="2765" t="s">
        <v>2868</v>
      </c>
      <c r="C12" s="920">
        <f>ROUND(C15*D15*E15*F15*G15*H15*I15*J15,4)</f>
        <v>1</v>
      </c>
      <c r="D12" s="2766" t="s">
        <v>2869</v>
      </c>
      <c r="E12" s="2767"/>
      <c r="F12" s="2767"/>
      <c r="G12" s="2768"/>
      <c r="H12" s="2768"/>
      <c r="I12" s="2768"/>
      <c r="J12" s="2769"/>
      <c r="K12" s="1374"/>
      <c r="L12" s="2770" t="s">
        <v>2870</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14"/>
      <c r="X12" s="1621" t="s">
        <v>2871</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21"/>
      <c r="B13" s="2771" t="s">
        <v>2872</v>
      </c>
      <c r="C13" s="2772" t="s">
        <v>2873</v>
      </c>
      <c r="D13" s="1813" t="s">
        <v>2874</v>
      </c>
      <c r="E13" s="1813" t="s">
        <v>2875</v>
      </c>
      <c r="F13" s="30" t="s">
        <v>2876</v>
      </c>
      <c r="G13" s="2773" t="s">
        <v>2877</v>
      </c>
      <c r="H13" s="2773" t="s">
        <v>2877</v>
      </c>
      <c r="I13" s="2773" t="s">
        <v>2877</v>
      </c>
      <c r="J13" s="2774" t="s">
        <v>2877</v>
      </c>
      <c r="K13" s="1374"/>
      <c r="L13" s="1374"/>
      <c r="M13" s="1374"/>
      <c r="N13" s="1374"/>
      <c r="O13" s="1374"/>
      <c r="P13" s="1374"/>
      <c r="Q13" s="1374"/>
      <c r="R13" s="1607">
        <v>12</v>
      </c>
      <c r="S13" s="1608"/>
      <c r="T13" s="1607" t="e">
        <f t="shared" si="0"/>
        <v>#DIV/0!</v>
      </c>
      <c r="U13" s="1608"/>
      <c r="V13" s="1607" t="e">
        <f t="shared" si="1"/>
        <v>#DIV/0!</v>
      </c>
      <c r="W13" s="3314"/>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321"/>
      <c r="B14" s="2775"/>
      <c r="C14" s="2776"/>
      <c r="D14" s="2777"/>
      <c r="E14" s="2777"/>
      <c r="F14" s="2778"/>
      <c r="G14" s="2779" t="s">
        <v>2878</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22"/>
      <c r="B15" s="2783" t="s">
        <v>2879</v>
      </c>
      <c r="C15" s="230">
        <f>IF(C14="有",1.1,1)</f>
        <v>1</v>
      </c>
      <c r="D15" s="230">
        <f>IF(D14="有",1.1,1)</f>
        <v>1</v>
      </c>
      <c r="E15" s="230">
        <f>IF(E14="有",1.1,1)</f>
        <v>1</v>
      </c>
      <c r="F15" s="230">
        <f>IF(F14="500米范围内",1.2,IF(F14="500-1000米",1.1,1))</f>
        <v>1</v>
      </c>
      <c r="G15" s="950">
        <v>1</v>
      </c>
      <c r="H15" s="950">
        <v>1</v>
      </c>
      <c r="I15" s="950">
        <v>1</v>
      </c>
      <c r="J15" s="951">
        <v>1</v>
      </c>
      <c r="K15" s="1374"/>
      <c r="L15" s="2784" t="s">
        <v>2815</v>
      </c>
      <c r="M15" s="921" t="s">
        <v>2880</v>
      </c>
      <c r="N15" s="921" t="s">
        <v>2881</v>
      </c>
      <c r="O15" s="921" t="s">
        <v>2882</v>
      </c>
      <c r="P15" s="2785" t="s">
        <v>2883</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19" t="s">
        <v>2884</v>
      </c>
      <c r="B16" s="2752" t="s">
        <v>2885</v>
      </c>
      <c r="C16" s="1806" t="e">
        <f>ROUND(SUM(G17:J17)/C17,0)</f>
        <v>#DIV/0!</v>
      </c>
      <c r="D16" s="2786" t="s">
        <v>2886</v>
      </c>
      <c r="E16" s="2787"/>
      <c r="F16" s="2788"/>
      <c r="G16" s="2789"/>
      <c r="H16" s="2789"/>
      <c r="I16" s="2789"/>
      <c r="J16" s="2790"/>
      <c r="K16" s="1374"/>
      <c r="L16" s="2791" t="s">
        <v>2887</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20"/>
      <c r="B17" s="2792" t="s">
        <v>2888</v>
      </c>
      <c r="C17" s="925">
        <f>SUMPRODUCT((修正!A2:A5=E2)*(修正!B1:M1=G2)*(修正!B2:M5))</f>
        <v>0</v>
      </c>
      <c r="D17" s="2793" t="s">
        <v>2889</v>
      </c>
      <c r="E17" s="924" t="str">
        <f>IF(OR(G2="八级",G2="九级",G2="十级",G2="十一级",G2="十二级"),"五通一平","七通一平")</f>
        <v>七通一平</v>
      </c>
      <c r="F17" s="925" t="s">
        <v>2890</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2891</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2892</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2893</v>
      </c>
      <c r="C19" s="928" t="e">
        <f>ROUND(IF(H19="按公示增长率计算",SUMPRODUCT((地价!A3:A20=YEAR(G19)&amp;"-"&amp;ROUNDUP(MONTH(G19)/3,0))*(地价!X2:AB2=E2)*(地价!X3:AB20)),IF(H19="地价指数",M20/M19,(1+I19)^O19)),4)</f>
        <v>#DIV/0!</v>
      </c>
      <c r="D19" s="2804" t="s">
        <v>2894</v>
      </c>
      <c r="E19" s="929">
        <v>41640</v>
      </c>
      <c r="F19" s="2804" t="s">
        <v>2895</v>
      </c>
      <c r="G19" s="930">
        <f>'数据-取费表'!B2</f>
        <v>43047</v>
      </c>
      <c r="H19" s="2805" t="s">
        <v>2896</v>
      </c>
      <c r="I19" s="931" t="str">
        <f>IF(H19="季度增幅（自定义）",SUMIF(N21:N24,E2,O21:O24),"")</f>
        <v/>
      </c>
      <c r="J19" s="2802"/>
      <c r="K19" s="1381"/>
      <c r="L19" s="2806" t="s">
        <v>2897</v>
      </c>
      <c r="M19" s="1739">
        <f>ROUND(SUMIF(地价!B2:F2,E2,地价!B20:F20),0)</f>
        <v>0</v>
      </c>
      <c r="N19" s="2807"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2899</v>
      </c>
      <c r="C20" s="933" t="e">
        <f>ROUND(POWER(1+G20,J20-I20)*(POWER(1+G20,I20)-1)/(POWER(1+G20,J20)-1),4)</f>
        <v>#DIV/0!</v>
      </c>
      <c r="D20" s="2813" t="s">
        <v>2900</v>
      </c>
      <c r="E20" s="1773">
        <f ca="1">存贷款利率!D4/100</f>
        <v>4.3499999999999997E-2</v>
      </c>
      <c r="F20" s="2813" t="s">
        <v>2891</v>
      </c>
      <c r="G20" s="938">
        <f>SUMIF(M15:P15,E2,M17:P17)</f>
        <v>0</v>
      </c>
      <c r="H20" s="2813" t="s">
        <v>2901</v>
      </c>
      <c r="I20" s="939" t="e">
        <f>SUMIF('数据-取费表'!C6:C15,E2,'数据-取费表'!F6:F15)/COUNTIF('数据-取费表'!C6:C15,E2)</f>
        <v>#DIV/0!</v>
      </c>
      <c r="J20" s="940">
        <f>IF(E2="住宅",70,IF(E2="商业",40,50))</f>
        <v>50</v>
      </c>
      <c r="K20" s="1381"/>
      <c r="L20" s="2814" t="s">
        <v>2902</v>
      </c>
      <c r="M20" s="1740">
        <f>ROUND(SUMPRODUCT((地价!A5:A20=YEAR(G19)&amp;"-"&amp;ROUNDUP(MONTH(G19)/3,0))*(地价!B2:F2=E2)*(地价!B5:F20)),0)</f>
        <v>0</v>
      </c>
      <c r="N20" s="2815" t="s">
        <v>2903</v>
      </c>
      <c r="O20" s="2816" t="s">
        <v>2904</v>
      </c>
      <c r="P20" s="2817" t="s">
        <v>2905</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2906</v>
      </c>
      <c r="C21" s="941" t="e">
        <f>IF(B21="容积率修正",IF(G3&lt;=10,D22,J22),C23)</f>
        <v>#DIV/0!</v>
      </c>
      <c r="D21" s="2820"/>
      <c r="E21" s="2820"/>
      <c r="F21" s="2820"/>
      <c r="G21" s="2820"/>
      <c r="H21" s="2820"/>
      <c r="I21" s="2820"/>
      <c r="J21" s="2821"/>
      <c r="K21" s="1381"/>
      <c r="N21" s="2822" t="s">
        <v>2907</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2908</v>
      </c>
      <c r="B22" s="2823" t="s">
        <v>2909</v>
      </c>
      <c r="C22" s="1815" t="s">
        <v>2910</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2" t="s">
        <v>2911</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2912</v>
      </c>
      <c r="B23" s="2824" t="s">
        <v>2913</v>
      </c>
      <c r="C23" s="1017" t="e">
        <f>ROUND(IF(G3&gt;1,IF(I3&lt;7,SUMPRODUCT((B93:B98=I3)*(C92:N92=G2)*(C93:N98)),SUMIF(C92:N92,G2,C100:N100)),IF(I3&lt;7,SUMPRODUCT((B102:B107=I3)*(C92:N92=G2)*(C102:N107)),SUMIF(C92:N92,G2,C109:N109))),4)</f>
        <v>#DIV/0!</v>
      </c>
      <c r="D23" s="2780"/>
      <c r="E23" s="2780"/>
      <c r="F23" s="2825"/>
      <c r="G23" s="2826"/>
      <c r="H23" s="2827"/>
      <c r="I23" s="2828"/>
      <c r="J23" s="2829"/>
      <c r="K23" s="1374"/>
      <c r="N23" s="2822" t="s">
        <v>2914</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2915</v>
      </c>
      <c r="C24" s="928">
        <f>SUMIF(A45:A88,E2,B45:B88)</f>
        <v>0</v>
      </c>
      <c r="D24" s="2800"/>
      <c r="E24" s="2830"/>
      <c r="F24" s="2830"/>
      <c r="G24" s="2830"/>
      <c r="H24" s="2830"/>
      <c r="I24" s="2830"/>
      <c r="J24" s="2831"/>
      <c r="K24" s="1381"/>
      <c r="N24" s="2832" t="s">
        <v>2916</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2917</v>
      </c>
      <c r="C25" s="934"/>
      <c r="D25" s="2755"/>
      <c r="E25" s="2755"/>
      <c r="F25" s="2834"/>
      <c r="G25" s="2755"/>
      <c r="H25" s="2755"/>
      <c r="I25" s="2755"/>
      <c r="J25" s="2756"/>
      <c r="K25" s="1374"/>
      <c r="N25" s="2835" t="s">
        <v>2918</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2919</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2920</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2921</v>
      </c>
      <c r="C28" s="2847" t="s">
        <v>2922</v>
      </c>
      <c r="D28" s="2847" t="s">
        <v>2923</v>
      </c>
      <c r="E28" s="2848" t="s">
        <v>2924</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2925</v>
      </c>
      <c r="C29" s="207" t="e">
        <f>ROUND(C5*C18*C19*C20*C21*C24,0)</f>
        <v>#DIV/0!</v>
      </c>
      <c r="D29" s="2852"/>
      <c r="E29" s="946" t="e">
        <f>ROUND(C29*D29/10000,0)</f>
        <v>#DIV/0!</v>
      </c>
      <c r="F29" s="2853" t="s">
        <v>2926</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2927</v>
      </c>
      <c r="C30" s="230" t="e">
        <f>ROUND(IF(E2="工业",C29*M39,C29*M38),0)</f>
        <v>#DIV/0!</v>
      </c>
      <c r="D30" s="2858"/>
      <c r="E30" s="946" t="e">
        <f>ROUND(C30*D30/10000,0)</f>
        <v>#DIV/0!</v>
      </c>
      <c r="F30" s="2859" t="s">
        <v>2928</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2922</v>
      </c>
      <c r="D32" s="499" t="s">
        <v>2923</v>
      </c>
      <c r="E32" s="499" t="s">
        <v>2924</v>
      </c>
      <c r="F32" s="389" t="s">
        <v>2932</v>
      </c>
      <c r="G32" s="2867" t="s">
        <v>2922</v>
      </c>
      <c r="H32" s="2867" t="s">
        <v>2923</v>
      </c>
      <c r="I32" s="2867" t="s">
        <v>2924</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329" t="s">
        <v>2933</v>
      </c>
      <c r="B33" s="2868" t="s">
        <v>2934</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30"/>
      <c r="B34" s="2772" t="s">
        <v>2935</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30"/>
      <c r="B35" s="2772" t="s">
        <v>2936</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331"/>
      <c r="B36" s="2772" t="s">
        <v>2937</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2938</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2939</v>
      </c>
      <c r="M37" s="2872"/>
      <c r="N37" s="1374"/>
      <c r="O37" s="1374"/>
      <c r="P37" s="1374"/>
      <c r="Q37" s="1374"/>
      <c r="R37" s="1374"/>
      <c r="S37" s="1374"/>
      <c r="T37" s="1374"/>
      <c r="U37" s="1374"/>
      <c r="V37" s="1374"/>
      <c r="W37" s="1374"/>
      <c r="X37" s="1374"/>
      <c r="Y37" s="1374"/>
      <c r="Z37" s="1375"/>
    </row>
    <row r="38" spans="1:37">
      <c r="A38" s="2870"/>
      <c r="B38" s="2772" t="s">
        <v>2940</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2941</v>
      </c>
      <c r="M38" s="2873">
        <v>0.25</v>
      </c>
      <c r="N38" s="1374"/>
      <c r="O38" s="1374"/>
      <c r="P38" s="1374"/>
      <c r="Q38" s="1374"/>
      <c r="R38" s="1374"/>
      <c r="S38" s="1374"/>
      <c r="T38" s="1374"/>
      <c r="U38" s="1374"/>
      <c r="V38" s="1374"/>
      <c r="W38" s="1374"/>
      <c r="X38" s="1374"/>
      <c r="Y38" s="1374"/>
      <c r="Z38" s="1375"/>
    </row>
    <row r="39" spans="1:37" ht="13.5" thickBot="1">
      <c r="A39" s="2856"/>
      <c r="B39" s="2874" t="s">
        <v>2942</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2883</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2943</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2944</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2945</v>
      </c>
      <c r="B47" s="1814" t="s">
        <v>2946</v>
      </c>
      <c r="C47" s="1814" t="s">
        <v>2947</v>
      </c>
      <c r="D47" s="1814" t="s">
        <v>2948</v>
      </c>
      <c r="E47" s="820" t="s">
        <v>2949</v>
      </c>
      <c r="F47" s="2886" t="s">
        <v>2950</v>
      </c>
      <c r="G47" s="1814" t="s">
        <v>754</v>
      </c>
      <c r="H47" s="2887" t="s">
        <v>2951</v>
      </c>
      <c r="I47" s="1814" t="s">
        <v>2952</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5" t="s">
        <v>2953</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2954</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2955</v>
      </c>
      <c r="B50" s="2889" t="str">
        <f>估价对象房地状况!C19</f>
        <v>较一致</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2956</v>
      </c>
      <c r="B51" s="2890" t="s">
        <v>2957</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2958</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2959</v>
      </c>
      <c r="B53" s="2891" t="s">
        <v>2960</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2961</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2962</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2963</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2964</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2945</v>
      </c>
      <c r="B58" s="1814"/>
      <c r="C58" s="1814" t="s">
        <v>2947</v>
      </c>
      <c r="D58" s="1814" t="s">
        <v>2948</v>
      </c>
      <c r="E58" s="820" t="s">
        <v>2949</v>
      </c>
      <c r="F58" s="2886" t="s">
        <v>2965</v>
      </c>
      <c r="G58" s="1814" t="s">
        <v>754</v>
      </c>
      <c r="H58" s="2887" t="s">
        <v>2951</v>
      </c>
      <c r="I58" s="1814" t="s">
        <v>2952</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5" t="s">
        <v>2966</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2954</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2955</v>
      </c>
      <c r="B61" s="2889" t="str">
        <f>估价对象房地状况!C19</f>
        <v>较一致</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2956</v>
      </c>
      <c r="B62" s="2890" t="s">
        <v>2957</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2958</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2959</v>
      </c>
      <c r="B64" s="2891" t="s">
        <v>2960</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2961</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2962</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2963</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2967</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2945</v>
      </c>
      <c r="B69" s="1814"/>
      <c r="C69" s="1814" t="s">
        <v>2947</v>
      </c>
      <c r="D69" s="1814" t="s">
        <v>2948</v>
      </c>
      <c r="E69" s="820" t="s">
        <v>2949</v>
      </c>
      <c r="F69" s="2886" t="s">
        <v>2965</v>
      </c>
      <c r="G69" s="1814" t="s">
        <v>754</v>
      </c>
      <c r="H69" s="2887" t="s">
        <v>2951</v>
      </c>
      <c r="I69" s="1814" t="s">
        <v>2952</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5" t="s">
        <v>2968</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2954</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2955</v>
      </c>
      <c r="B72" s="2889" t="str">
        <f>估价对象房地状况!C19</f>
        <v>较一致</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2969</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2961</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2962</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2959</v>
      </c>
      <c r="B76" s="2891" t="s">
        <v>2960</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2963</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2970</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2971</v>
      </c>
      <c r="B79" s="2882">
        <f>1+E81</f>
        <v>1</v>
      </c>
      <c r="C79" s="815"/>
      <c r="D79" s="815"/>
      <c r="E79" s="816"/>
      <c r="F79" s="2884"/>
      <c r="G79" s="6"/>
      <c r="H79" s="6"/>
      <c r="I79" s="6"/>
      <c r="J79" s="7"/>
      <c r="K79" s="7"/>
      <c r="L79" s="7"/>
      <c r="M79" s="7"/>
      <c r="N79" s="7"/>
      <c r="Z79" s="2727"/>
      <c r="AA79" s="2803"/>
      <c r="AG79" s="1376"/>
      <c r="AK79" s="2803"/>
    </row>
    <row r="80" spans="1:37" ht="24.75">
      <c r="A80" s="2885" t="s">
        <v>2945</v>
      </c>
      <c r="B80" s="1814"/>
      <c r="C80" s="1814" t="s">
        <v>2947</v>
      </c>
      <c r="D80" s="1814" t="s">
        <v>2948</v>
      </c>
      <c r="E80" s="820" t="s">
        <v>2949</v>
      </c>
      <c r="F80" s="2886" t="s">
        <v>2965</v>
      </c>
      <c r="G80" s="1814" t="s">
        <v>754</v>
      </c>
      <c r="H80" s="2887" t="s">
        <v>2951</v>
      </c>
      <c r="I80" s="1814" t="s">
        <v>2952</v>
      </c>
      <c r="J80" s="604" t="s">
        <v>2598</v>
      </c>
      <c r="K80" s="604" t="s">
        <v>2599</v>
      </c>
      <c r="L80" s="604" t="s">
        <v>2600</v>
      </c>
      <c r="M80" s="604" t="s">
        <v>2601</v>
      </c>
      <c r="N80" s="604" t="s">
        <v>2602</v>
      </c>
      <c r="Z80" s="2727"/>
      <c r="AA80" s="2803"/>
      <c r="AG80" s="1376"/>
      <c r="AK80" s="2803"/>
    </row>
    <row r="81" spans="1:37" ht="38.25">
      <c r="A81" s="2885" t="s">
        <v>2972</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2954</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2955</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2969</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2961</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2962</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2959</v>
      </c>
      <c r="B87" s="2891" t="s">
        <v>2973</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2974</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323" t="s">
        <v>2975</v>
      </c>
      <c r="B90" s="3323"/>
      <c r="C90" s="3323"/>
      <c r="D90" s="3323"/>
      <c r="E90" s="3323"/>
      <c r="F90" s="3323"/>
      <c r="G90" s="3323"/>
      <c r="H90" s="3323"/>
      <c r="I90" s="3323"/>
      <c r="J90" s="3323"/>
      <c r="K90" s="2899"/>
      <c r="L90" s="2899"/>
      <c r="M90" s="2899"/>
      <c r="N90" s="2899"/>
    </row>
    <row r="91" spans="1:37">
      <c r="A91" s="3325" t="s">
        <v>2976</v>
      </c>
      <c r="B91" s="3325" t="s">
        <v>2977</v>
      </c>
      <c r="C91" s="2853" t="s">
        <v>2978</v>
      </c>
      <c r="D91" s="2854"/>
      <c r="E91" s="2854"/>
      <c r="F91" s="2854"/>
      <c r="G91" s="2854"/>
      <c r="H91" s="2854"/>
      <c r="I91" s="2854"/>
      <c r="J91" s="2900"/>
      <c r="K91" s="2901"/>
      <c r="L91" s="2901"/>
      <c r="M91" s="2901"/>
      <c r="N91" s="2901"/>
    </row>
    <row r="92" spans="1:37">
      <c r="A92" s="3325"/>
      <c r="B92" s="3325"/>
      <c r="C92" s="946" t="s">
        <v>2842</v>
      </c>
      <c r="D92" s="946" t="s">
        <v>2843</v>
      </c>
      <c r="E92" s="946" t="s">
        <v>2844</v>
      </c>
      <c r="F92" s="946" t="s">
        <v>2845</v>
      </c>
      <c r="G92" s="946" t="s">
        <v>2846</v>
      </c>
      <c r="H92" s="946" t="s">
        <v>2847</v>
      </c>
      <c r="I92" s="946" t="s">
        <v>2848</v>
      </c>
      <c r="J92" s="946" t="s">
        <v>2849</v>
      </c>
      <c r="K92" s="946" t="s">
        <v>2850</v>
      </c>
      <c r="L92" s="946" t="s">
        <v>2851</v>
      </c>
      <c r="M92" s="946" t="s">
        <v>2852</v>
      </c>
      <c r="N92" s="946" t="s">
        <v>2853</v>
      </c>
    </row>
    <row r="93" spans="1:37">
      <c r="A93" s="3326"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27"/>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27"/>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27"/>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27"/>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27"/>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27"/>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28"/>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26" t="s">
        <v>2980</v>
      </c>
      <c r="B101" s="2906" t="s">
        <v>2981</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327"/>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327"/>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327"/>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327"/>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327"/>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327"/>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327"/>
      <c r="B108" s="3183"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28"/>
      <c r="B109" s="3184"/>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324" t="s">
        <v>2983</v>
      </c>
      <c r="B110" s="3324"/>
      <c r="C110" s="3324"/>
      <c r="D110" s="3324"/>
      <c r="E110" s="3324"/>
      <c r="F110" s="3324"/>
      <c r="G110" s="3324"/>
      <c r="H110" s="3324"/>
      <c r="I110" s="3324"/>
      <c r="J110" s="3324"/>
      <c r="K110" s="2908"/>
      <c r="L110" s="2908"/>
      <c r="M110" s="2908"/>
      <c r="N110" s="2908"/>
    </row>
    <row r="112" spans="1:14" ht="13.5" thickBot="1"/>
    <row r="113" spans="1:13" ht="25.5" thickBot="1">
      <c r="A113" s="904" t="s">
        <v>2984</v>
      </c>
      <c r="B113" s="1291" t="e">
        <f>G3</f>
        <v>#DIV/0!</v>
      </c>
      <c r="C113" s="905" t="s">
        <v>2985</v>
      </c>
      <c r="D113" s="906" t="e">
        <f>SUMPRODUCT((A115:A118=F113)*(B114:M114=H113)*B115:M118)</f>
        <v>#DIV/0!</v>
      </c>
      <c r="E113" s="2731" t="s">
        <v>2815</v>
      </c>
      <c r="F113" s="2910">
        <f>E2</f>
        <v>0</v>
      </c>
      <c r="G113" s="2731" t="s">
        <v>2816</v>
      </c>
      <c r="H113" s="2910">
        <f>G2</f>
        <v>0</v>
      </c>
      <c r="I113" s="2731"/>
      <c r="J113" s="2911"/>
      <c r="K113" s="2911"/>
      <c r="L113" s="2911"/>
      <c r="M113" s="2911"/>
    </row>
    <row r="114" spans="1:13">
      <c r="A114" s="909"/>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10" t="s">
        <v>2880</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2881</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2882</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2883</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32" t="s">
        <v>183</v>
      </c>
      <c r="B18" s="883" t="s">
        <v>560</v>
      </c>
      <c r="C18" s="884" t="s">
        <v>561</v>
      </c>
      <c r="D18" s="885"/>
      <c r="E18" s="883">
        <v>1</v>
      </c>
      <c r="F18" s="886" t="s">
        <v>562</v>
      </c>
      <c r="G18" s="887"/>
      <c r="H18" s="879"/>
      <c r="I18" s="879"/>
    </row>
    <row r="19" spans="1:9" s="888" customFormat="1" ht="19.5" customHeight="1">
      <c r="A19" s="3332"/>
      <c r="B19" s="3332" t="s">
        <v>563</v>
      </c>
      <c r="C19" s="884" t="s">
        <v>564</v>
      </c>
      <c r="D19" s="885"/>
      <c r="E19" s="883">
        <v>0.9</v>
      </c>
      <c r="F19" s="886" t="s">
        <v>565</v>
      </c>
      <c r="G19" s="887"/>
      <c r="H19" s="879"/>
      <c r="I19" s="879"/>
    </row>
    <row r="20" spans="1:9" s="888" customFormat="1" ht="19.5" customHeight="1">
      <c r="A20" s="3332"/>
      <c r="B20" s="3332"/>
      <c r="C20" s="884" t="s">
        <v>566</v>
      </c>
      <c r="D20" s="885"/>
      <c r="E20" s="883">
        <v>1.1000000000000001</v>
      </c>
      <c r="F20" s="886" t="s">
        <v>567</v>
      </c>
      <c r="G20" s="887"/>
      <c r="H20" s="879"/>
      <c r="I20" s="879"/>
    </row>
    <row r="21" spans="1:9" s="888" customFormat="1" ht="19.5" customHeight="1">
      <c r="A21" s="3332"/>
      <c r="B21" s="3332"/>
      <c r="C21" s="884" t="s">
        <v>568</v>
      </c>
      <c r="D21" s="885"/>
      <c r="E21" s="883">
        <v>0.8</v>
      </c>
      <c r="F21" s="886" t="s">
        <v>569</v>
      </c>
      <c r="G21" s="887"/>
      <c r="H21" s="879"/>
      <c r="I21" s="879"/>
    </row>
    <row r="22" spans="1:9" s="888" customFormat="1" ht="19.5" customHeight="1">
      <c r="A22" s="3332"/>
      <c r="B22" s="3332"/>
      <c r="C22" s="884" t="s">
        <v>570</v>
      </c>
      <c r="D22" s="885"/>
      <c r="E22" s="883">
        <v>0.5</v>
      </c>
      <c r="F22" s="886"/>
      <c r="G22" s="887"/>
      <c r="H22" s="879"/>
      <c r="I22" s="879"/>
    </row>
    <row r="23" spans="1:9" s="888" customFormat="1" ht="19.5" customHeight="1">
      <c r="A23" s="3332" t="s">
        <v>184</v>
      </c>
      <c r="B23" s="883" t="s">
        <v>560</v>
      </c>
      <c r="C23" s="884" t="s">
        <v>571</v>
      </c>
      <c r="D23" s="885"/>
      <c r="E23" s="883">
        <v>1</v>
      </c>
      <c r="F23" s="886" t="s">
        <v>572</v>
      </c>
      <c r="G23" s="887"/>
      <c r="H23" s="879"/>
      <c r="I23" s="879"/>
    </row>
    <row r="24" spans="1:9" s="888" customFormat="1" ht="19.5" customHeight="1">
      <c r="A24" s="3332"/>
      <c r="B24" s="3332" t="s">
        <v>563</v>
      </c>
      <c r="C24" s="884" t="s">
        <v>573</v>
      </c>
      <c r="D24" s="885"/>
      <c r="E24" s="883">
        <v>0.5</v>
      </c>
      <c r="F24" s="886"/>
      <c r="G24" s="887"/>
      <c r="H24" s="879"/>
      <c r="I24" s="879"/>
    </row>
    <row r="25" spans="1:9" s="888" customFormat="1" ht="19.5" customHeight="1">
      <c r="A25" s="3332"/>
      <c r="B25" s="3332"/>
      <c r="C25" s="884" t="s">
        <v>574</v>
      </c>
      <c r="D25" s="885"/>
      <c r="E25" s="883">
        <v>1.1000000000000001</v>
      </c>
      <c r="F25" s="886"/>
      <c r="G25" s="887"/>
      <c r="H25" s="879"/>
      <c r="I25" s="879"/>
    </row>
    <row r="26" spans="1:9" s="888" customFormat="1" ht="19.5" customHeight="1">
      <c r="A26" s="3332"/>
      <c r="B26" s="3332"/>
      <c r="C26" s="884" t="s">
        <v>575</v>
      </c>
      <c r="D26" s="885"/>
      <c r="E26" s="883">
        <v>1.1000000000000001</v>
      </c>
      <c r="F26" s="886"/>
      <c r="G26" s="887"/>
      <c r="H26" s="879"/>
      <c r="I26" s="879"/>
    </row>
    <row r="27" spans="1:9" s="888" customFormat="1" ht="19.5" customHeight="1">
      <c r="A27" s="3332"/>
      <c r="B27" s="3332"/>
      <c r="C27" s="884" t="s">
        <v>576</v>
      </c>
      <c r="D27" s="885"/>
      <c r="E27" s="883">
        <v>0.9</v>
      </c>
      <c r="F27" s="886" t="s">
        <v>577</v>
      </c>
      <c r="G27" s="887"/>
      <c r="H27" s="879"/>
      <c r="I27" s="879"/>
    </row>
    <row r="28" spans="1:9" s="888" customFormat="1" ht="19.5" customHeight="1">
      <c r="A28" s="3332"/>
      <c r="B28" s="3332"/>
      <c r="C28" s="884" t="s">
        <v>578</v>
      </c>
      <c r="D28" s="885"/>
      <c r="E28" s="883">
        <v>0.9</v>
      </c>
      <c r="F28" s="886" t="s">
        <v>579</v>
      </c>
      <c r="G28" s="887"/>
      <c r="H28" s="879"/>
      <c r="I28" s="879"/>
    </row>
    <row r="29" spans="1:9" s="888" customFormat="1" ht="19.5" customHeight="1">
      <c r="A29" s="3332"/>
      <c r="B29" s="3332"/>
      <c r="C29" s="884" t="s">
        <v>580</v>
      </c>
      <c r="D29" s="885"/>
      <c r="E29" s="883">
        <v>0.9</v>
      </c>
      <c r="F29" s="886" t="s">
        <v>581</v>
      </c>
      <c r="G29" s="887"/>
      <c r="H29" s="879"/>
      <c r="I29" s="879"/>
    </row>
    <row r="30" spans="1:9" s="888" customFormat="1" ht="19.5" customHeight="1">
      <c r="A30" s="3332"/>
      <c r="B30" s="3332"/>
      <c r="C30" s="884" t="s">
        <v>582</v>
      </c>
      <c r="D30" s="885"/>
      <c r="E30" s="883">
        <v>0.9</v>
      </c>
      <c r="F30" s="886" t="s">
        <v>583</v>
      </c>
      <c r="G30" s="887"/>
      <c r="H30" s="879"/>
      <c r="I30" s="879"/>
    </row>
    <row r="31" spans="1:9" s="888" customFormat="1" ht="19.5" customHeight="1">
      <c r="A31" s="3332"/>
      <c r="B31" s="3332"/>
      <c r="C31" s="884" t="s">
        <v>584</v>
      </c>
      <c r="D31" s="885"/>
      <c r="E31" s="883">
        <v>0.8</v>
      </c>
      <c r="F31" s="886" t="s">
        <v>585</v>
      </c>
      <c r="G31" s="887"/>
      <c r="H31" s="879"/>
      <c r="I31" s="879"/>
    </row>
    <row r="32" spans="1:9" s="888" customFormat="1" ht="19.5" customHeight="1">
      <c r="A32" s="3332"/>
      <c r="B32" s="3332"/>
      <c r="C32" s="884" t="s">
        <v>586</v>
      </c>
      <c r="D32" s="885"/>
      <c r="E32" s="883">
        <v>0.8</v>
      </c>
      <c r="F32" s="886" t="s">
        <v>587</v>
      </c>
      <c r="G32" s="887"/>
      <c r="H32" s="879"/>
      <c r="I32" s="879"/>
    </row>
    <row r="33" spans="1:9" s="888" customFormat="1" ht="19.5" customHeight="1">
      <c r="A33" s="3332" t="s">
        <v>185</v>
      </c>
      <c r="B33" s="883" t="s">
        <v>560</v>
      </c>
      <c r="C33" s="884" t="s">
        <v>588</v>
      </c>
      <c r="D33" s="885"/>
      <c r="E33" s="883">
        <v>1</v>
      </c>
      <c r="F33" s="886" t="s">
        <v>589</v>
      </c>
      <c r="G33" s="887"/>
      <c r="H33" s="879"/>
      <c r="I33" s="879"/>
    </row>
    <row r="34" spans="1:9" s="888" customFormat="1" ht="19.5" customHeight="1">
      <c r="A34" s="3332"/>
      <c r="B34" s="883" t="s">
        <v>563</v>
      </c>
      <c r="C34" s="884" t="s">
        <v>590</v>
      </c>
      <c r="D34" s="885"/>
      <c r="E34" s="883">
        <v>1.5</v>
      </c>
      <c r="F34" s="886" t="s">
        <v>591</v>
      </c>
      <c r="G34" s="887"/>
      <c r="H34" s="879"/>
      <c r="I34" s="879"/>
    </row>
    <row r="35" spans="1:9" s="888" customFormat="1" ht="19.5" customHeight="1">
      <c r="A35" s="3332" t="s">
        <v>186</v>
      </c>
      <c r="B35" s="883" t="s">
        <v>560</v>
      </c>
      <c r="C35" s="884" t="s">
        <v>592</v>
      </c>
      <c r="D35" s="885"/>
      <c r="E35" s="883">
        <v>1</v>
      </c>
      <c r="F35" s="886" t="s">
        <v>593</v>
      </c>
      <c r="G35" s="887"/>
      <c r="H35" s="879"/>
      <c r="I35" s="879"/>
    </row>
    <row r="36" spans="1:9" s="888" customFormat="1" ht="19.5" customHeight="1">
      <c r="A36" s="3332"/>
      <c r="B36" s="3332" t="s">
        <v>563</v>
      </c>
      <c r="C36" s="884" t="s">
        <v>594</v>
      </c>
      <c r="D36" s="885"/>
      <c r="E36" s="883">
        <v>1</v>
      </c>
      <c r="F36" s="886" t="s">
        <v>595</v>
      </c>
      <c r="G36" s="887"/>
      <c r="H36" s="879"/>
      <c r="I36" s="879"/>
    </row>
    <row r="37" spans="1:9" s="888" customFormat="1" ht="19.5" customHeight="1">
      <c r="A37" s="3332"/>
      <c r="B37" s="3332"/>
      <c r="C37" s="884" t="s">
        <v>596</v>
      </c>
      <c r="D37" s="885"/>
      <c r="E37" s="883">
        <v>1.5</v>
      </c>
      <c r="F37" s="886" t="s">
        <v>597</v>
      </c>
      <c r="G37" s="887"/>
      <c r="H37" s="879"/>
      <c r="I37" s="879"/>
    </row>
    <row r="38" spans="1:9" s="888" customFormat="1" ht="19.5" customHeight="1">
      <c r="A38" s="3332"/>
      <c r="B38" s="3332"/>
      <c r="C38" s="884" t="s">
        <v>598</v>
      </c>
      <c r="D38" s="885"/>
      <c r="E38" s="883">
        <v>1</v>
      </c>
      <c r="F38" s="886" t="s">
        <v>599</v>
      </c>
      <c r="G38" s="887"/>
      <c r="H38" s="879"/>
      <c r="I38" s="879"/>
    </row>
    <row r="39" spans="1:9" s="888" customFormat="1" ht="19.5" customHeight="1">
      <c r="A39" s="3332"/>
      <c r="B39" s="3332"/>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32" t="s">
        <v>614</v>
      </c>
      <c r="C61" s="819" t="s">
        <v>615</v>
      </c>
      <c r="D61" s="819" t="s">
        <v>616</v>
      </c>
      <c r="E61" s="896">
        <v>0.5</v>
      </c>
      <c r="F61" s="883">
        <v>80</v>
      </c>
    </row>
    <row r="62" spans="1:8" s="879" customFormat="1" ht="24">
      <c r="A62" s="883">
        <v>2</v>
      </c>
      <c r="B62" s="3332"/>
      <c r="C62" s="819" t="s">
        <v>617</v>
      </c>
      <c r="D62" s="819" t="s">
        <v>618</v>
      </c>
      <c r="E62" s="896">
        <v>0.5</v>
      </c>
      <c r="F62" s="883">
        <v>80</v>
      </c>
    </row>
    <row r="63" spans="1:8" s="879" customFormat="1" ht="36">
      <c r="A63" s="883">
        <v>3</v>
      </c>
      <c r="B63" s="3332"/>
      <c r="C63" s="819" t="s">
        <v>619</v>
      </c>
      <c r="D63" s="819" t="s">
        <v>620</v>
      </c>
      <c r="E63" s="896">
        <v>0.5</v>
      </c>
      <c r="F63" s="883">
        <v>80</v>
      </c>
    </row>
    <row r="64" spans="1:8" s="879" customFormat="1" ht="36">
      <c r="A64" s="883">
        <v>4</v>
      </c>
      <c r="B64" s="3332"/>
      <c r="C64" s="819" t="s">
        <v>621</v>
      </c>
      <c r="D64" s="819" t="s">
        <v>622</v>
      </c>
      <c r="E64" s="896">
        <v>0.4</v>
      </c>
      <c r="F64" s="883">
        <v>60</v>
      </c>
    </row>
    <row r="65" spans="1:6" s="879" customFormat="1" ht="36">
      <c r="A65" s="883">
        <v>5</v>
      </c>
      <c r="B65" s="3332"/>
      <c r="C65" s="819" t="s">
        <v>623</v>
      </c>
      <c r="D65" s="819" t="s">
        <v>624</v>
      </c>
      <c r="E65" s="896">
        <v>0.2</v>
      </c>
      <c r="F65" s="883">
        <v>30</v>
      </c>
    </row>
    <row r="66" spans="1:6" s="879" customFormat="1" ht="36">
      <c r="A66" s="883">
        <v>6</v>
      </c>
      <c r="B66" s="3332"/>
      <c r="C66" s="819" t="s">
        <v>625</v>
      </c>
      <c r="D66" s="819" t="s">
        <v>626</v>
      </c>
      <c r="E66" s="896">
        <v>0.3</v>
      </c>
      <c r="F66" s="883">
        <v>50</v>
      </c>
    </row>
    <row r="67" spans="1:6" s="879" customFormat="1" ht="36">
      <c r="A67" s="883">
        <v>7</v>
      </c>
      <c r="B67" s="3332"/>
      <c r="C67" s="819" t="s">
        <v>627</v>
      </c>
      <c r="D67" s="819" t="s">
        <v>628</v>
      </c>
      <c r="E67" s="896">
        <v>0.2</v>
      </c>
      <c r="F67" s="883">
        <v>30</v>
      </c>
    </row>
    <row r="68" spans="1:6" s="879" customFormat="1" ht="36">
      <c r="A68" s="883">
        <v>8</v>
      </c>
      <c r="B68" s="3332"/>
      <c r="C68" s="819" t="s">
        <v>629</v>
      </c>
      <c r="D68" s="819" t="s">
        <v>630</v>
      </c>
      <c r="E68" s="896">
        <v>0.2</v>
      </c>
      <c r="F68" s="883">
        <v>30</v>
      </c>
    </row>
    <row r="69" spans="1:6" s="879" customFormat="1" ht="36">
      <c r="A69" s="883">
        <v>9</v>
      </c>
      <c r="B69" s="3332"/>
      <c r="C69" s="819" t="s">
        <v>631</v>
      </c>
      <c r="D69" s="819" t="s">
        <v>632</v>
      </c>
      <c r="E69" s="896">
        <v>0.2</v>
      </c>
      <c r="F69" s="883">
        <v>30</v>
      </c>
    </row>
    <row r="70" spans="1:6" s="879" customFormat="1" ht="48">
      <c r="A70" s="883">
        <v>10</v>
      </c>
      <c r="B70" s="3332"/>
      <c r="C70" s="819" t="s">
        <v>633</v>
      </c>
      <c r="D70" s="819" t="s">
        <v>634</v>
      </c>
      <c r="E70" s="896">
        <v>0.2</v>
      </c>
      <c r="F70" s="883">
        <v>30</v>
      </c>
    </row>
    <row r="71" spans="1:6" s="879" customFormat="1" ht="48">
      <c r="A71" s="883">
        <v>11</v>
      </c>
      <c r="B71" s="3332"/>
      <c r="C71" s="819" t="s">
        <v>635</v>
      </c>
      <c r="D71" s="819" t="s">
        <v>636</v>
      </c>
      <c r="E71" s="896">
        <v>0.2</v>
      </c>
      <c r="F71" s="883">
        <v>30</v>
      </c>
    </row>
    <row r="72" spans="1:6" s="879" customFormat="1" ht="36">
      <c r="A72" s="883">
        <v>12</v>
      </c>
      <c r="B72" s="3332"/>
      <c r="C72" s="819" t="s">
        <v>637</v>
      </c>
      <c r="D72" s="819" t="s">
        <v>638</v>
      </c>
      <c r="E72" s="896">
        <v>0.5</v>
      </c>
      <c r="F72" s="883">
        <v>80</v>
      </c>
    </row>
    <row r="73" spans="1:6" s="879" customFormat="1" ht="24">
      <c r="A73" s="883">
        <v>13</v>
      </c>
      <c r="B73" s="3332"/>
      <c r="C73" s="819" t="s">
        <v>639</v>
      </c>
      <c r="D73" s="819" t="s">
        <v>640</v>
      </c>
      <c r="E73" s="896">
        <v>0.4</v>
      </c>
      <c r="F73" s="883">
        <v>60</v>
      </c>
    </row>
    <row r="74" spans="1:6" s="879" customFormat="1" ht="24">
      <c r="A74" s="883">
        <v>14</v>
      </c>
      <c r="B74" s="3332"/>
      <c r="C74" s="819" t="s">
        <v>641</v>
      </c>
      <c r="D74" s="819" t="s">
        <v>642</v>
      </c>
      <c r="E74" s="896">
        <v>0.2</v>
      </c>
      <c r="F74" s="883">
        <v>30</v>
      </c>
    </row>
    <row r="75" spans="1:6" s="879" customFormat="1" ht="24">
      <c r="A75" s="883">
        <v>15</v>
      </c>
      <c r="B75" s="3332"/>
      <c r="C75" s="819" t="s">
        <v>643</v>
      </c>
      <c r="D75" s="819" t="s">
        <v>644</v>
      </c>
      <c r="E75" s="896">
        <v>0.2</v>
      </c>
      <c r="F75" s="883">
        <v>30</v>
      </c>
    </row>
    <row r="76" spans="1:6" s="879" customFormat="1" ht="24">
      <c r="A76" s="883">
        <v>16</v>
      </c>
      <c r="B76" s="3332" t="s">
        <v>645</v>
      </c>
      <c r="C76" s="819" t="s">
        <v>646</v>
      </c>
      <c r="D76" s="819" t="s">
        <v>647</v>
      </c>
      <c r="E76" s="896">
        <v>0.5</v>
      </c>
      <c r="F76" s="883">
        <v>80</v>
      </c>
    </row>
    <row r="77" spans="1:6" s="879" customFormat="1" ht="24">
      <c r="A77" s="883">
        <v>17</v>
      </c>
      <c r="B77" s="3332"/>
      <c r="C77" s="819" t="s">
        <v>648</v>
      </c>
      <c r="D77" s="819" t="s">
        <v>649</v>
      </c>
      <c r="E77" s="896">
        <v>0.5</v>
      </c>
      <c r="F77" s="883">
        <v>80</v>
      </c>
    </row>
    <row r="78" spans="1:6" s="879" customFormat="1" ht="24">
      <c r="A78" s="883">
        <v>18</v>
      </c>
      <c r="B78" s="3332"/>
      <c r="C78" s="819" t="s">
        <v>650</v>
      </c>
      <c r="D78" s="819" t="s">
        <v>651</v>
      </c>
      <c r="E78" s="896">
        <v>0.2</v>
      </c>
      <c r="F78" s="883">
        <v>30</v>
      </c>
    </row>
    <row r="79" spans="1:6" s="879" customFormat="1" ht="24">
      <c r="A79" s="883">
        <v>19</v>
      </c>
      <c r="B79" s="3332"/>
      <c r="C79" s="819" t="s">
        <v>652</v>
      </c>
      <c r="D79" s="819" t="s">
        <v>653</v>
      </c>
      <c r="E79" s="896">
        <v>0.5</v>
      </c>
      <c r="F79" s="883">
        <v>80</v>
      </c>
    </row>
    <row r="80" spans="1:6" s="879" customFormat="1" ht="36">
      <c r="A80" s="883">
        <v>20</v>
      </c>
      <c r="B80" s="3332"/>
      <c r="C80" s="819" t="s">
        <v>654</v>
      </c>
      <c r="D80" s="819" t="s">
        <v>655</v>
      </c>
      <c r="E80" s="896">
        <v>0.2</v>
      </c>
      <c r="F80" s="883">
        <v>30</v>
      </c>
    </row>
    <row r="81" spans="1:6" s="879" customFormat="1" ht="36">
      <c r="A81" s="883">
        <v>21</v>
      </c>
      <c r="B81" s="3332"/>
      <c r="C81" s="819" t="s">
        <v>656</v>
      </c>
      <c r="D81" s="819" t="s">
        <v>657</v>
      </c>
      <c r="E81" s="896">
        <v>0.2</v>
      </c>
      <c r="F81" s="883">
        <v>30</v>
      </c>
    </row>
    <row r="82" spans="1:6" s="879" customFormat="1" ht="48">
      <c r="A82" s="883">
        <v>22</v>
      </c>
      <c r="B82" s="3332"/>
      <c r="C82" s="819" t="s">
        <v>658</v>
      </c>
      <c r="D82" s="819" t="s">
        <v>659</v>
      </c>
      <c r="E82" s="896">
        <v>0.2</v>
      </c>
      <c r="F82" s="883">
        <v>30</v>
      </c>
    </row>
    <row r="83" spans="1:6" s="879" customFormat="1" ht="48">
      <c r="A83" s="883">
        <v>23</v>
      </c>
      <c r="B83" s="3332"/>
      <c r="C83" s="819" t="s">
        <v>660</v>
      </c>
      <c r="D83" s="819" t="s">
        <v>661</v>
      </c>
      <c r="E83" s="896">
        <v>0.2</v>
      </c>
      <c r="F83" s="883">
        <v>30</v>
      </c>
    </row>
    <row r="84" spans="1:6" s="879" customFormat="1" ht="36">
      <c r="A84" s="883">
        <v>24</v>
      </c>
      <c r="B84" s="3332"/>
      <c r="C84" s="819" t="s">
        <v>662</v>
      </c>
      <c r="D84" s="819" t="s">
        <v>663</v>
      </c>
      <c r="E84" s="896">
        <v>0.2</v>
      </c>
      <c r="F84" s="883">
        <v>30</v>
      </c>
    </row>
    <row r="85" spans="1:6" s="879" customFormat="1" ht="36">
      <c r="A85" s="883">
        <v>25</v>
      </c>
      <c r="B85" s="3332"/>
      <c r="C85" s="819" t="s">
        <v>664</v>
      </c>
      <c r="D85" s="819" t="s">
        <v>665</v>
      </c>
      <c r="E85" s="896">
        <v>0.5</v>
      </c>
      <c r="F85" s="883">
        <v>80</v>
      </c>
    </row>
    <row r="86" spans="1:6" s="879" customFormat="1" ht="36">
      <c r="A86" s="883">
        <v>26</v>
      </c>
      <c r="B86" s="3332"/>
      <c r="C86" s="819" t="s">
        <v>666</v>
      </c>
      <c r="D86" s="819" t="s">
        <v>667</v>
      </c>
      <c r="E86" s="896">
        <v>0.2</v>
      </c>
      <c r="F86" s="883">
        <v>30</v>
      </c>
    </row>
    <row r="87" spans="1:6" s="879" customFormat="1" ht="36">
      <c r="A87" s="883">
        <v>27</v>
      </c>
      <c r="B87" s="3332"/>
      <c r="C87" s="819" t="s">
        <v>668</v>
      </c>
      <c r="D87" s="819" t="s">
        <v>669</v>
      </c>
      <c r="E87" s="896">
        <v>0.2</v>
      </c>
      <c r="F87" s="883">
        <v>30</v>
      </c>
    </row>
    <row r="88" spans="1:6" s="879" customFormat="1" ht="36">
      <c r="A88" s="883">
        <v>28</v>
      </c>
      <c r="B88" s="3332"/>
      <c r="C88" s="819" t="s">
        <v>670</v>
      </c>
      <c r="D88" s="819" t="s">
        <v>671</v>
      </c>
      <c r="E88" s="896">
        <v>0.2</v>
      </c>
      <c r="F88" s="883">
        <v>30</v>
      </c>
    </row>
    <row r="89" spans="1:6" s="879" customFormat="1" ht="24">
      <c r="A89" s="883">
        <v>29</v>
      </c>
      <c r="B89" s="3332"/>
      <c r="C89" s="819" t="s">
        <v>672</v>
      </c>
      <c r="D89" s="819" t="s">
        <v>673</v>
      </c>
      <c r="E89" s="896">
        <v>0.2</v>
      </c>
      <c r="F89" s="883">
        <v>30</v>
      </c>
    </row>
    <row r="90" spans="1:6" s="879" customFormat="1" ht="24">
      <c r="A90" s="883">
        <v>30</v>
      </c>
      <c r="B90" s="3332"/>
      <c r="C90" s="819" t="s">
        <v>674</v>
      </c>
      <c r="D90" s="819" t="s">
        <v>675</v>
      </c>
      <c r="E90" s="896">
        <v>0.2</v>
      </c>
      <c r="F90" s="883">
        <v>30</v>
      </c>
    </row>
    <row r="91" spans="1:6" s="879" customFormat="1" ht="36">
      <c r="A91" s="883">
        <v>31</v>
      </c>
      <c r="B91" s="3332"/>
      <c r="C91" s="819" t="s">
        <v>676</v>
      </c>
      <c r="D91" s="819" t="s">
        <v>677</v>
      </c>
      <c r="E91" s="896">
        <v>0.2</v>
      </c>
      <c r="F91" s="883">
        <v>30</v>
      </c>
    </row>
    <row r="92" spans="1:6" s="879" customFormat="1" ht="24">
      <c r="A92" s="883">
        <v>32</v>
      </c>
      <c r="B92" s="3332" t="s">
        <v>678</v>
      </c>
      <c r="C92" s="883" t="s">
        <v>679</v>
      </c>
      <c r="D92" s="819" t="s">
        <v>680</v>
      </c>
      <c r="E92" s="896">
        <v>0.2</v>
      </c>
      <c r="F92" s="883">
        <v>30</v>
      </c>
    </row>
    <row r="93" spans="1:6" s="879" customFormat="1" ht="36">
      <c r="A93" s="883">
        <v>33</v>
      </c>
      <c r="B93" s="3332"/>
      <c r="C93" s="883" t="s">
        <v>681</v>
      </c>
      <c r="D93" s="819" t="s">
        <v>682</v>
      </c>
      <c r="E93" s="896">
        <v>0.2</v>
      </c>
      <c r="F93" s="883">
        <v>30</v>
      </c>
    </row>
    <row r="94" spans="1:6" s="879" customFormat="1" ht="48">
      <c r="A94" s="883">
        <v>34</v>
      </c>
      <c r="B94" s="3332"/>
      <c r="C94" s="883" t="s">
        <v>683</v>
      </c>
      <c r="D94" s="819" t="s">
        <v>684</v>
      </c>
      <c r="E94" s="896">
        <v>0.2</v>
      </c>
      <c r="F94" s="883">
        <v>30</v>
      </c>
    </row>
    <row r="95" spans="1:6" s="879" customFormat="1" ht="36">
      <c r="A95" s="883">
        <v>35</v>
      </c>
      <c r="B95" s="3332"/>
      <c r="C95" s="883" t="s">
        <v>685</v>
      </c>
      <c r="D95" s="819" t="s">
        <v>686</v>
      </c>
      <c r="E95" s="896">
        <v>0.2</v>
      </c>
      <c r="F95" s="883">
        <v>30</v>
      </c>
    </row>
    <row r="96" spans="1:6" s="879" customFormat="1" ht="48">
      <c r="A96" s="883">
        <v>36</v>
      </c>
      <c r="B96" s="3332"/>
      <c r="C96" s="819" t="s">
        <v>687</v>
      </c>
      <c r="D96" s="819" t="s">
        <v>688</v>
      </c>
      <c r="E96" s="896">
        <v>0.2</v>
      </c>
      <c r="F96" s="883">
        <v>30</v>
      </c>
    </row>
    <row r="97" spans="1:6" s="879" customFormat="1" ht="36">
      <c r="A97" s="883">
        <v>37</v>
      </c>
      <c r="B97" s="3332"/>
      <c r="C97" s="883" t="s">
        <v>689</v>
      </c>
      <c r="D97" s="819" t="s">
        <v>690</v>
      </c>
      <c r="E97" s="896">
        <v>0.2</v>
      </c>
      <c r="F97" s="883">
        <v>30</v>
      </c>
    </row>
    <row r="98" spans="1:6" s="879" customFormat="1" ht="36">
      <c r="A98" s="883">
        <v>38</v>
      </c>
      <c r="B98" s="3332"/>
      <c r="C98" s="883" t="s">
        <v>691</v>
      </c>
      <c r="D98" s="819" t="s">
        <v>692</v>
      </c>
      <c r="E98" s="896">
        <v>0.2</v>
      </c>
      <c r="F98" s="883">
        <v>30</v>
      </c>
    </row>
    <row r="99" spans="1:6" s="879" customFormat="1" ht="36">
      <c r="A99" s="883">
        <v>39</v>
      </c>
      <c r="B99" s="3332" t="s">
        <v>693</v>
      </c>
      <c r="C99" s="883" t="s">
        <v>694</v>
      </c>
      <c r="D99" s="819" t="s">
        <v>695</v>
      </c>
      <c r="E99" s="896">
        <v>0.3</v>
      </c>
      <c r="F99" s="883">
        <v>50</v>
      </c>
    </row>
    <row r="100" spans="1:6" s="879" customFormat="1" ht="24">
      <c r="A100" s="883">
        <v>40</v>
      </c>
      <c r="B100" s="3332"/>
      <c r="C100" s="883" t="s">
        <v>696</v>
      </c>
      <c r="D100" s="819" t="s">
        <v>697</v>
      </c>
      <c r="E100" s="896">
        <v>0.2</v>
      </c>
      <c r="F100" s="883">
        <v>30</v>
      </c>
    </row>
    <row r="101" spans="1:6" s="879" customFormat="1" ht="36">
      <c r="A101" s="883">
        <v>41</v>
      </c>
      <c r="B101" s="3332"/>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32" t="s">
        <v>708</v>
      </c>
      <c r="C105" s="883" t="s">
        <v>709</v>
      </c>
      <c r="D105" s="819" t="s">
        <v>710</v>
      </c>
      <c r="E105" s="896">
        <v>0.2</v>
      </c>
      <c r="F105" s="883">
        <v>30</v>
      </c>
    </row>
    <row r="106" spans="1:6" s="879" customFormat="1" ht="36">
      <c r="A106" s="883">
        <v>46</v>
      </c>
      <c r="B106" s="3332"/>
      <c r="C106" s="883" t="s">
        <v>711</v>
      </c>
      <c r="D106" s="819" t="s">
        <v>712</v>
      </c>
      <c r="E106" s="896">
        <v>0.2</v>
      </c>
      <c r="F106" s="883">
        <v>30</v>
      </c>
    </row>
    <row r="107" spans="1:6" s="879" customFormat="1" ht="36">
      <c r="A107" s="883">
        <v>47</v>
      </c>
      <c r="B107" s="3332" t="s">
        <v>713</v>
      </c>
      <c r="C107" s="883" t="s">
        <v>714</v>
      </c>
      <c r="D107" s="819" t="s">
        <v>715</v>
      </c>
      <c r="E107" s="896">
        <v>0.3</v>
      </c>
      <c r="F107" s="883">
        <v>50</v>
      </c>
    </row>
    <row r="108" spans="1:6" s="879" customFormat="1" ht="36">
      <c r="A108" s="883">
        <v>48</v>
      </c>
      <c r="B108" s="3332"/>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32" t="s">
        <v>724</v>
      </c>
      <c r="C111" s="883" t="s">
        <v>725</v>
      </c>
      <c r="D111" s="819" t="s">
        <v>726</v>
      </c>
      <c r="E111" s="896">
        <v>0.2</v>
      </c>
      <c r="F111" s="883">
        <v>30</v>
      </c>
    </row>
    <row r="112" spans="1:6" s="879" customFormat="1" ht="24">
      <c r="A112" s="883">
        <v>52</v>
      </c>
      <c r="B112" s="3332"/>
      <c r="C112" s="883" t="s">
        <v>727</v>
      </c>
      <c r="D112" s="819" t="s">
        <v>728</v>
      </c>
      <c r="E112" s="896">
        <v>0.2</v>
      </c>
      <c r="F112" s="883">
        <v>30</v>
      </c>
    </row>
    <row r="113" spans="1:6" s="879" customFormat="1" ht="24">
      <c r="A113" s="883">
        <v>53</v>
      </c>
      <c r="B113" s="3332"/>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32" t="s">
        <v>737</v>
      </c>
      <c r="C116" s="883" t="s">
        <v>738</v>
      </c>
      <c r="D116" s="819" t="s">
        <v>739</v>
      </c>
      <c r="E116" s="896">
        <v>0.2</v>
      </c>
      <c r="F116" s="883">
        <v>30</v>
      </c>
    </row>
    <row r="117" spans="1:6" ht="36">
      <c r="A117" s="883">
        <v>57</v>
      </c>
      <c r="B117" s="3332"/>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3006</v>
      </c>
    </row>
    <row r="2" spans="1:5" ht="15.75">
      <c r="A2" s="2917" t="s">
        <v>2998</v>
      </c>
      <c r="B2" s="2918" t="e">
        <f ca="1">SUMIF(B6:B13,"&lt;&gt;#ref!",B6:B13)</f>
        <v>#DIV/0!</v>
      </c>
      <c r="C2" s="2917" t="s">
        <v>2999</v>
      </c>
      <c r="D2" s="2917" t="s">
        <v>3000</v>
      </c>
      <c r="E2" s="2918" t="e">
        <f ca="1">SUM(E6:E13)</f>
        <v>#REF!</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38" t="s">
        <v>1150</v>
      </c>
      <c r="C1" s="3338"/>
      <c r="D1" s="3338"/>
      <c r="E1" s="3338"/>
      <c r="F1" s="3338"/>
      <c r="G1" s="3337" t="s">
        <v>1151</v>
      </c>
      <c r="H1" s="3337"/>
      <c r="I1" s="3337"/>
      <c r="J1" s="3337"/>
      <c r="K1" s="3337"/>
      <c r="L1" s="3337"/>
      <c r="N1" s="3337" t="s">
        <v>1152</v>
      </c>
      <c r="O1" s="3337"/>
      <c r="P1" s="3337"/>
      <c r="Q1" s="3337"/>
      <c r="R1" s="1450"/>
      <c r="S1" s="3337" t="s">
        <v>1153</v>
      </c>
      <c r="T1" s="3337"/>
      <c r="U1" s="3337"/>
      <c r="V1" s="3337"/>
      <c r="X1" s="3336" t="s">
        <v>1154</v>
      </c>
      <c r="Y1" s="3337"/>
      <c r="Z1" s="3337"/>
      <c r="AA1" s="3337"/>
      <c r="AB1" s="3337"/>
      <c r="AD1" s="3336" t="s">
        <v>1155</v>
      </c>
      <c r="AE1" s="3337"/>
      <c r="AF1" s="3337"/>
      <c r="AG1" s="3337"/>
      <c r="AH1" s="3337"/>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39">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34"/>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34"/>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35"/>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33">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34"/>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34"/>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35"/>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33">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34"/>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34"/>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35"/>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40">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41"/>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41"/>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42"/>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33">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34"/>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34"/>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35"/>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33">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34">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34">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35">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33">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34">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34">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35">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33">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34">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34">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35">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33">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34">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34">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35">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33">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34">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34">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35">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33">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34">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34">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35">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33">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34">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34">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35">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33">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34">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34">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35">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33">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34">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34">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35">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33">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34">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34">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35">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zoomScale="90" zoomScaleNormal="90" workbookViewId="0">
      <selection activeCell="K105" sqref="K105:M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3210</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6.4</v>
      </c>
      <c r="C3" s="401" t="s">
        <v>2535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231" t="s">
        <v>2537</v>
      </c>
      <c r="D4" s="3232"/>
      <c r="E4" s="3233" t="s">
        <v>2538</v>
      </c>
      <c r="F4" s="3234"/>
      <c r="G4" s="3231" t="s">
        <v>2539</v>
      </c>
      <c r="H4" s="3232"/>
      <c r="I4" s="3231" t="s">
        <v>2540</v>
      </c>
      <c r="J4" s="3232"/>
      <c r="K4" s="611" t="s">
        <v>2541</v>
      </c>
      <c r="L4" s="1134"/>
      <c r="M4" s="1135"/>
      <c r="N4" s="1135"/>
      <c r="O4" s="1135"/>
      <c r="P4" s="3235" t="s">
        <v>2542</v>
      </c>
      <c r="Q4" s="3236"/>
      <c r="R4" s="3241" t="s">
        <v>2538</v>
      </c>
      <c r="S4" s="3242"/>
      <c r="T4" s="3241" t="s">
        <v>2539</v>
      </c>
      <c r="U4" s="3242"/>
      <c r="V4" s="3247" t="s">
        <v>2540</v>
      </c>
      <c r="W4" s="3247"/>
      <c r="X4" s="2941"/>
      <c r="Y4" s="3241" t="s">
        <v>2542</v>
      </c>
      <c r="Z4" s="3242"/>
      <c r="AA4" s="3260" t="s">
        <v>2538</v>
      </c>
      <c r="AB4" s="3260" t="s">
        <v>2539</v>
      </c>
      <c r="AC4" s="3228" t="s">
        <v>2540</v>
      </c>
    </row>
    <row r="5" spans="1:29" ht="15">
      <c r="A5" s="405"/>
      <c r="B5" s="406"/>
      <c r="C5" s="3257" t="s">
        <v>2543</v>
      </c>
      <c r="D5" s="3252"/>
      <c r="E5" s="3263" t="s">
        <v>3207</v>
      </c>
      <c r="F5" s="3264"/>
      <c r="G5" s="3251" t="s">
        <v>3208</v>
      </c>
      <c r="H5" s="3252"/>
      <c r="I5" s="3251" t="s">
        <v>3209</v>
      </c>
      <c r="J5" s="3252"/>
      <c r="K5" s="611"/>
      <c r="L5" s="1134"/>
      <c r="M5" s="1135"/>
      <c r="N5" s="1135"/>
      <c r="O5" s="1135"/>
      <c r="P5" s="3237"/>
      <c r="Q5" s="3238"/>
      <c r="R5" s="3243"/>
      <c r="S5" s="3244"/>
      <c r="T5" s="3243"/>
      <c r="U5" s="3244"/>
      <c r="V5" s="3248"/>
      <c r="W5" s="3248"/>
      <c r="X5" s="2936"/>
      <c r="Y5" s="3243"/>
      <c r="Z5" s="3244"/>
      <c r="AA5" s="3261"/>
      <c r="AB5" s="3261"/>
      <c r="AC5" s="3229"/>
    </row>
    <row r="6" spans="1:29" ht="15.75" thickBot="1">
      <c r="A6" s="407"/>
      <c r="B6" s="408"/>
      <c r="C6" s="3249" t="s">
        <v>2547</v>
      </c>
      <c r="D6" s="3250"/>
      <c r="E6" s="3258" t="s">
        <v>2547</v>
      </c>
      <c r="F6" s="3259"/>
      <c r="G6" s="3249" t="s">
        <v>2547</v>
      </c>
      <c r="H6" s="3250"/>
      <c r="I6" s="3249" t="s">
        <v>2547</v>
      </c>
      <c r="J6" s="3250"/>
      <c r="K6" s="611" t="s">
        <v>2548</v>
      </c>
      <c r="L6" s="1134"/>
      <c r="M6" s="1135"/>
      <c r="N6" s="1135"/>
      <c r="O6" s="1135"/>
      <c r="P6" s="3239"/>
      <c r="Q6" s="3240"/>
      <c r="R6" s="3243"/>
      <c r="S6" s="3244"/>
      <c r="T6" s="3245"/>
      <c r="U6" s="3246"/>
      <c r="V6" s="3248"/>
      <c r="W6" s="3248"/>
      <c r="X6" s="2936"/>
      <c r="Y6" s="3245"/>
      <c r="Z6" s="3246"/>
      <c r="AA6" s="3262"/>
      <c r="AB6" s="3262"/>
      <c r="AC6" s="3230"/>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3" t="s">
        <v>2550</v>
      </c>
      <c r="Q7" s="3256"/>
      <c r="R7" s="771" t="s">
        <v>17</v>
      </c>
      <c r="S7" s="772">
        <f t="shared" ref="S7:S15" si="0">F7</f>
        <v>100</v>
      </c>
      <c r="T7" s="771" t="s">
        <v>17</v>
      </c>
      <c r="U7" s="772">
        <f t="shared" ref="U7:U15" si="1">H7</f>
        <v>100</v>
      </c>
      <c r="V7" s="771" t="s">
        <v>17</v>
      </c>
      <c r="W7" s="772">
        <f t="shared" ref="W7:W15" si="2">J7</f>
        <v>100</v>
      </c>
      <c r="X7" s="773"/>
      <c r="Y7" s="3255" t="s">
        <v>2550</v>
      </c>
      <c r="Z7" s="3254"/>
      <c r="AA7" s="774">
        <f>D7/F7</f>
        <v>1</v>
      </c>
      <c r="AB7" s="774">
        <f>D7/H7</f>
        <v>1</v>
      </c>
      <c r="AC7" s="2678">
        <f>D7/J7</f>
        <v>1</v>
      </c>
    </row>
    <row r="8" spans="1:29" s="117" customFormat="1" ht="15.75" thickBot="1">
      <c r="A8" s="409" t="s">
        <v>2551</v>
      </c>
      <c r="B8" s="410"/>
      <c r="C8" s="415" t="s">
        <v>2588</v>
      </c>
      <c r="D8" s="412">
        <v>100</v>
      </c>
      <c r="E8" s="415" t="s">
        <v>3119</v>
      </c>
      <c r="F8" s="414">
        <f>SUMIF(62:62,E8,63:63)-SUMIF(62:62,C8,63:63)+100</f>
        <v>100</v>
      </c>
      <c r="G8" s="415" t="s">
        <v>3119</v>
      </c>
      <c r="H8" s="412">
        <f>SUMIF(62:62,G8,63:63)-SUMIF(62:62,C8,63:63)+100</f>
        <v>100</v>
      </c>
      <c r="I8" s="415" t="s">
        <v>3119</v>
      </c>
      <c r="J8" s="412">
        <f>SUMIF(62:62,I8,63:63)-SUMIF(62:62,C8,63:63)+100</f>
        <v>100</v>
      </c>
      <c r="K8" s="612"/>
      <c r="L8" s="1136"/>
      <c r="M8" s="1137"/>
      <c r="N8" s="1137"/>
      <c r="O8" s="1137"/>
      <c r="P8" s="3253" t="s">
        <v>2553</v>
      </c>
      <c r="Q8" s="3254"/>
      <c r="R8" s="771" t="s">
        <v>17</v>
      </c>
      <c r="S8" s="772">
        <f t="shared" si="0"/>
        <v>100</v>
      </c>
      <c r="T8" s="771" t="s">
        <v>17</v>
      </c>
      <c r="U8" s="772">
        <f t="shared" si="1"/>
        <v>100</v>
      </c>
      <c r="V8" s="771" t="s">
        <v>17</v>
      </c>
      <c r="W8" s="772">
        <f t="shared" si="2"/>
        <v>100</v>
      </c>
      <c r="X8" s="773"/>
      <c r="Y8" s="3255" t="s">
        <v>2553</v>
      </c>
      <c r="Z8" s="3254"/>
      <c r="AA8" s="774">
        <f t="shared" ref="AA8:AA47" si="3">D8/F8</f>
        <v>1</v>
      </c>
      <c r="AB8" s="774">
        <f t="shared" ref="AB8:AB47" si="4">D8/H8</f>
        <v>1</v>
      </c>
      <c r="AC8" s="2678">
        <f t="shared" ref="AC8:AC47" si="5">D8/J8</f>
        <v>1</v>
      </c>
    </row>
    <row r="9" spans="1:29" s="117" customFormat="1">
      <c r="A9" s="416" t="s">
        <v>2554</v>
      </c>
      <c r="B9" s="71" t="s">
        <v>2555</v>
      </c>
      <c r="C9" s="2948" t="s">
        <v>3120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13" t="s">
        <v>2556</v>
      </c>
      <c r="Q9" s="2933" t="str">
        <f t="shared" ref="Q9:Q15" si="6">B9</f>
        <v>用途</v>
      </c>
      <c r="R9" s="771" t="s">
        <v>17</v>
      </c>
      <c r="S9" s="772">
        <f t="shared" si="0"/>
        <v>100</v>
      </c>
      <c r="T9" s="771" t="s">
        <v>17</v>
      </c>
      <c r="U9" s="772">
        <f t="shared" si="1"/>
        <v>100</v>
      </c>
      <c r="V9" s="771" t="s">
        <v>17</v>
      </c>
      <c r="W9" s="772">
        <f t="shared" si="2"/>
        <v>100</v>
      </c>
      <c r="X9" s="773"/>
      <c r="Y9" s="3068" t="s">
        <v>2557</v>
      </c>
      <c r="Z9" s="2934" t="str">
        <f t="shared" ref="Z9:Z15" si="7">Q9</f>
        <v>用途</v>
      </c>
      <c r="AA9" s="774">
        <f t="shared" si="3"/>
        <v>1</v>
      </c>
      <c r="AB9" s="774">
        <f t="shared" si="4"/>
        <v>1</v>
      </c>
      <c r="AC9" s="2678">
        <f t="shared" si="5"/>
        <v>1</v>
      </c>
    </row>
    <row r="10" spans="1:29" s="428" customFormat="1" ht="27">
      <c r="A10" s="422"/>
      <c r="B10" s="2935" t="s">
        <v>2558</v>
      </c>
      <c r="C10" s="424" t="s">
        <v>3125</v>
      </c>
      <c r="D10" s="136">
        <v>100</v>
      </c>
      <c r="E10" s="424" t="s">
        <v>3125</v>
      </c>
      <c r="F10" s="136">
        <f>SUMIF(66:66,E10,67:67)-SUMIF(66:66,C10,67:67)+100</f>
        <v>100</v>
      </c>
      <c r="G10" s="425" t="s">
        <v>3125</v>
      </c>
      <c r="H10" s="136">
        <f>SUMIF(66:66,G10,67:67)-SUMIF(66:66,C10,67:67)+100</f>
        <v>100</v>
      </c>
      <c r="I10" s="424" t="s">
        <v>3126</v>
      </c>
      <c r="J10" s="136">
        <f>SUMIF(66:66,I10,67:67)-SUMIF(66:66,C10,67:67)+100</f>
        <v>101</v>
      </c>
      <c r="K10" s="613">
        <v>1</v>
      </c>
      <c r="L10" s="1139"/>
      <c r="M10" s="1140"/>
      <c r="N10" s="1140"/>
      <c r="O10" s="1140"/>
      <c r="P10" s="3213"/>
      <c r="Q10" s="2933" t="str">
        <f t="shared" si="6"/>
        <v>土地使用年限（年）</v>
      </c>
      <c r="R10" s="771" t="s">
        <v>17</v>
      </c>
      <c r="S10" s="772">
        <f t="shared" si="0"/>
        <v>100</v>
      </c>
      <c r="T10" s="771" t="s">
        <v>17</v>
      </c>
      <c r="U10" s="772">
        <f t="shared" si="1"/>
        <v>100</v>
      </c>
      <c r="V10" s="771" t="s">
        <v>17</v>
      </c>
      <c r="W10" s="772">
        <f t="shared" si="2"/>
        <v>101</v>
      </c>
      <c r="X10" s="773"/>
      <c r="Y10" s="3068"/>
      <c r="Z10" s="2934" t="str">
        <f t="shared" si="7"/>
        <v>土地使用年限（年）</v>
      </c>
      <c r="AA10" s="774">
        <f t="shared" si="3"/>
        <v>1</v>
      </c>
      <c r="AB10" s="774">
        <f t="shared" si="4"/>
        <v>1</v>
      </c>
      <c r="AC10" s="2678">
        <f t="shared" si="5"/>
        <v>0.99009900990099009</v>
      </c>
    </row>
    <row r="11" spans="1:29" ht="15">
      <c r="A11" s="429"/>
      <c r="B11" s="2935"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13"/>
      <c r="Q11" s="2933" t="str">
        <f t="shared" si="6"/>
        <v>容积率</v>
      </c>
      <c r="R11" s="771" t="s">
        <v>17</v>
      </c>
      <c r="S11" s="772">
        <f t="shared" si="0"/>
        <v>100</v>
      </c>
      <c r="T11" s="771" t="s">
        <v>17</v>
      </c>
      <c r="U11" s="772">
        <f t="shared" si="1"/>
        <v>100</v>
      </c>
      <c r="V11" s="771" t="s">
        <v>17</v>
      </c>
      <c r="W11" s="772">
        <f t="shared" si="2"/>
        <v>100</v>
      </c>
      <c r="X11" s="773"/>
      <c r="Y11" s="3068"/>
      <c r="Z11" s="2934"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13"/>
      <c r="Q12" s="2933">
        <f t="shared" si="6"/>
        <v>111</v>
      </c>
      <c r="R12" s="771" t="s">
        <v>17</v>
      </c>
      <c r="S12" s="772">
        <f t="shared" si="0"/>
        <v>100</v>
      </c>
      <c r="T12" s="771" t="s">
        <v>17</v>
      </c>
      <c r="U12" s="772">
        <f t="shared" si="1"/>
        <v>100</v>
      </c>
      <c r="V12" s="771" t="s">
        <v>17</v>
      </c>
      <c r="W12" s="772">
        <f t="shared" si="2"/>
        <v>100</v>
      </c>
      <c r="X12" s="773"/>
      <c r="Y12" s="3068"/>
      <c r="Z12" s="2934">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13"/>
      <c r="Q13" s="2933">
        <f t="shared" si="6"/>
        <v>111</v>
      </c>
      <c r="R13" s="771" t="s">
        <v>17</v>
      </c>
      <c r="S13" s="772">
        <f t="shared" si="0"/>
        <v>100</v>
      </c>
      <c r="T13" s="771" t="s">
        <v>17</v>
      </c>
      <c r="U13" s="772">
        <f t="shared" si="1"/>
        <v>100</v>
      </c>
      <c r="V13" s="771" t="s">
        <v>17</v>
      </c>
      <c r="W13" s="772">
        <f t="shared" si="2"/>
        <v>100</v>
      </c>
      <c r="X13" s="773"/>
      <c r="Y13" s="3068"/>
      <c r="Z13" s="2934">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13"/>
      <c r="Q14" s="2933">
        <f t="shared" si="6"/>
        <v>111</v>
      </c>
      <c r="R14" s="771" t="s">
        <v>17</v>
      </c>
      <c r="S14" s="772">
        <f t="shared" si="0"/>
        <v>100</v>
      </c>
      <c r="T14" s="771" t="s">
        <v>17</v>
      </c>
      <c r="U14" s="772">
        <f t="shared" si="1"/>
        <v>100</v>
      </c>
      <c r="V14" s="771" t="s">
        <v>17</v>
      </c>
      <c r="W14" s="772">
        <f t="shared" si="2"/>
        <v>100</v>
      </c>
      <c r="X14" s="773"/>
      <c r="Y14" s="3068"/>
      <c r="Z14" s="2934">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19" t="s">
        <v>2561</v>
      </c>
      <c r="Q15" s="2939" t="str">
        <f t="shared" si="6"/>
        <v>办公集聚程度</v>
      </c>
      <c r="R15" s="775" t="s">
        <v>17</v>
      </c>
      <c r="S15" s="776">
        <f t="shared" si="0"/>
        <v>100</v>
      </c>
      <c r="T15" s="775" t="s">
        <v>17</v>
      </c>
      <c r="U15" s="776">
        <f t="shared" si="1"/>
        <v>100</v>
      </c>
      <c r="V15" s="775" t="s">
        <v>17</v>
      </c>
      <c r="W15" s="776">
        <f t="shared" si="2"/>
        <v>100</v>
      </c>
      <c r="X15" s="2936"/>
      <c r="Y15" s="3221" t="s">
        <v>2561</v>
      </c>
      <c r="Z15" s="2937" t="str">
        <f t="shared" si="7"/>
        <v>办公集聚程度</v>
      </c>
      <c r="AA15" s="2940">
        <f t="shared" si="3"/>
        <v>1</v>
      </c>
      <c r="AB15" s="2940">
        <f t="shared" si="4"/>
        <v>1</v>
      </c>
      <c r="AC15" s="2681">
        <f t="shared" si="5"/>
        <v>1</v>
      </c>
    </row>
    <row r="16" spans="1:29" ht="15">
      <c r="A16" s="429"/>
      <c r="B16" s="631"/>
      <c r="C16" s="2618" t="s">
        <v>3127</v>
      </c>
      <c r="D16" s="449"/>
      <c r="E16" s="448" t="s">
        <v>3127</v>
      </c>
      <c r="F16" s="449"/>
      <c r="G16" s="2618" t="s">
        <v>3127</v>
      </c>
      <c r="H16" s="451"/>
      <c r="I16" s="448" t="s">
        <v>3127</v>
      </c>
      <c r="J16" s="449"/>
      <c r="K16" s="616"/>
      <c r="L16" s="1144"/>
      <c r="M16" s="1135"/>
      <c r="N16" s="1135"/>
      <c r="O16" s="1135"/>
      <c r="P16" s="3220"/>
      <c r="Q16" s="2939"/>
      <c r="R16" s="775"/>
      <c r="S16" s="776"/>
      <c r="T16" s="775"/>
      <c r="U16" s="776"/>
      <c r="V16" s="775"/>
      <c r="W16" s="776"/>
      <c r="X16" s="2936"/>
      <c r="Y16" s="3222"/>
      <c r="Z16" s="2937"/>
      <c r="AA16" s="2940">
        <v>1</v>
      </c>
      <c r="AB16" s="2940">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20"/>
      <c r="Q17" s="2939" t="str">
        <f>B17</f>
        <v>交通便捷度</v>
      </c>
      <c r="R17" s="775" t="s">
        <v>17</v>
      </c>
      <c r="S17" s="776">
        <f>F17</f>
        <v>100</v>
      </c>
      <c r="T17" s="775" t="s">
        <v>17</v>
      </c>
      <c r="U17" s="776">
        <f>H17</f>
        <v>100</v>
      </c>
      <c r="V17" s="775" t="s">
        <v>17</v>
      </c>
      <c r="W17" s="776">
        <f>J17</f>
        <v>100</v>
      </c>
      <c r="X17" s="2936"/>
      <c r="Y17" s="3222"/>
      <c r="Z17" s="2937" t="str">
        <f>Q17</f>
        <v>交通便捷度</v>
      </c>
      <c r="AA17" s="2940">
        <f t="shared" si="3"/>
        <v>1</v>
      </c>
      <c r="AB17" s="2940">
        <f t="shared" si="4"/>
        <v>1</v>
      </c>
      <c r="AC17" s="2681">
        <f t="shared" si="5"/>
        <v>1</v>
      </c>
    </row>
    <row r="18" spans="1:29" ht="15">
      <c r="A18" s="429"/>
      <c r="B18" s="633"/>
      <c r="C18" s="2683" t="s">
        <v>3128</v>
      </c>
      <c r="D18" s="451"/>
      <c r="E18" s="2616" t="s">
        <v>3128</v>
      </c>
      <c r="F18" s="451"/>
      <c r="G18" s="2617" t="s">
        <v>3128</v>
      </c>
      <c r="H18" s="449"/>
      <c r="I18" s="2617" t="s">
        <v>3128</v>
      </c>
      <c r="J18" s="449"/>
      <c r="K18" s="616"/>
      <c r="L18" s="1144"/>
      <c r="M18" s="1135"/>
      <c r="N18" s="1135"/>
      <c r="O18" s="1135"/>
      <c r="P18" s="3220"/>
      <c r="Q18" s="2939"/>
      <c r="R18" s="775"/>
      <c r="S18" s="776"/>
      <c r="T18" s="775"/>
      <c r="U18" s="776"/>
      <c r="V18" s="775"/>
      <c r="W18" s="776"/>
      <c r="X18" s="2936"/>
      <c r="Y18" s="3222"/>
      <c r="Z18" s="2937"/>
      <c r="AA18" s="2940">
        <v>1</v>
      </c>
      <c r="AB18" s="2940">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20"/>
      <c r="Q19" s="2939" t="str">
        <f>B19</f>
        <v>公共配套设施</v>
      </c>
      <c r="R19" s="775" t="s">
        <v>17</v>
      </c>
      <c r="S19" s="776">
        <f>F19</f>
        <v>100</v>
      </c>
      <c r="T19" s="775" t="s">
        <v>17</v>
      </c>
      <c r="U19" s="776">
        <f>H19</f>
        <v>100</v>
      </c>
      <c r="V19" s="775" t="s">
        <v>17</v>
      </c>
      <c r="W19" s="776">
        <f>J19</f>
        <v>100</v>
      </c>
      <c r="X19" s="2936"/>
      <c r="Y19" s="3222"/>
      <c r="Z19" s="2937" t="str">
        <f>Q19</f>
        <v>公共配套设施</v>
      </c>
      <c r="AA19" s="2940">
        <f t="shared" si="3"/>
        <v>1</v>
      </c>
      <c r="AB19" s="2940">
        <f t="shared" si="4"/>
        <v>1</v>
      </c>
      <c r="AC19" s="2681">
        <f t="shared" si="5"/>
        <v>1</v>
      </c>
    </row>
    <row r="20" spans="1:29" ht="15">
      <c r="A20" s="429"/>
      <c r="B20" s="633"/>
      <c r="C20" s="2618" t="s">
        <v>3128</v>
      </c>
      <c r="D20" s="449"/>
      <c r="E20" s="2611" t="s">
        <v>3128</v>
      </c>
      <c r="F20" s="449"/>
      <c r="G20" s="2612" t="s">
        <v>3128</v>
      </c>
      <c r="H20" s="449"/>
      <c r="I20" s="2612" t="s">
        <v>3128</v>
      </c>
      <c r="J20" s="449"/>
      <c r="K20" s="616"/>
      <c r="L20" s="1144"/>
      <c r="M20" s="1135"/>
      <c r="N20" s="1135"/>
      <c r="O20" s="1135"/>
      <c r="P20" s="3220"/>
      <c r="Q20" s="2939"/>
      <c r="R20" s="775"/>
      <c r="S20" s="776"/>
      <c r="T20" s="775"/>
      <c r="U20" s="776"/>
      <c r="V20" s="775"/>
      <c r="W20" s="776"/>
      <c r="X20" s="2936"/>
      <c r="Y20" s="3222"/>
      <c r="Z20" s="2937"/>
      <c r="AA20" s="2940">
        <v>1</v>
      </c>
      <c r="AB20" s="2940">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20"/>
      <c r="Q21" s="2939" t="str">
        <f>B21</f>
        <v>基础设施水平</v>
      </c>
      <c r="R21" s="775" t="s">
        <v>17</v>
      </c>
      <c r="S21" s="776">
        <f>F21</f>
        <v>100</v>
      </c>
      <c r="T21" s="775" t="s">
        <v>17</v>
      </c>
      <c r="U21" s="776">
        <f>H21</f>
        <v>100</v>
      </c>
      <c r="V21" s="775" t="s">
        <v>17</v>
      </c>
      <c r="W21" s="776">
        <f>J21</f>
        <v>100</v>
      </c>
      <c r="X21" s="2936"/>
      <c r="Y21" s="3222"/>
      <c r="Z21" s="2937" t="str">
        <f>Q21</f>
        <v>基础设施水平</v>
      </c>
      <c r="AA21" s="2940">
        <f t="shared" ref="AA21" si="8">D21/F21</f>
        <v>1</v>
      </c>
      <c r="AB21" s="2940">
        <f t="shared" ref="AB21" si="9">D21/H21</f>
        <v>1</v>
      </c>
      <c r="AC21" s="2681">
        <f t="shared" ref="AC21" si="10">D21/J21</f>
        <v>1</v>
      </c>
    </row>
    <row r="22" spans="1:29" ht="15">
      <c r="A22" s="429"/>
      <c r="B22" s="634"/>
      <c r="C22" s="2683" t="s">
        <v>3105</v>
      </c>
      <c r="D22" s="449"/>
      <c r="E22" s="448" t="s">
        <v>3105</v>
      </c>
      <c r="F22" s="449"/>
      <c r="G22" s="2618" t="s">
        <v>3105</v>
      </c>
      <c r="H22" s="449"/>
      <c r="I22" s="2618" t="s">
        <v>3105</v>
      </c>
      <c r="J22" s="449"/>
      <c r="K22" s="1387"/>
      <c r="L22" s="1144"/>
      <c r="M22" s="1135"/>
      <c r="N22" s="1135"/>
      <c r="O22" s="1135"/>
      <c r="P22" s="3220"/>
      <c r="Q22" s="2939"/>
      <c r="R22" s="775"/>
      <c r="S22" s="776"/>
      <c r="T22" s="775"/>
      <c r="U22" s="776"/>
      <c r="V22" s="775"/>
      <c r="W22" s="776"/>
      <c r="X22" s="2936"/>
      <c r="Y22" s="3222"/>
      <c r="Z22" s="2937"/>
      <c r="AA22" s="2940">
        <v>1</v>
      </c>
      <c r="AB22" s="2940">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20"/>
      <c r="Q23" s="2939" t="str">
        <f>B23</f>
        <v>环境质量</v>
      </c>
      <c r="R23" s="775" t="s">
        <v>17</v>
      </c>
      <c r="S23" s="776">
        <f>F23</f>
        <v>100</v>
      </c>
      <c r="T23" s="775" t="s">
        <v>17</v>
      </c>
      <c r="U23" s="776">
        <f>H23</f>
        <v>100</v>
      </c>
      <c r="V23" s="775" t="s">
        <v>17</v>
      </c>
      <c r="W23" s="776">
        <f>J23</f>
        <v>100</v>
      </c>
      <c r="X23" s="2936"/>
      <c r="Y23" s="3222"/>
      <c r="Z23" s="2937" t="str">
        <f>Q23</f>
        <v>环境质量</v>
      </c>
      <c r="AA23" s="2940">
        <f t="shared" si="3"/>
        <v>1</v>
      </c>
      <c r="AB23" s="2940">
        <f t="shared" si="4"/>
        <v>1</v>
      </c>
      <c r="AC23" s="2681">
        <f t="shared" si="5"/>
        <v>1</v>
      </c>
    </row>
    <row r="24" spans="1:29" ht="15">
      <c r="A24" s="429"/>
      <c r="B24" s="634"/>
      <c r="C24" s="2618" t="s">
        <v>3127</v>
      </c>
      <c r="D24" s="449"/>
      <c r="E24" s="2611" t="s">
        <v>3127</v>
      </c>
      <c r="F24" s="449"/>
      <c r="G24" s="2612" t="s">
        <v>3127</v>
      </c>
      <c r="H24" s="449"/>
      <c r="I24" s="2612" t="s">
        <v>3127</v>
      </c>
      <c r="J24" s="449"/>
      <c r="K24" s="616"/>
      <c r="L24" s="1144"/>
      <c r="M24" s="1135"/>
      <c r="N24" s="1135"/>
      <c r="O24" s="1135"/>
      <c r="P24" s="3220"/>
      <c r="Q24" s="2939"/>
      <c r="R24" s="775"/>
      <c r="S24" s="776"/>
      <c r="T24" s="775"/>
      <c r="U24" s="776"/>
      <c r="V24" s="775"/>
      <c r="W24" s="776"/>
      <c r="X24" s="2936"/>
      <c r="Y24" s="3222"/>
      <c r="Z24" s="2937"/>
      <c r="AA24" s="2940">
        <v>1</v>
      </c>
      <c r="AB24" s="2940">
        <v>1</v>
      </c>
      <c r="AC24" s="2681">
        <v>1</v>
      </c>
    </row>
    <row r="25" spans="1:29" ht="27.75">
      <c r="A25" s="405"/>
      <c r="B25" s="632" t="s">
        <v>2692</v>
      </c>
      <c r="C25" s="2949" t="s">
        <v>3129</v>
      </c>
      <c r="D25" s="436">
        <v>100</v>
      </c>
      <c r="E25" s="435" t="s">
        <v>3130</v>
      </c>
      <c r="F25" s="436">
        <f>SUMIF(87:87,E26,88:88)-SUMIF(87:87,C26,88:88)+100</f>
        <v>100</v>
      </c>
      <c r="G25" s="2622" t="s">
        <v>3130</v>
      </c>
      <c r="H25" s="436">
        <f>SUMIF(87:87,G26,88:88)-SUMIF(87:87,C26,88:88)+100</f>
        <v>100</v>
      </c>
      <c r="I25" s="435" t="s">
        <v>3211</v>
      </c>
      <c r="J25" s="436">
        <f>SUMIF(87:87,I26,88:88)-SUMIF(87:87,C26,88:88)+100</f>
        <v>100</v>
      </c>
      <c r="K25" s="615">
        <v>2</v>
      </c>
      <c r="L25" s="1144"/>
      <c r="M25" s="1135"/>
      <c r="N25" s="1135"/>
      <c r="O25" s="1135"/>
      <c r="P25" s="3220"/>
      <c r="Q25" s="2939" t="str">
        <f>B25</f>
        <v>毗邻道路的类型与等级</v>
      </c>
      <c r="R25" s="775" t="s">
        <v>17</v>
      </c>
      <c r="S25" s="776">
        <f>F25</f>
        <v>100</v>
      </c>
      <c r="T25" s="775" t="s">
        <v>17</v>
      </c>
      <c r="U25" s="776">
        <f>H25</f>
        <v>100</v>
      </c>
      <c r="V25" s="775" t="s">
        <v>17</v>
      </c>
      <c r="W25" s="776">
        <f>J25</f>
        <v>100</v>
      </c>
      <c r="X25" s="2936"/>
      <c r="Y25" s="3222"/>
      <c r="Z25" s="2937" t="str">
        <f>Q25</f>
        <v>毗邻道路的类型与等级</v>
      </c>
      <c r="AA25" s="2940">
        <f t="shared" si="3"/>
        <v>1</v>
      </c>
      <c r="AB25" s="2940">
        <f t="shared" si="4"/>
        <v>1</v>
      </c>
      <c r="AC25" s="2681">
        <f t="shared" si="5"/>
        <v>1</v>
      </c>
    </row>
    <row r="26" spans="1:29" ht="15">
      <c r="A26" s="405"/>
      <c r="B26" s="633"/>
      <c r="C26" s="635" t="s">
        <v>3109</v>
      </c>
      <c r="D26" s="436"/>
      <c r="E26" s="617" t="s">
        <v>3109</v>
      </c>
      <c r="F26" s="436"/>
      <c r="G26" s="635" t="s">
        <v>3109</v>
      </c>
      <c r="H26" s="436"/>
      <c r="I26" s="617" t="s">
        <v>3109</v>
      </c>
      <c r="J26" s="436"/>
      <c r="K26" s="616"/>
      <c r="L26" s="1144"/>
      <c r="M26" s="1135"/>
      <c r="N26" s="1135"/>
      <c r="O26" s="1135"/>
      <c r="P26" s="3220"/>
      <c r="Q26" s="2939"/>
      <c r="R26" s="775"/>
      <c r="S26" s="776"/>
      <c r="T26" s="775"/>
      <c r="U26" s="776"/>
      <c r="V26" s="775"/>
      <c r="W26" s="776"/>
      <c r="X26" s="2936"/>
      <c r="Y26" s="3222"/>
      <c r="Z26" s="2937"/>
      <c r="AA26" s="2940">
        <v>1</v>
      </c>
      <c r="AB26" s="2940">
        <v>1</v>
      </c>
      <c r="AC26" s="2681">
        <v>1</v>
      </c>
    </row>
    <row r="27" spans="1:29" ht="15">
      <c r="A27" s="429"/>
      <c r="B27" s="633" t="s">
        <v>2660</v>
      </c>
      <c r="C27" s="635" t="s">
        <v>3117</v>
      </c>
      <c r="D27" s="436">
        <v>100</v>
      </c>
      <c r="E27" s="617" t="s">
        <v>3117</v>
      </c>
      <c r="F27" s="436">
        <f>SUMIF(89:89,E27,90:90)-SUMIF(89:89,C27,90:90)+100</f>
        <v>100</v>
      </c>
      <c r="G27" s="635" t="s">
        <v>3115</v>
      </c>
      <c r="H27" s="436">
        <f>SUMIF(89:89,G27,90:90)-SUMIF(89:89,C27,90:90)+100</f>
        <v>102</v>
      </c>
      <c r="I27" s="617" t="s">
        <v>3115</v>
      </c>
      <c r="J27" s="436">
        <f>SUMIF(89:89,I27,90:90)-SUMIF(89:89,C27,90:90)+100</f>
        <v>102</v>
      </c>
      <c r="K27" s="613">
        <v>2</v>
      </c>
      <c r="L27" s="1144"/>
      <c r="M27" s="1135"/>
      <c r="N27" s="1135"/>
      <c r="O27" s="1135"/>
      <c r="P27" s="3220"/>
      <c r="Q27" s="2939" t="str">
        <f t="shared" ref="Q27:Q47" si="11">B27</f>
        <v>楼层</v>
      </c>
      <c r="R27" s="775" t="s">
        <v>17</v>
      </c>
      <c r="S27" s="776">
        <f>F27</f>
        <v>100</v>
      </c>
      <c r="T27" s="775" t="s">
        <v>17</v>
      </c>
      <c r="U27" s="776">
        <f>H27</f>
        <v>102</v>
      </c>
      <c r="V27" s="775" t="s">
        <v>17</v>
      </c>
      <c r="W27" s="776">
        <f>J27</f>
        <v>102</v>
      </c>
      <c r="X27" s="2936"/>
      <c r="Y27" s="3222"/>
      <c r="Z27" s="2937" t="str">
        <f>Q27</f>
        <v>楼层</v>
      </c>
      <c r="AA27" s="2940">
        <f t="shared" si="3"/>
        <v>1</v>
      </c>
      <c r="AB27" s="2940">
        <f t="shared" si="4"/>
        <v>0.98039215686274506</v>
      </c>
      <c r="AC27" s="2681">
        <f t="shared" si="5"/>
        <v>0.98039215686274506</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20"/>
      <c r="Q28" s="2933" t="str">
        <f t="shared" si="11"/>
        <v>朝向</v>
      </c>
      <c r="R28" s="771" t="s">
        <v>17</v>
      </c>
      <c r="S28" s="772">
        <f>F28</f>
        <v>100</v>
      </c>
      <c r="T28" s="771" t="s">
        <v>17</v>
      </c>
      <c r="U28" s="772">
        <f>H28</f>
        <v>100</v>
      </c>
      <c r="V28" s="771" t="s">
        <v>17</v>
      </c>
      <c r="W28" s="772">
        <f>J28</f>
        <v>100</v>
      </c>
      <c r="X28" s="773"/>
      <c r="Y28" s="3222"/>
      <c r="Z28" s="2934" t="str">
        <f>Q28</f>
        <v>朝向</v>
      </c>
      <c r="AA28" s="2940">
        <f>D28/F28</f>
        <v>1</v>
      </c>
      <c r="AB28" s="2940">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20"/>
      <c r="Q29" s="2939">
        <f t="shared" si="11"/>
        <v>111</v>
      </c>
      <c r="R29" s="775" t="s">
        <v>17</v>
      </c>
      <c r="S29" s="776">
        <f t="shared" ref="S29:S47" si="12">F29</f>
        <v>100</v>
      </c>
      <c r="T29" s="775" t="s">
        <v>17</v>
      </c>
      <c r="U29" s="776">
        <f t="shared" ref="U29:U47" si="13">H29</f>
        <v>100</v>
      </c>
      <c r="V29" s="775" t="s">
        <v>17</v>
      </c>
      <c r="W29" s="776">
        <f t="shared" ref="W29:W47" si="14">J29</f>
        <v>100</v>
      </c>
      <c r="X29" s="2936"/>
      <c r="Y29" s="3222"/>
      <c r="Z29" s="2937">
        <f t="shared" ref="Z29:Z47" si="15">Q29</f>
        <v>111</v>
      </c>
      <c r="AA29" s="2940">
        <f t="shared" si="3"/>
        <v>1</v>
      </c>
      <c r="AB29" s="2940">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20"/>
      <c r="Q30" s="2939">
        <f t="shared" si="11"/>
        <v>111</v>
      </c>
      <c r="R30" s="775" t="s">
        <v>17</v>
      </c>
      <c r="S30" s="776">
        <f t="shared" si="12"/>
        <v>100</v>
      </c>
      <c r="T30" s="775" t="s">
        <v>17</v>
      </c>
      <c r="U30" s="776">
        <f t="shared" si="13"/>
        <v>100</v>
      </c>
      <c r="V30" s="775" t="s">
        <v>17</v>
      </c>
      <c r="W30" s="776">
        <f t="shared" si="14"/>
        <v>100</v>
      </c>
      <c r="X30" s="2936"/>
      <c r="Y30" s="3222"/>
      <c r="Z30" s="2937">
        <f t="shared" si="15"/>
        <v>111</v>
      </c>
      <c r="AA30" s="2940">
        <f t="shared" si="3"/>
        <v>1</v>
      </c>
      <c r="AB30" s="2940">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20"/>
      <c r="Q31" s="2939">
        <f t="shared" si="11"/>
        <v>111</v>
      </c>
      <c r="R31" s="775" t="s">
        <v>17</v>
      </c>
      <c r="S31" s="776">
        <f t="shared" si="12"/>
        <v>100</v>
      </c>
      <c r="T31" s="775" t="s">
        <v>17</v>
      </c>
      <c r="U31" s="776">
        <f t="shared" si="13"/>
        <v>100</v>
      </c>
      <c r="V31" s="775" t="s">
        <v>17</v>
      </c>
      <c r="W31" s="776">
        <f t="shared" si="14"/>
        <v>100</v>
      </c>
      <c r="X31" s="2936"/>
      <c r="Y31" s="3222"/>
      <c r="Z31" s="2937">
        <f t="shared" si="15"/>
        <v>111</v>
      </c>
      <c r="AA31" s="2940">
        <f t="shared" si="3"/>
        <v>1</v>
      </c>
      <c r="AB31" s="2940">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20"/>
      <c r="Q32" s="2939">
        <f t="shared" si="11"/>
        <v>111</v>
      </c>
      <c r="R32" s="775" t="s">
        <v>17</v>
      </c>
      <c r="S32" s="776">
        <f t="shared" si="12"/>
        <v>100</v>
      </c>
      <c r="T32" s="775" t="s">
        <v>17</v>
      </c>
      <c r="U32" s="776">
        <f t="shared" si="13"/>
        <v>100</v>
      </c>
      <c r="V32" s="775" t="s">
        <v>17</v>
      </c>
      <c r="W32" s="776">
        <f t="shared" si="14"/>
        <v>100</v>
      </c>
      <c r="X32" s="2936"/>
      <c r="Y32" s="3222"/>
      <c r="Z32" s="2937">
        <f t="shared" si="15"/>
        <v>111</v>
      </c>
      <c r="AA32" s="2940">
        <f t="shared" si="3"/>
        <v>1</v>
      </c>
      <c r="AB32" s="2940">
        <f t="shared" si="4"/>
        <v>1</v>
      </c>
      <c r="AC32" s="2681">
        <f t="shared" si="5"/>
        <v>1</v>
      </c>
    </row>
    <row r="33" spans="1:29" ht="15">
      <c r="A33" s="441" t="s">
        <v>2564</v>
      </c>
      <c r="B33" s="71" t="s">
        <v>2694</v>
      </c>
      <c r="C33" s="2686" t="s">
        <v>3132</v>
      </c>
      <c r="D33" s="468">
        <v>100</v>
      </c>
      <c r="E33" s="2686" t="s">
        <v>3132</v>
      </c>
      <c r="F33" s="462">
        <f>SUMIF(101:101,E33,102:102)-SUMIF(101:101,C33,102:102)+100</f>
        <v>100</v>
      </c>
      <c r="G33" s="2686" t="s">
        <v>3132</v>
      </c>
      <c r="H33" s="436">
        <f>SUMIF(101:101,G33,102:102)-SUMIF(101:101,C33,102:102)+100</f>
        <v>100</v>
      </c>
      <c r="I33" s="2686" t="s">
        <v>3132</v>
      </c>
      <c r="J33" s="468">
        <f>SUMIF(101:101,I33,102:102)-SUMIF(101:101,C33,102:102)+100</f>
        <v>100</v>
      </c>
      <c r="K33" s="613">
        <v>1</v>
      </c>
      <c r="L33" s="1144"/>
      <c r="M33" s="1135"/>
      <c r="N33" s="1135"/>
      <c r="O33" s="1135"/>
      <c r="P33" s="3223" t="s">
        <v>2566</v>
      </c>
      <c r="Q33" s="2939" t="str">
        <f t="shared" si="11"/>
        <v>建筑类型</v>
      </c>
      <c r="R33" s="775" t="s">
        <v>17</v>
      </c>
      <c r="S33" s="776">
        <f t="shared" si="12"/>
        <v>100</v>
      </c>
      <c r="T33" s="775" t="s">
        <v>17</v>
      </c>
      <c r="U33" s="776">
        <f t="shared" si="13"/>
        <v>100</v>
      </c>
      <c r="V33" s="775" t="s">
        <v>17</v>
      </c>
      <c r="W33" s="776">
        <f t="shared" si="14"/>
        <v>100</v>
      </c>
      <c r="X33" s="2936"/>
      <c r="Y33" s="3226" t="s">
        <v>2566</v>
      </c>
      <c r="Z33" s="2937" t="str">
        <f t="shared" si="15"/>
        <v>建筑类型</v>
      </c>
      <c r="AA33" s="2940">
        <f t="shared" si="3"/>
        <v>1</v>
      </c>
      <c r="AB33" s="2940">
        <f t="shared" si="4"/>
        <v>1</v>
      </c>
      <c r="AC33" s="2681">
        <f t="shared" si="5"/>
        <v>1</v>
      </c>
    </row>
    <row r="34" spans="1:29" s="472" customFormat="1" ht="15">
      <c r="A34" s="469"/>
      <c r="B34" s="2935" t="s">
        <v>2567</v>
      </c>
      <c r="C34" s="470">
        <v>1952.76</v>
      </c>
      <c r="D34" s="136">
        <v>100</v>
      </c>
      <c r="E34" s="431">
        <v>980</v>
      </c>
      <c r="F34" s="426">
        <f>LOOKUP(E34,104:104,105:105)-LOOKUP(C34,104:104,105:105)+100</f>
        <v>101</v>
      </c>
      <c r="G34" s="430">
        <v>660</v>
      </c>
      <c r="H34" s="136">
        <f>LOOKUP(G34,104:104,105:105)-LOOKUP(C34,104:104,105:105)+100</f>
        <v>101</v>
      </c>
      <c r="I34" s="430">
        <v>1279</v>
      </c>
      <c r="J34" s="136">
        <f>LOOKUP(I34,104:104,105:105)-LOOKUP(C34,104:104,105:105)+100</f>
        <v>100</v>
      </c>
      <c r="K34" s="614"/>
      <c r="L34" s="1142"/>
      <c r="M34" s="1145"/>
      <c r="N34" s="1145"/>
      <c r="O34" s="1145"/>
      <c r="P34" s="3224"/>
      <c r="Q34" s="777" t="str">
        <f t="shared" si="11"/>
        <v>项目建筑规模</v>
      </c>
      <c r="R34" s="778" t="s">
        <v>17</v>
      </c>
      <c r="S34" s="779">
        <f t="shared" si="12"/>
        <v>101</v>
      </c>
      <c r="T34" s="778" t="s">
        <v>17</v>
      </c>
      <c r="U34" s="779">
        <f t="shared" si="13"/>
        <v>101</v>
      </c>
      <c r="V34" s="778" t="s">
        <v>17</v>
      </c>
      <c r="W34" s="779">
        <f t="shared" si="14"/>
        <v>100</v>
      </c>
      <c r="X34" s="780"/>
      <c r="Y34" s="3226"/>
      <c r="Z34" s="781" t="str">
        <f t="shared" si="15"/>
        <v>项目建筑规模</v>
      </c>
      <c r="AA34" s="2940">
        <f t="shared" si="3"/>
        <v>0.99009900990099009</v>
      </c>
      <c r="AB34" s="2940">
        <f t="shared" si="4"/>
        <v>0.99009900990099009</v>
      </c>
      <c r="AC34" s="2681">
        <f t="shared" si="5"/>
        <v>1</v>
      </c>
    </row>
    <row r="35" spans="1:29" ht="15">
      <c r="A35" s="473"/>
      <c r="B35" s="2935" t="s">
        <v>2568</v>
      </c>
      <c r="C35" s="461" t="s">
        <v>3092</v>
      </c>
      <c r="D35" s="436">
        <v>100</v>
      </c>
      <c r="E35" s="461" t="s">
        <v>3092</v>
      </c>
      <c r="F35" s="462">
        <f>SUMIF(106:106,E35,107:107)-SUMIF(106:106,C35,107:107)+100</f>
        <v>100</v>
      </c>
      <c r="G35" s="461" t="s">
        <v>3092</v>
      </c>
      <c r="H35" s="436">
        <f>SUMIF(106:106,G35,107:107)-SUMIF(106:106,C35,107:107)+100</f>
        <v>100</v>
      </c>
      <c r="I35" s="461" t="s">
        <v>3092</v>
      </c>
      <c r="J35" s="436">
        <f>SUMIF(106:106,I35,107:107)-SUMIF(106:106,C35,107:107)+100</f>
        <v>100</v>
      </c>
      <c r="K35" s="613">
        <v>2</v>
      </c>
      <c r="L35" s="1144"/>
      <c r="M35" s="1135"/>
      <c r="N35" s="1135"/>
      <c r="O35" s="1135"/>
      <c r="P35" s="3224"/>
      <c r="Q35" s="2939" t="str">
        <f t="shared" si="11"/>
        <v>建筑结构</v>
      </c>
      <c r="R35" s="775" t="s">
        <v>17</v>
      </c>
      <c r="S35" s="776">
        <f t="shared" si="12"/>
        <v>100</v>
      </c>
      <c r="T35" s="775" t="s">
        <v>17</v>
      </c>
      <c r="U35" s="776">
        <f t="shared" si="13"/>
        <v>100</v>
      </c>
      <c r="V35" s="775" t="s">
        <v>17</v>
      </c>
      <c r="W35" s="776">
        <f t="shared" si="14"/>
        <v>100</v>
      </c>
      <c r="X35" s="2936"/>
      <c r="Y35" s="3226"/>
      <c r="Z35" s="2937" t="str">
        <f t="shared" si="15"/>
        <v>建筑结构</v>
      </c>
      <c r="AA35" s="2940">
        <f t="shared" si="3"/>
        <v>1</v>
      </c>
      <c r="AB35" s="2940">
        <f t="shared" si="4"/>
        <v>1</v>
      </c>
      <c r="AC35" s="2681">
        <f t="shared" si="5"/>
        <v>1</v>
      </c>
    </row>
    <row r="36" spans="1:29" ht="15">
      <c r="A36" s="473"/>
      <c r="B36" s="2935" t="s">
        <v>2662</v>
      </c>
      <c r="C36" s="461" t="s">
        <v>3095</v>
      </c>
      <c r="D36" s="436">
        <v>100</v>
      </c>
      <c r="E36" s="461" t="s">
        <v>3095</v>
      </c>
      <c r="F36" s="462">
        <f>SUMIF(108:108,E36,109:109)-SUMIF(108:108,C36,109:109)+100</f>
        <v>100</v>
      </c>
      <c r="G36" s="461" t="s">
        <v>3095</v>
      </c>
      <c r="H36" s="436">
        <f>SUMIF(108:108,G36,109:109)-SUMIF(108:108,C36,109:109)+100</f>
        <v>100</v>
      </c>
      <c r="I36" s="461" t="s">
        <v>3095</v>
      </c>
      <c r="J36" s="436">
        <f>SUMIF(108:108,I36,109:109)-SUMIF(108:108,C36,109:109)+100</f>
        <v>100</v>
      </c>
      <c r="K36" s="613">
        <v>1</v>
      </c>
      <c r="L36" s="1144"/>
      <c r="M36" s="1135"/>
      <c r="N36" s="1135"/>
      <c r="O36" s="1135"/>
      <c r="P36" s="3224"/>
      <c r="Q36" s="2939" t="str">
        <f t="shared" si="11"/>
        <v>公共部分装修</v>
      </c>
      <c r="R36" s="775" t="s">
        <v>17</v>
      </c>
      <c r="S36" s="776">
        <f t="shared" si="12"/>
        <v>100</v>
      </c>
      <c r="T36" s="775" t="s">
        <v>17</v>
      </c>
      <c r="U36" s="776">
        <f t="shared" si="13"/>
        <v>100</v>
      </c>
      <c r="V36" s="775" t="s">
        <v>17</v>
      </c>
      <c r="W36" s="776">
        <f t="shared" si="14"/>
        <v>100</v>
      </c>
      <c r="X36" s="2936"/>
      <c r="Y36" s="3226"/>
      <c r="Z36" s="2937" t="str">
        <f t="shared" si="15"/>
        <v>公共部分装修</v>
      </c>
      <c r="AA36" s="2940">
        <f t="shared" si="3"/>
        <v>1</v>
      </c>
      <c r="AB36" s="2940">
        <f t="shared" si="4"/>
        <v>1</v>
      </c>
      <c r="AC36" s="2681">
        <f t="shared" si="5"/>
        <v>1</v>
      </c>
    </row>
    <row r="37" spans="1:29" ht="15">
      <c r="A37" s="473"/>
      <c r="B37" s="2935" t="s">
        <v>2663</v>
      </c>
      <c r="C37" s="475">
        <v>0.85</v>
      </c>
      <c r="D37" s="436">
        <v>100</v>
      </c>
      <c r="E37" s="475">
        <v>0.8</v>
      </c>
      <c r="F37" s="462">
        <f>LOOKUP(E37,111:111,112:112)-LOOKUP(C37,111:111,112:112)+100</f>
        <v>100</v>
      </c>
      <c r="G37" s="475">
        <v>0.8</v>
      </c>
      <c r="H37" s="462">
        <f>LOOKUP(G37,111:111,112:112)-LOOKUP(C37,111:111,112:112)+100</f>
        <v>100</v>
      </c>
      <c r="I37" s="475">
        <v>0.72</v>
      </c>
      <c r="J37" s="436">
        <f>LOOKUP(I37,111:111,112:112)-LOOKUP(C37,111:111,112:112)+100</f>
        <v>99</v>
      </c>
      <c r="K37" s="613">
        <v>1</v>
      </c>
      <c r="L37" s="1144"/>
      <c r="M37" s="1135"/>
      <c r="N37" s="1135"/>
      <c r="O37" s="1135"/>
      <c r="P37" s="3224"/>
      <c r="Q37" s="2939" t="str">
        <f t="shared" si="11"/>
        <v>成新度</v>
      </c>
      <c r="R37" s="775" t="s">
        <v>17</v>
      </c>
      <c r="S37" s="776">
        <f t="shared" si="12"/>
        <v>100</v>
      </c>
      <c r="T37" s="775" t="s">
        <v>17</v>
      </c>
      <c r="U37" s="776">
        <f t="shared" si="13"/>
        <v>100</v>
      </c>
      <c r="V37" s="775" t="s">
        <v>17</v>
      </c>
      <c r="W37" s="776">
        <f t="shared" si="14"/>
        <v>99</v>
      </c>
      <c r="X37" s="2936"/>
      <c r="Y37" s="3226"/>
      <c r="Z37" s="2937" t="str">
        <f t="shared" si="15"/>
        <v>成新度</v>
      </c>
      <c r="AA37" s="2940">
        <f t="shared" si="3"/>
        <v>1</v>
      </c>
      <c r="AB37" s="2940">
        <f t="shared" si="4"/>
        <v>1</v>
      </c>
      <c r="AC37" s="2681">
        <f t="shared" si="5"/>
        <v>1.0101010101010102</v>
      </c>
    </row>
    <row r="38" spans="1:29" s="117" customFormat="1" ht="15">
      <c r="A38" s="474"/>
      <c r="B38" s="2935" t="s">
        <v>2695</v>
      </c>
      <c r="C38" s="461" t="s">
        <v>3099</v>
      </c>
      <c r="D38" s="136">
        <v>100</v>
      </c>
      <c r="E38" s="461" t="s">
        <v>3099</v>
      </c>
      <c r="F38" s="462">
        <f>SUMIF(113:113,E38,114:114)-SUMIF(113:113,C38,114:114)+100</f>
        <v>100</v>
      </c>
      <c r="G38" s="461" t="s">
        <v>3099</v>
      </c>
      <c r="H38" s="436">
        <f>SUMIF(113:113,G38,114:114)-SUMIF(113:113,C38,114:114)+100</f>
        <v>100</v>
      </c>
      <c r="I38" s="461" t="s">
        <v>3099</v>
      </c>
      <c r="J38" s="436">
        <f>SUMIF(113:113,I38,114:114)-SUMIF(113:113,C38,114:114)+100</f>
        <v>100</v>
      </c>
      <c r="K38" s="613">
        <v>2</v>
      </c>
      <c r="L38" s="1136"/>
      <c r="M38" s="1137"/>
      <c r="N38" s="1137"/>
      <c r="O38" s="1137"/>
      <c r="P38" s="3224"/>
      <c r="Q38" s="2933" t="str">
        <f t="shared" si="11"/>
        <v>写字楼等级</v>
      </c>
      <c r="R38" s="771" t="s">
        <v>17</v>
      </c>
      <c r="S38" s="772">
        <f t="shared" si="12"/>
        <v>100</v>
      </c>
      <c r="T38" s="771" t="s">
        <v>17</v>
      </c>
      <c r="U38" s="772">
        <f t="shared" si="13"/>
        <v>100</v>
      </c>
      <c r="V38" s="771" t="s">
        <v>17</v>
      </c>
      <c r="W38" s="772">
        <f t="shared" si="14"/>
        <v>100</v>
      </c>
      <c r="X38" s="773"/>
      <c r="Y38" s="3226"/>
      <c r="Z38" s="2934" t="str">
        <f t="shared" si="15"/>
        <v>写字楼等级</v>
      </c>
      <c r="AA38" s="774">
        <f t="shared" si="3"/>
        <v>1</v>
      </c>
      <c r="AB38" s="774">
        <f t="shared" si="4"/>
        <v>1</v>
      </c>
      <c r="AC38" s="2678">
        <f t="shared" si="5"/>
        <v>1</v>
      </c>
    </row>
    <row r="39" spans="1:29" ht="15">
      <c r="A39" s="473"/>
      <c r="B39" s="2935" t="s">
        <v>2696</v>
      </c>
      <c r="C39" s="461" t="s">
        <v>3103</v>
      </c>
      <c r="D39" s="436">
        <v>100</v>
      </c>
      <c r="E39" s="461" t="s">
        <v>3103</v>
      </c>
      <c r="F39" s="462">
        <f>SUMIF(115:115,E39,116:116)-SUMIF(115:115,C39,116:116)+100</f>
        <v>100</v>
      </c>
      <c r="G39" s="461" t="s">
        <v>3103</v>
      </c>
      <c r="H39" s="436">
        <f>SUMIF(115:115,G39,116:116)-SUMIF(115:115,C39,116:116)+100</f>
        <v>100</v>
      </c>
      <c r="I39" s="461" t="s">
        <v>3103</v>
      </c>
      <c r="J39" s="436">
        <f>SUMIF(115:115,I39,116:116)-SUMIF(115:115,C39,116:116)+100</f>
        <v>100</v>
      </c>
      <c r="K39" s="613">
        <v>2</v>
      </c>
      <c r="L39" s="1144"/>
      <c r="M39" s="1135"/>
      <c r="N39" s="1135"/>
      <c r="O39" s="1135"/>
      <c r="P39" s="3224" t="s">
        <v>2566</v>
      </c>
      <c r="Q39" s="2939" t="str">
        <f t="shared" si="11"/>
        <v>物业管理</v>
      </c>
      <c r="R39" s="775" t="s">
        <v>17</v>
      </c>
      <c r="S39" s="776">
        <f t="shared" si="12"/>
        <v>100</v>
      </c>
      <c r="T39" s="775" t="s">
        <v>17</v>
      </c>
      <c r="U39" s="776">
        <f t="shared" si="13"/>
        <v>100</v>
      </c>
      <c r="V39" s="775" t="s">
        <v>17</v>
      </c>
      <c r="W39" s="776">
        <f t="shared" si="14"/>
        <v>100</v>
      </c>
      <c r="X39" s="2936"/>
      <c r="Y39" s="3226" t="s">
        <v>2566</v>
      </c>
      <c r="Z39" s="2937" t="str">
        <f t="shared" si="15"/>
        <v>物业管理</v>
      </c>
      <c r="AA39" s="2940">
        <f t="shared" si="3"/>
        <v>1</v>
      </c>
      <c r="AB39" s="2940">
        <f t="shared" si="4"/>
        <v>1</v>
      </c>
      <c r="AC39" s="2681">
        <f t="shared" si="5"/>
        <v>1</v>
      </c>
    </row>
    <row r="40" spans="1:29" ht="15">
      <c r="A40" s="473"/>
      <c r="B40" s="2935" t="s">
        <v>2664</v>
      </c>
      <c r="C40" s="461" t="s">
        <v>3105</v>
      </c>
      <c r="D40" s="436">
        <v>100</v>
      </c>
      <c r="E40" s="461" t="s">
        <v>3105</v>
      </c>
      <c r="F40" s="462">
        <f>SUMIF(117:117,E40,118:118)-SUMIF(117:117,C40,118:118)+100</f>
        <v>100</v>
      </c>
      <c r="G40" s="461" t="s">
        <v>3105</v>
      </c>
      <c r="H40" s="436">
        <f>SUMIF(117:117,G40,118:118)-SUMIF(117:117,C40,118:118)+100</f>
        <v>100</v>
      </c>
      <c r="I40" s="461" t="s">
        <v>3105</v>
      </c>
      <c r="J40" s="436">
        <f>SUMIF(117:117,I40,118:118)-SUMIF(117:117,C40,118:118)+100</f>
        <v>100</v>
      </c>
      <c r="K40" s="613">
        <v>1</v>
      </c>
      <c r="L40" s="1144"/>
      <c r="M40" s="1135"/>
      <c r="N40" s="1135"/>
      <c r="O40" s="1135"/>
      <c r="P40" s="3224"/>
      <c r="Q40" s="2939" t="str">
        <f t="shared" si="11"/>
        <v>市政基础设施</v>
      </c>
      <c r="R40" s="775" t="s">
        <v>17</v>
      </c>
      <c r="S40" s="776">
        <f t="shared" si="12"/>
        <v>100</v>
      </c>
      <c r="T40" s="775" t="s">
        <v>17</v>
      </c>
      <c r="U40" s="776">
        <f t="shared" si="13"/>
        <v>100</v>
      </c>
      <c r="V40" s="775" t="s">
        <v>17</v>
      </c>
      <c r="W40" s="776">
        <f t="shared" si="14"/>
        <v>100</v>
      </c>
      <c r="X40" s="2936"/>
      <c r="Y40" s="3226"/>
      <c r="Z40" s="2937" t="str">
        <f t="shared" si="15"/>
        <v>市政基础设施</v>
      </c>
      <c r="AA40" s="2940">
        <f t="shared" si="3"/>
        <v>1</v>
      </c>
      <c r="AB40" s="2940">
        <f t="shared" si="4"/>
        <v>1</v>
      </c>
      <c r="AC40" s="2681">
        <f t="shared" si="5"/>
        <v>1</v>
      </c>
    </row>
    <row r="41" spans="1:29" ht="15">
      <c r="A41" s="473"/>
      <c r="B41" s="2935" t="s">
        <v>2666</v>
      </c>
      <c r="C41" s="617" t="s">
        <v>3134</v>
      </c>
      <c r="D41" s="436">
        <v>100</v>
      </c>
      <c r="E41" s="617" t="s">
        <v>3134</v>
      </c>
      <c r="F41" s="462">
        <f>SUMIF(119:119,E41,120:120)-SUMIF(119:119,C41,120:120)+100</f>
        <v>100</v>
      </c>
      <c r="G41" s="617" t="s">
        <v>3134</v>
      </c>
      <c r="H41" s="436">
        <f>SUMIF(119:119,G41,120:120)-SUMIF(119:119,C41,120:120)+100</f>
        <v>100</v>
      </c>
      <c r="I41" s="617" t="s">
        <v>3134</v>
      </c>
      <c r="J41" s="436">
        <f>SUMIF(119:119,I41,120:120)-SUMIF(119:119,C41,120:120)+100</f>
        <v>100</v>
      </c>
      <c r="K41" s="613">
        <v>1</v>
      </c>
      <c r="L41" s="1144"/>
      <c r="M41" s="1135"/>
      <c r="N41" s="1135"/>
      <c r="O41" s="1135"/>
      <c r="P41" s="3224"/>
      <c r="Q41" s="2939" t="str">
        <f t="shared" si="11"/>
        <v>层高</v>
      </c>
      <c r="R41" s="775" t="s">
        <v>17</v>
      </c>
      <c r="S41" s="776">
        <f t="shared" si="12"/>
        <v>100</v>
      </c>
      <c r="T41" s="775" t="s">
        <v>17</v>
      </c>
      <c r="U41" s="776">
        <f t="shared" si="13"/>
        <v>100</v>
      </c>
      <c r="V41" s="775" t="s">
        <v>17</v>
      </c>
      <c r="W41" s="776">
        <f t="shared" si="14"/>
        <v>100</v>
      </c>
      <c r="X41" s="2936"/>
      <c r="Y41" s="3226"/>
      <c r="Z41" s="2937" t="str">
        <f t="shared" si="15"/>
        <v>层高</v>
      </c>
      <c r="AA41" s="2940">
        <f t="shared" si="3"/>
        <v>1</v>
      </c>
      <c r="AB41" s="2940">
        <f t="shared" si="4"/>
        <v>1</v>
      </c>
      <c r="AC41" s="2681">
        <f t="shared" si="5"/>
        <v>1</v>
      </c>
    </row>
    <row r="42" spans="1:29" s="472" customFormat="1" ht="15">
      <c r="A42" s="469"/>
      <c r="B42" s="2938"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24"/>
      <c r="Q42" s="777" t="str">
        <f t="shared" si="11"/>
        <v>单套建筑面积</v>
      </c>
      <c r="R42" s="778" t="s">
        <v>17</v>
      </c>
      <c r="S42" s="779">
        <f t="shared" si="12"/>
        <v>100</v>
      </c>
      <c r="T42" s="778" t="s">
        <v>17</v>
      </c>
      <c r="U42" s="779">
        <f t="shared" si="13"/>
        <v>100</v>
      </c>
      <c r="V42" s="778" t="s">
        <v>17</v>
      </c>
      <c r="W42" s="779">
        <f t="shared" si="14"/>
        <v>100</v>
      </c>
      <c r="X42" s="780"/>
      <c r="Y42" s="3226"/>
      <c r="Z42" s="781" t="str">
        <f t="shared" si="15"/>
        <v>单套建筑面积</v>
      </c>
      <c r="AA42" s="2940">
        <f t="shared" si="3"/>
        <v>1</v>
      </c>
      <c r="AB42" s="2940">
        <f t="shared" si="4"/>
        <v>1</v>
      </c>
      <c r="AC42" s="2681">
        <f t="shared" si="5"/>
        <v>1</v>
      </c>
    </row>
    <row r="43" spans="1:29" ht="15">
      <c r="A43" s="473"/>
      <c r="B43" s="2935" t="s">
        <v>2669</v>
      </c>
      <c r="C43" s="461" t="s">
        <v>3095</v>
      </c>
      <c r="D43" s="436">
        <v>100</v>
      </c>
      <c r="E43" s="461" t="s">
        <v>3095</v>
      </c>
      <c r="F43" s="462">
        <f>SUMIF(123:123,E43,124:124)-SUMIF(123:123,C43,124:124)+100</f>
        <v>100</v>
      </c>
      <c r="G43" s="461" t="s">
        <v>3095</v>
      </c>
      <c r="H43" s="436">
        <f>SUMIF(123:123,G43,124:124)-SUMIF(123:123,C43,124:124)+100</f>
        <v>100</v>
      </c>
      <c r="I43" s="461" t="s">
        <v>3095</v>
      </c>
      <c r="J43" s="436">
        <f>SUMIF(123:123,I43,124:124)-SUMIF(123:123,C43,124:124)+100</f>
        <v>100</v>
      </c>
      <c r="K43" s="613">
        <v>1</v>
      </c>
      <c r="L43" s="1144"/>
      <c r="M43" s="1135"/>
      <c r="N43" s="1135"/>
      <c r="O43" s="1135"/>
      <c r="P43" s="3224"/>
      <c r="Q43" s="2939" t="str">
        <f t="shared" si="11"/>
        <v>内部装修</v>
      </c>
      <c r="R43" s="775" t="s">
        <v>17</v>
      </c>
      <c r="S43" s="776">
        <f t="shared" si="12"/>
        <v>100</v>
      </c>
      <c r="T43" s="775" t="s">
        <v>17</v>
      </c>
      <c r="U43" s="776">
        <f t="shared" si="13"/>
        <v>100</v>
      </c>
      <c r="V43" s="775" t="s">
        <v>17</v>
      </c>
      <c r="W43" s="776">
        <f t="shared" si="14"/>
        <v>100</v>
      </c>
      <c r="X43" s="2936"/>
      <c r="Y43" s="3226"/>
      <c r="Z43" s="2937" t="str">
        <f t="shared" si="15"/>
        <v>内部装修</v>
      </c>
      <c r="AA43" s="2940">
        <f t="shared" si="3"/>
        <v>1</v>
      </c>
      <c r="AB43" s="2940">
        <f t="shared" si="4"/>
        <v>1</v>
      </c>
      <c r="AC43" s="2681">
        <f t="shared" si="5"/>
        <v>1</v>
      </c>
    </row>
    <row r="44" spans="1:29" ht="15">
      <c r="A44" s="473"/>
      <c r="B44" s="2935" t="s">
        <v>2577</v>
      </c>
      <c r="C44" s="461" t="s">
        <v>3127</v>
      </c>
      <c r="D44" s="436">
        <v>100</v>
      </c>
      <c r="E44" s="2620" t="s">
        <v>3127</v>
      </c>
      <c r="F44" s="462">
        <f>SUMIF(125:125,E44,126:126)-SUMIF(125:125,C44,126:126)+100</f>
        <v>100</v>
      </c>
      <c r="G44" s="2620" t="s">
        <v>3127</v>
      </c>
      <c r="H44" s="436">
        <f>SUMIF(125:125,G44,126:126)-SUMIF(125:125,C44,126:126)+100</f>
        <v>100</v>
      </c>
      <c r="I44" s="2620" t="s">
        <v>3127</v>
      </c>
      <c r="J44" s="436">
        <f>SUMIF(125:125,I44,126:126)-SUMIF(125:125,C44,126:126)+100</f>
        <v>100</v>
      </c>
      <c r="K44" s="613">
        <v>2</v>
      </c>
      <c r="L44" s="1144"/>
      <c r="M44" s="1135"/>
      <c r="N44" s="1135"/>
      <c r="O44" s="1135"/>
      <c r="P44" s="3224"/>
      <c r="Q44" s="2939" t="str">
        <f t="shared" si="11"/>
        <v>内部装修维护情况</v>
      </c>
      <c r="R44" s="775" t="s">
        <v>17</v>
      </c>
      <c r="S44" s="776">
        <f t="shared" si="12"/>
        <v>100</v>
      </c>
      <c r="T44" s="775" t="s">
        <v>17</v>
      </c>
      <c r="U44" s="776">
        <f t="shared" si="13"/>
        <v>100</v>
      </c>
      <c r="V44" s="775" t="s">
        <v>17</v>
      </c>
      <c r="W44" s="776">
        <f t="shared" si="14"/>
        <v>100</v>
      </c>
      <c r="X44" s="2936"/>
      <c r="Y44" s="3226"/>
      <c r="Z44" s="2937" t="str">
        <f t="shared" si="15"/>
        <v>内部装修维护情况</v>
      </c>
      <c r="AA44" s="2940">
        <f t="shared" si="3"/>
        <v>1</v>
      </c>
      <c r="AB44" s="2940">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24"/>
      <c r="Q45" s="2933">
        <f t="shared" si="11"/>
        <v>111</v>
      </c>
      <c r="R45" s="771" t="s">
        <v>17</v>
      </c>
      <c r="S45" s="772">
        <f t="shared" si="12"/>
        <v>100</v>
      </c>
      <c r="T45" s="771" t="s">
        <v>17</v>
      </c>
      <c r="U45" s="772">
        <f t="shared" si="13"/>
        <v>100</v>
      </c>
      <c r="V45" s="771" t="s">
        <v>17</v>
      </c>
      <c r="W45" s="772">
        <f t="shared" si="14"/>
        <v>100</v>
      </c>
      <c r="X45" s="773"/>
      <c r="Y45" s="3226"/>
      <c r="Z45" s="2934">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24"/>
      <c r="Q46" s="2939">
        <f t="shared" si="11"/>
        <v>111</v>
      </c>
      <c r="R46" s="775" t="s">
        <v>17</v>
      </c>
      <c r="S46" s="776">
        <f t="shared" si="12"/>
        <v>100</v>
      </c>
      <c r="T46" s="775" t="s">
        <v>17</v>
      </c>
      <c r="U46" s="776">
        <f t="shared" si="13"/>
        <v>100</v>
      </c>
      <c r="V46" s="775" t="s">
        <v>17</v>
      </c>
      <c r="W46" s="776">
        <f t="shared" si="14"/>
        <v>100</v>
      </c>
      <c r="X46" s="2936"/>
      <c r="Y46" s="3226"/>
      <c r="Z46" s="2937">
        <f t="shared" si="15"/>
        <v>111</v>
      </c>
      <c r="AA46" s="2940">
        <f t="shared" si="3"/>
        <v>1</v>
      </c>
      <c r="AB46" s="2940">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25"/>
      <c r="Q47" s="2939">
        <f t="shared" si="11"/>
        <v>111</v>
      </c>
      <c r="R47" s="775" t="s">
        <v>17</v>
      </c>
      <c r="S47" s="776">
        <f t="shared" si="12"/>
        <v>100</v>
      </c>
      <c r="T47" s="775" t="s">
        <v>17</v>
      </c>
      <c r="U47" s="776">
        <f t="shared" si="13"/>
        <v>100</v>
      </c>
      <c r="V47" s="775" t="s">
        <v>17</v>
      </c>
      <c r="W47" s="776">
        <f t="shared" si="14"/>
        <v>100</v>
      </c>
      <c r="X47" s="2936"/>
      <c r="Y47" s="3227"/>
      <c r="Z47" s="2937">
        <f t="shared" si="15"/>
        <v>111</v>
      </c>
      <c r="AA47" s="2940">
        <f t="shared" si="3"/>
        <v>1</v>
      </c>
      <c r="AB47" s="2940">
        <f t="shared" si="4"/>
        <v>1</v>
      </c>
      <c r="AC47" s="2681">
        <f t="shared" si="5"/>
        <v>1</v>
      </c>
    </row>
    <row r="48" spans="1:29" ht="15">
      <c r="A48" s="480" t="s">
        <v>2578</v>
      </c>
      <c r="B48" s="481"/>
      <c r="C48" s="1411" t="s">
        <v>1</v>
      </c>
      <c r="D48" s="1412"/>
      <c r="E48" s="1413">
        <v>7</v>
      </c>
      <c r="F48" s="1414"/>
      <c r="G48" s="1415">
        <v>6</v>
      </c>
      <c r="H48" s="1416"/>
      <c r="I48" s="1413">
        <v>6.5</v>
      </c>
      <c r="J48" s="486"/>
      <c r="K48" s="784"/>
      <c r="L48" s="1147"/>
      <c r="M48" s="1135"/>
      <c r="N48" s="1135"/>
      <c r="O48" s="1135"/>
      <c r="P48" s="3213" t="str">
        <f>A48</f>
        <v>成交单价（元/平方米）</v>
      </c>
      <c r="Q48" s="3214"/>
      <c r="R48" s="3215">
        <f>E48</f>
        <v>7</v>
      </c>
      <c r="S48" s="3215"/>
      <c r="T48" s="3215">
        <f>G48</f>
        <v>6</v>
      </c>
      <c r="U48" s="3215"/>
      <c r="V48" s="3215">
        <f>I48</f>
        <v>6.5</v>
      </c>
      <c r="W48" s="3215"/>
      <c r="X48" s="447"/>
      <c r="Y48" s="782"/>
      <c r="Z48" s="447"/>
      <c r="AA48" s="447"/>
      <c r="AB48" s="447"/>
      <c r="AC48" s="631"/>
    </row>
    <row r="49" spans="1:29" ht="15.75" thickBot="1">
      <c r="A49" s="487" t="s">
        <v>2579</v>
      </c>
      <c r="B49" s="488"/>
      <c r="C49" s="1417">
        <f>R50</f>
        <v>6.4</v>
      </c>
      <c r="D49" s="1418"/>
      <c r="E49" s="1419">
        <f>R49</f>
        <v>6.9</v>
      </c>
      <c r="F49" s="1419"/>
      <c r="G49" s="1417">
        <f>T49</f>
        <v>5.8</v>
      </c>
      <c r="H49" s="1418"/>
      <c r="I49" s="1419">
        <f>V49</f>
        <v>6.4</v>
      </c>
      <c r="J49" s="490"/>
      <c r="K49" s="785"/>
      <c r="L49" s="1147"/>
      <c r="M49" s="1135"/>
      <c r="N49" s="1135"/>
      <c r="O49" s="1135"/>
      <c r="P49" s="3213" t="str">
        <f>A49</f>
        <v>比较价值（元/平方米）</v>
      </c>
      <c r="Q49" s="3214"/>
      <c r="R49" s="3215">
        <f>IF(F1="售价",ROUND(PRODUCT(R48,AA7:AA47),0),ROUND(PRODUCT(R48,AA7:AA47),1))</f>
        <v>6.9</v>
      </c>
      <c r="S49" s="3215"/>
      <c r="T49" s="3215">
        <f>IF(F1="售价",ROUND(PRODUCT(T48,AB7:AB47),0),ROUND(PRODUCT(T48,AB7:AB47),1))</f>
        <v>5.8</v>
      </c>
      <c r="U49" s="3215"/>
      <c r="V49" s="3215">
        <f>IF(F1="售价",ROUND(PRODUCT(V48,AC7:AC47),0),ROUND(PRODUCT(V48,AC7:AC47),1))</f>
        <v>6.4</v>
      </c>
      <c r="W49" s="3215"/>
      <c r="X49" s="447"/>
      <c r="Y49" s="447"/>
      <c r="Z49" s="447"/>
      <c r="AA49" s="447"/>
      <c r="AB49" s="447"/>
      <c r="AC49" s="631"/>
    </row>
    <row r="50" spans="1:29" ht="15.75" thickBot="1">
      <c r="A50" s="493" t="s">
        <v>3121</v>
      </c>
      <c r="B50" s="494"/>
      <c r="C50" s="1421">
        <f>R50</f>
        <v>6.4</v>
      </c>
      <c r="D50" s="1421"/>
      <c r="E50" s="1421"/>
      <c r="F50" s="1421"/>
      <c r="G50" s="1421"/>
      <c r="H50" s="1421"/>
      <c r="I50" s="1421"/>
      <c r="J50" s="495"/>
      <c r="K50" s="786"/>
      <c r="L50" s="1147"/>
      <c r="M50" s="1135"/>
      <c r="N50" s="1135"/>
      <c r="O50" s="1135"/>
      <c r="P50" s="3216" t="str">
        <f>A50</f>
        <v>估价对象办公用房的比较价值（楼面单价，元/平方米）</v>
      </c>
      <c r="Q50" s="3217"/>
      <c r="R50" s="3218">
        <f>IF(F1="售价",ROUND(AVERAGE(R49:V49),0),ROUND(AVERAGE(R49:V49),1))</f>
        <v>6.4</v>
      </c>
      <c r="S50" s="3218"/>
      <c r="T50" s="3218"/>
      <c r="U50" s="3218"/>
      <c r="V50" s="3218"/>
      <c r="W50" s="3218"/>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1.4492753623188248E-2</v>
      </c>
      <c r="F53" s="501" t="str">
        <f>IF(OR(E53&gt;=0.3,E53&lt;=-0.3),"超过30%","")</f>
        <v/>
      </c>
      <c r="G53" s="500">
        <f>IF(G48&lt;G49,G49/G48-1,G48/G49-1)</f>
        <v>3.4482758620689724E-2</v>
      </c>
      <c r="H53" s="501" t="str">
        <f>IF(OR(G53&gt;=0.3,G53&lt;=-0.3),"超过30%","")</f>
        <v/>
      </c>
      <c r="I53" s="500">
        <f>IF(I48&lt;I49,I49/I48-1,I48/I49-1)</f>
        <v>1.5625E-2</v>
      </c>
      <c r="J53" s="501" t="str">
        <f>IF(OR(I53&gt;=0.3,I53&lt;=-0.3),"超过30%","")</f>
        <v/>
      </c>
      <c r="K53" s="1109"/>
      <c r="L53" s="1110"/>
      <c r="M53" s="1148"/>
      <c r="N53" s="1148"/>
      <c r="O53" s="1148"/>
    </row>
    <row r="54" spans="1:29" ht="13.5" customHeight="1">
      <c r="A54" s="1148"/>
      <c r="B54" s="1148"/>
      <c r="C54" s="498" t="s">
        <v>2582</v>
      </c>
      <c r="D54" s="502"/>
      <c r="E54" s="500">
        <f>IF(E49&lt;G49,G49/E49-1,E49/G49-1)</f>
        <v>0.18965517241379315</v>
      </c>
      <c r="F54" s="501" t="str">
        <f>IF(OR(E54&gt;=0.2,E54&lt;=-0.2),"超过20%","")</f>
        <v/>
      </c>
      <c r="G54" s="500">
        <f>IF(G49&lt;I49,I49/G49-1,G49/I49-1)</f>
        <v>0.10344827586206895</v>
      </c>
      <c r="H54" s="501" t="str">
        <f>IF(OR(G54&gt;=0.2,G54&lt;=-0.2),"超过20%","")</f>
        <v/>
      </c>
      <c r="I54" s="500">
        <f>IF(I49&lt;E49,E49/I49-1,I49/E49-1)</f>
        <v>7.8125E-2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0.16666666666666674</v>
      </c>
      <c r="F55" s="501" t="str">
        <f>IF(OR(E55&gt;=0.3,E55&lt;=-0.3),"超过30%","")</f>
        <v/>
      </c>
      <c r="G55" s="500">
        <f>IF(G48&lt;I48,I48/G48-1,G48/I48-1)</f>
        <v>8.3333333333333259E-2</v>
      </c>
      <c r="H55" s="501" t="str">
        <f>IF(OR(G55&gt;=0.3,G55&lt;=-0.3),"超过30%","")</f>
        <v/>
      </c>
      <c r="I55" s="500">
        <f>IF(I48&lt;E48,E48/I48-1,I48/E48-1)</f>
        <v>7.6923076923076872E-2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2588</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3108</v>
      </c>
      <c r="D87" s="2946" t="s">
        <v>3110</v>
      </c>
      <c r="E87" s="2946" t="s">
        <v>3111</v>
      </c>
      <c r="F87" s="2946" t="s">
        <v>3112</v>
      </c>
      <c r="G87" s="2946" t="s">
        <v>3113</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3114</v>
      </c>
      <c r="D89" s="2946" t="s">
        <v>3116</v>
      </c>
      <c r="E89" s="2946" t="s">
        <v>3118</v>
      </c>
      <c r="F89" s="2642"/>
      <c r="G89" s="555"/>
      <c r="H89" s="555"/>
      <c r="I89" s="555"/>
      <c r="J89" s="555"/>
      <c r="K89" s="555"/>
      <c r="L89" s="555"/>
      <c r="M89" s="582"/>
      <c r="N89" s="1155"/>
      <c r="O89" s="1155"/>
      <c r="P89" s="2691"/>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3133</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2"/>
      <c r="Q105" s="560"/>
    </row>
    <row r="106" spans="1:17" ht="15" thickTop="1">
      <c r="A106" s="600"/>
      <c r="B106" s="539" t="s">
        <v>2615</v>
      </c>
      <c r="C106" s="2946" t="s">
        <v>3093</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3094</v>
      </c>
      <c r="D108" s="2946" t="s">
        <v>3096</v>
      </c>
      <c r="E108" s="2946" t="s">
        <v>3097</v>
      </c>
      <c r="F108" s="2947" t="s">
        <v>3098</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3100</v>
      </c>
      <c r="D113" s="2946" t="s">
        <v>3101</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3102</v>
      </c>
      <c r="D115" s="2946" t="s">
        <v>3104</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3106</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3107</v>
      </c>
      <c r="D119" s="2947" t="s">
        <v>3135</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3094</v>
      </c>
      <c r="D123" s="2946" t="s">
        <v>3096</v>
      </c>
      <c r="E123" s="2946" t="s">
        <v>3097</v>
      </c>
      <c r="F123" s="2947" t="s">
        <v>3098</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66"/>
      <c r="B4" s="3028" t="s">
        <v>1631</v>
      </c>
      <c r="C4" s="3028"/>
      <c r="D4" s="3028"/>
      <c r="E4" s="1966"/>
    </row>
    <row r="5" spans="1:5" ht="16.5" thickTop="1">
      <c r="A5" s="1964"/>
      <c r="B5" s="3026" t="s">
        <v>1623</v>
      </c>
      <c r="C5" s="1967" t="s">
        <v>1624</v>
      </c>
      <c r="D5" s="1044">
        <f ca="1">结果表!H101</f>
        <v>8502</v>
      </c>
      <c r="E5" s="1964"/>
    </row>
    <row r="6" spans="1:5" ht="15.75">
      <c r="A6" s="1964"/>
      <c r="B6" s="3026"/>
      <c r="C6" s="1967" t="s">
        <v>1625</v>
      </c>
      <c r="D6" s="1044" t="str">
        <f ca="1">NUMBERSTRING(INT(D5*10000),2)&amp;"元整"</f>
        <v>捌仟伍佰零贰万元整</v>
      </c>
      <c r="E6" s="1964"/>
    </row>
    <row r="7" spans="1:5" ht="15.75">
      <c r="A7" s="1964"/>
      <c r="B7" s="3031"/>
      <c r="C7" s="1968" t="s">
        <v>1626</v>
      </c>
      <c r="D7" s="1045">
        <f ca="1">结果表!H102</f>
        <v>43538</v>
      </c>
      <c r="E7" s="1964"/>
    </row>
    <row r="8" spans="1:5" ht="15.75">
      <c r="A8" s="1964"/>
      <c r="B8" s="3032" t="str">
        <f>结果表!E103</f>
        <v>2.估价师知悉的法定优先受偿款</v>
      </c>
      <c r="C8" s="1969" t="s">
        <v>1627</v>
      </c>
      <c r="D8" s="1045">
        <f>结果表!H103</f>
        <v>0</v>
      </c>
      <c r="E8" s="1964"/>
    </row>
    <row r="9" spans="1:5" ht="15.75">
      <c r="A9" s="1964"/>
      <c r="B9" s="3034"/>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3025" t="str">
        <f>结果表!E107</f>
        <v>3.房地产抵押价值</v>
      </c>
      <c r="C13" s="1972" t="s">
        <v>1624</v>
      </c>
      <c r="D13" s="1047">
        <f ca="1">结果表!H107</f>
        <v>8502</v>
      </c>
      <c r="E13" s="1964"/>
    </row>
    <row r="14" spans="1:5" ht="15.75">
      <c r="A14" s="1964"/>
      <c r="B14" s="3026"/>
      <c r="C14" s="1967" t="s">
        <v>1625</v>
      </c>
      <c r="D14" s="1044" t="str">
        <f ca="1">NUMBERSTRING(INT(D13*10000),2)&amp;"元整"</f>
        <v>捌仟伍佰零贰万元整</v>
      </c>
      <c r="E14" s="1964"/>
    </row>
    <row r="15" spans="1:5" ht="15">
      <c r="A15" s="1964"/>
      <c r="B15" s="3031"/>
      <c r="C15" s="1968" t="s">
        <v>1635</v>
      </c>
      <c r="D15" s="1056">
        <f ca="1">结果表!H108</f>
        <v>43538</v>
      </c>
      <c r="E15" s="1964"/>
    </row>
    <row r="16" spans="1:5" ht="15">
      <c r="A16" s="1964"/>
      <c r="B16" s="3032" t="str">
        <f>结果表!E109</f>
        <v>——</v>
      </c>
      <c r="C16" s="1972" t="s">
        <v>1636</v>
      </c>
      <c r="D16" s="1973" t="str">
        <f>结果表!H109</f>
        <v>——</v>
      </c>
      <c r="E16" s="1964"/>
    </row>
    <row r="17" spans="1:5" ht="15.75">
      <c r="A17" s="1964"/>
      <c r="B17" s="3033"/>
      <c r="C17" s="1967" t="s">
        <v>1637</v>
      </c>
      <c r="D17" s="1044" t="e">
        <f>NUMBERSTRING(INT(D16*10000),2)&amp;"元整"</f>
        <v>#VALUE!</v>
      </c>
      <c r="E17" s="1964"/>
    </row>
    <row r="18" spans="1:5" ht="15">
      <c r="A18" s="1964"/>
      <c r="B18" s="3034"/>
      <c r="C18" s="1968" t="s">
        <v>1626</v>
      </c>
      <c r="D18" s="1056" t="str">
        <f>结果表!H110</f>
        <v>——</v>
      </c>
      <c r="E18" s="1964"/>
    </row>
    <row r="19" spans="1:5" ht="15.75">
      <c r="A19" s="1964"/>
      <c r="B19" s="3025" t="str">
        <f>结果表!E111</f>
        <v>——</v>
      </c>
      <c r="C19" s="1972" t="s">
        <v>1624</v>
      </c>
      <c r="D19" s="1045" t="str">
        <f>结果表!H111</f>
        <v>——</v>
      </c>
      <c r="E19" s="1964"/>
    </row>
    <row r="20" spans="1:5" ht="15.75">
      <c r="A20" s="1964"/>
      <c r="B20" s="3026"/>
      <c r="C20" s="1967" t="s">
        <v>1637</v>
      </c>
      <c r="D20" s="1044" t="e">
        <f>NUMBERSTRING(INT(D19*10000),2)&amp;"元整"</f>
        <v>#VALUE!</v>
      </c>
      <c r="E20" s="1964"/>
    </row>
    <row r="21" spans="1:5" ht="15.75" thickBot="1">
      <c r="A21" s="1964"/>
      <c r="B21" s="3027"/>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1" sqref="C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3008</v>
      </c>
      <c r="C1" s="3344" t="s">
        <v>3009</v>
      </c>
      <c r="D1" s="3345"/>
      <c r="E1" s="3345"/>
      <c r="F1" s="3345"/>
      <c r="G1" s="3345"/>
      <c r="H1" s="3345"/>
      <c r="I1" s="3345"/>
      <c r="J1" s="3345"/>
      <c r="K1" s="3345"/>
      <c r="L1" s="3345"/>
      <c r="M1" s="3345"/>
      <c r="N1" s="3345"/>
      <c r="O1" s="3345"/>
      <c r="P1" s="3345"/>
      <c r="Q1" s="3345"/>
      <c r="R1" s="3345"/>
      <c r="S1" s="3346"/>
      <c r="T1" s="1208" t="s">
        <v>3010</v>
      </c>
    </row>
    <row r="2" spans="1:45" s="708" customFormat="1" ht="38.25">
      <c r="A2" s="1209"/>
      <c r="B2" s="704" t="s">
        <v>3011</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3012</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3013</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3014</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3015</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3016</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3017</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3018</v>
      </c>
      <c r="B17" s="2924" t="s">
        <v>3019</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3020</v>
      </c>
      <c r="E19" s="1797"/>
      <c r="F19" s="1797"/>
      <c r="G19" s="1797"/>
      <c r="H19" s="1284"/>
      <c r="I19" s="169"/>
      <c r="J19" s="169"/>
      <c r="K19" s="169"/>
      <c r="L19" s="169"/>
      <c r="M19" s="169"/>
      <c r="N19" s="169"/>
      <c r="O19" s="169"/>
      <c r="P19" s="169"/>
      <c r="Q19" s="169"/>
      <c r="R19" s="789"/>
      <c r="S19" s="138"/>
    </row>
    <row r="20" spans="1:45" ht="16.5" thickBot="1">
      <c r="A20" s="716" t="s">
        <v>3021</v>
      </c>
      <c r="B20" s="339">
        <f ca="1">IF(D20="——",S22,S22-F20)</f>
        <v>21638</v>
      </c>
      <c r="C20" s="169"/>
      <c r="D20" s="2926" t="s">
        <v>70</v>
      </c>
      <c r="E20" s="1798"/>
      <c r="F20" s="1208" t="e">
        <f ca="1">SUMIF(INDIRECT("'"&amp;H20&amp;"'"&amp;"!A:A"),"承租人权益价值",INDIRECT("'"&amp;H20&amp;"'"&amp;"!c:c"))</f>
        <v>#REF!</v>
      </c>
      <c r="G20" s="1208" t="s">
        <v>3022</v>
      </c>
      <c r="H20" s="2927"/>
      <c r="I20" s="169"/>
      <c r="J20" s="169"/>
      <c r="K20" s="169"/>
      <c r="L20" s="169"/>
      <c r="M20" s="169"/>
      <c r="N20" s="169"/>
      <c r="O20" s="169"/>
      <c r="P20" s="169"/>
      <c r="Q20" s="169"/>
      <c r="R20" s="789"/>
      <c r="S20" s="138"/>
    </row>
    <row r="21" spans="1:45" ht="15.75">
      <c r="A21" s="716" t="s">
        <v>3023</v>
      </c>
      <c r="B21" s="339">
        <f ca="1">R22</f>
        <v>43782</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4942.2700000000004</v>
      </c>
      <c r="C22" s="3205" t="s">
        <v>33</v>
      </c>
      <c r="D22" s="3206"/>
      <c r="E22" s="3206"/>
      <c r="F22" s="3206"/>
      <c r="G22" s="3206"/>
      <c r="H22" s="3206"/>
      <c r="I22" s="3206"/>
      <c r="J22" s="3206"/>
      <c r="K22" s="3206"/>
      <c r="L22" s="3206"/>
      <c r="M22" s="3206"/>
      <c r="N22" s="3206"/>
      <c r="O22" s="3206"/>
      <c r="P22" s="3206"/>
      <c r="Q22" s="3343"/>
      <c r="R22" s="717">
        <f ca="1">ROUND(S22*10000/B22,0)</f>
        <v>43782</v>
      </c>
      <c r="S22" s="24">
        <f ca="1">SUM(S24:S10000)</f>
        <v>21638</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'数据-基础表'!C13</f>
        <v>1-301</v>
      </c>
      <c r="B24" s="719">
        <f>'数据-基础表'!I13</f>
        <v>1952.76</v>
      </c>
      <c r="C24" s="720">
        <v>1</v>
      </c>
      <c r="D24" s="721"/>
      <c r="E24" s="720">
        <v>1</v>
      </c>
      <c r="F24" s="721"/>
      <c r="G24" s="720">
        <v>1</v>
      </c>
      <c r="H24" s="721"/>
      <c r="I24" s="720">
        <v>1</v>
      </c>
      <c r="J24" s="721"/>
      <c r="K24" s="720">
        <v>1</v>
      </c>
      <c r="L24" s="721"/>
      <c r="M24" s="720">
        <v>1</v>
      </c>
      <c r="N24" s="721"/>
      <c r="O24" s="720">
        <v>1</v>
      </c>
      <c r="P24" s="721"/>
      <c r="Q24" s="720">
        <v>1</v>
      </c>
      <c r="R24" s="722">
        <f ca="1">结果表!G20</f>
        <v>43539</v>
      </c>
      <c r="S24" s="720">
        <f t="shared" ref="S24:S54" ca="1" si="11">ROUND(R24*B24/10000,0)</f>
        <v>8502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t="str">
        <f>'数据-基础表'!C14</f>
        <v>1-501</v>
      </c>
      <c r="B25" s="719">
        <f>'数据-基础表'!I14</f>
        <v>1952.76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43539</v>
      </c>
      <c r="S25" s="362">
        <f t="shared" ca="1" si="11"/>
        <v>8502</v>
      </c>
    </row>
    <row r="26" spans="1:45">
      <c r="A26" s="719" t="str">
        <f>'数据-基础表'!C15</f>
        <v>1-601</v>
      </c>
      <c r="B26" s="719">
        <f>'数据-基础表'!I15</f>
        <v>455.72</v>
      </c>
      <c r="C26" s="24">
        <f t="shared" ref="C26:C89" si="12">IF(B26="",1,(LOOKUP(B26,$3:$3,$4:$4)-LOOKUP($B$24,$3:$3,$4:$4)+100)/100)</f>
        <v>1.02</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44410</v>
      </c>
      <c r="S26" s="362">
        <f t="shared" ca="1" si="11"/>
        <v>2024</v>
      </c>
    </row>
    <row r="27" spans="1:45">
      <c r="A27" s="719" t="str">
        <f>'数据-基础表'!C16</f>
        <v>1-602</v>
      </c>
      <c r="B27" s="719">
        <f>'数据-基础表'!I16</f>
        <v>108.39</v>
      </c>
      <c r="C27" s="24">
        <f t="shared" si="12"/>
        <v>1.04</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45281</v>
      </c>
      <c r="S27" s="362">
        <f t="shared" ca="1" si="11"/>
        <v>491</v>
      </c>
    </row>
    <row r="28" spans="1:45">
      <c r="A28" s="719" t="str">
        <f>'数据-基础表'!C17</f>
        <v>1-603</v>
      </c>
      <c r="B28" s="719">
        <f>'数据-基础表'!I17</f>
        <v>210.56</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44845</v>
      </c>
      <c r="S28" s="362">
        <f t="shared" ca="1" si="11"/>
        <v>944</v>
      </c>
    </row>
    <row r="29" spans="1:45">
      <c r="A29" s="719" t="str">
        <f>'数据-基础表'!C18</f>
        <v>1-605</v>
      </c>
      <c r="B29" s="719">
        <f>'数据-基础表'!I18</f>
        <v>262.08</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44845</v>
      </c>
      <c r="S29" s="362">
        <f t="shared" ca="1" si="11"/>
        <v>1175</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30366</v>
      </c>
      <c r="C2" s="2" t="s">
        <v>133</v>
      </c>
      <c r="D2" s="244"/>
      <c r="E2" s="244"/>
      <c r="F2" s="244"/>
      <c r="G2" s="244"/>
    </row>
    <row r="3" spans="1:7" s="245" customFormat="1" ht="18" customHeight="1" thickBot="1">
      <c r="A3" s="248" t="s">
        <v>85</v>
      </c>
      <c r="B3" s="249">
        <f ca="1">ROUND(B2*10000/'数据-汇总表'!E3,0)</f>
        <v>155503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1952.76</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39</v>
      </c>
      <c r="D19" s="1040">
        <f>'数据-汇总表'!E3</f>
        <v>1952.76</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2028</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4</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4212</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4212</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29622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633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586</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20</v>
      </c>
      <c r="D37" s="262">
        <f>'数据-汇总表'!E3</f>
        <v>1952.76</v>
      </c>
      <c r="E37" s="294">
        <f>'数据-取费表'!B35</f>
        <v>100</v>
      </c>
      <c r="F37" s="304"/>
      <c r="G37" s="306" t="s">
        <v>119</v>
      </c>
    </row>
    <row r="38" spans="1:7" ht="13.5" customHeight="1">
      <c r="A38" s="955" t="s">
        <v>799</v>
      </c>
      <c r="B38" s="260" t="s">
        <v>63</v>
      </c>
      <c r="C38" s="265">
        <f>ROUND(C34*F38,0)</f>
        <v>9</v>
      </c>
      <c r="D38" s="265"/>
      <c r="E38" s="265"/>
      <c r="F38" s="304">
        <f>'数据-取费表'!B36</f>
        <v>1.4999999999999999E-2</v>
      </c>
      <c r="G38" s="264" t="s">
        <v>117</v>
      </c>
    </row>
    <row r="39" spans="1:7" s="259" customFormat="1" ht="13.5" customHeight="1">
      <c r="A39" s="952" t="s">
        <v>783</v>
      </c>
      <c r="B39" s="255" t="s">
        <v>104</v>
      </c>
      <c r="C39" s="277">
        <f>ROUND(C33*F20,0)</f>
        <v>13</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31</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30</v>
      </c>
      <c r="D42" s="283"/>
      <c r="E42" s="283"/>
      <c r="F42" s="284"/>
      <c r="G42" s="3210" t="s">
        <v>121</v>
      </c>
    </row>
    <row r="43" spans="1:7" ht="13.5" customHeight="1">
      <c r="A43" s="955" t="s">
        <v>792</v>
      </c>
      <c r="B43" s="260" t="s">
        <v>1064</v>
      </c>
      <c r="C43" s="283">
        <f ca="1">ROUND(IF('数据-取费表'!B22&lt;=1,C39*F22*'数据-取费表'!B21/2,C39*(POWER((1+F22),'数据-取费表'!B21/2)-1)),0)</f>
        <v>1</v>
      </c>
      <c r="D43" s="283"/>
      <c r="E43" s="283"/>
      <c r="F43" s="284"/>
      <c r="G43" s="3211"/>
    </row>
    <row r="44" spans="1:7" ht="13.5" customHeight="1">
      <c r="A44" s="955" t="s">
        <v>793</v>
      </c>
      <c r="B44" s="260" t="s">
        <v>1066</v>
      </c>
      <c r="C44" s="283">
        <f ca="1">ROUND(IF('数据-取费表'!B22&lt;=1,C40*F22*'数据-取费表'!B21/2,C40*(POWER((1+F22),'数据-取费表'!B21/2)-1)),4)</f>
        <v>1E-3</v>
      </c>
      <c r="D44" s="283"/>
      <c r="E44" s="283"/>
      <c r="F44" s="284"/>
      <c r="G44" s="3212"/>
    </row>
    <row r="45" spans="1:7" s="259" customFormat="1" ht="13.5" customHeight="1">
      <c r="A45" s="952" t="s">
        <v>786</v>
      </c>
      <c r="B45" s="289" t="s">
        <v>112</v>
      </c>
      <c r="C45" s="290">
        <f>C46</f>
        <v>129</v>
      </c>
      <c r="D45" s="280">
        <f>C47</f>
        <v>4.0000000000000001E-3</v>
      </c>
      <c r="E45" s="281" t="s">
        <v>129</v>
      </c>
      <c r="F45" s="291"/>
      <c r="G45" s="292" t="s">
        <v>1072</v>
      </c>
    </row>
    <row r="46" spans="1:7" s="259" customFormat="1" ht="13.5" customHeight="1">
      <c r="A46" s="955" t="s">
        <v>794</v>
      </c>
      <c r="B46" s="293" t="s">
        <v>1065</v>
      </c>
      <c r="C46" s="294">
        <f>ROUND((C33+C39)*F27,0)</f>
        <v>129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875</v>
      </c>
      <c r="D49" s="277"/>
      <c r="E49" s="277"/>
      <c r="F49" s="309"/>
      <c r="G49" s="279" t="s">
        <v>1073</v>
      </c>
    </row>
    <row r="50" spans="1:7" s="303" customFormat="1" ht="24">
      <c r="A50" s="952" t="s">
        <v>789</v>
      </c>
      <c r="B50" s="255" t="s">
        <v>124</v>
      </c>
      <c r="C50" s="277"/>
      <c r="D50" s="277"/>
      <c r="E50" s="277"/>
      <c r="F50" s="309">
        <f>IF('数据-取费表'!B24=0,'数据-取费表'!N16,1)</f>
        <v>0.85</v>
      </c>
      <c r="G50" s="292" t="s">
        <v>125</v>
      </c>
    </row>
    <row r="51" spans="1:7" ht="16.5" customHeight="1">
      <c r="A51" s="952" t="s">
        <v>790</v>
      </c>
      <c r="B51" s="255" t="s">
        <v>132</v>
      </c>
      <c r="C51" s="277">
        <f ca="1">ROUND(C49*F50,0)</f>
        <v>744</v>
      </c>
      <c r="D51" s="277"/>
      <c r="E51" s="277"/>
      <c r="F51" s="309"/>
      <c r="G51" s="279" t="s">
        <v>64</v>
      </c>
    </row>
    <row r="52" spans="1:7" s="253" customFormat="1" ht="16.5" thickBot="1">
      <c r="A52" s="310" t="s">
        <v>65</v>
      </c>
      <c r="B52" s="311"/>
      <c r="C52" s="312">
        <f ca="1">C31+C51</f>
        <v>30366</v>
      </c>
      <c r="D52" s="311"/>
      <c r="E52" s="311"/>
      <c r="F52" s="311"/>
      <c r="G52" s="313"/>
    </row>
    <row r="55" spans="1:7" ht="15">
      <c r="B55" s="315" t="s">
        <v>66</v>
      </c>
      <c r="C55" s="316"/>
    </row>
    <row r="56" spans="1:7">
      <c r="B56" s="318" t="s">
        <v>67</v>
      </c>
      <c r="C56" s="319">
        <f ca="1">ROUND(C51/C52,3)</f>
        <v>2.5000000000000001E-2</v>
      </c>
    </row>
    <row r="57" spans="1:7">
      <c r="B57" s="318" t="s">
        <v>68</v>
      </c>
      <c r="C57" s="320">
        <f ca="1">1-C56</f>
        <v>0.97499999999999998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47" t="s">
        <v>156</v>
      </c>
      <c r="B1" s="3347"/>
      <c r="C1" s="3347"/>
      <c r="D1" s="3347"/>
      <c r="E1" s="3347"/>
      <c r="F1" s="3347"/>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48" t="s">
        <v>169</v>
      </c>
      <c r="B2" s="3348"/>
      <c r="C2" s="3348"/>
      <c r="D2" s="3348"/>
      <c r="E2" s="3348"/>
      <c r="F2" s="3348"/>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49"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50"/>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47" t="s">
        <v>871</v>
      </c>
      <c r="B1" s="3347"/>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P70" sqref="P70"/>
    </sheetView>
  </sheetViews>
  <sheetFormatPr defaultRowHeight="13.5"/>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selection activeCell="L29" sqref="L29"/>
    </sheetView>
  </sheetViews>
  <sheetFormatPr defaultRowHeight="14.25"/>
  <cols>
    <col min="1" max="1" width="4.625" style="2951" customWidth="1"/>
    <col min="2" max="2" width="12.125" style="2970" customWidth="1"/>
    <col min="3" max="3" width="35.75" style="2951" customWidth="1"/>
    <col min="4" max="4" width="6" style="2951" customWidth="1"/>
    <col min="5" max="5" width="9.375" style="2951" customWidth="1"/>
    <col min="6" max="6" width="9.75" style="2951" customWidth="1"/>
    <col min="7" max="7" width="10.125" style="2951" customWidth="1"/>
    <col min="8" max="8" width="10.25" style="2951" customWidth="1"/>
    <col min="9" max="9" width="10.625" style="2951" customWidth="1"/>
    <col min="10" max="10" width="13.75" style="2951" customWidth="1"/>
    <col min="11" max="11" width="9.5" style="2951" customWidth="1"/>
    <col min="12" max="12" width="18.625" style="2951" customWidth="1"/>
    <col min="13" max="256" width="9" style="2951"/>
    <col min="257" max="257" width="4.625" style="2951" customWidth="1"/>
    <col min="258" max="258" width="12.125" style="2951" customWidth="1"/>
    <col min="259" max="259" width="35.75" style="2951" customWidth="1"/>
    <col min="260" max="260" width="6" style="2951" customWidth="1"/>
    <col min="261" max="261" width="9.375" style="2951" customWidth="1"/>
    <col min="262" max="262" width="9.75" style="2951" customWidth="1"/>
    <col min="263" max="263" width="10.125" style="2951" customWidth="1"/>
    <col min="264" max="264" width="10.25" style="2951" customWidth="1"/>
    <col min="265" max="265" width="10.625" style="2951" customWidth="1"/>
    <col min="266" max="266" width="13.75" style="2951" customWidth="1"/>
    <col min="267" max="267" width="9.5" style="2951" customWidth="1"/>
    <col min="268" max="268" width="18.625" style="2951" customWidth="1"/>
    <col min="269" max="512" width="9" style="2951"/>
    <col min="513" max="513" width="4.625" style="2951" customWidth="1"/>
    <col min="514" max="514" width="12.125" style="2951" customWidth="1"/>
    <col min="515" max="515" width="35.75" style="2951" customWidth="1"/>
    <col min="516" max="516" width="6" style="2951" customWidth="1"/>
    <col min="517" max="517" width="9.375" style="2951" customWidth="1"/>
    <col min="518" max="518" width="9.75" style="2951" customWidth="1"/>
    <col min="519" max="519" width="10.125" style="2951" customWidth="1"/>
    <col min="520" max="520" width="10.25" style="2951" customWidth="1"/>
    <col min="521" max="521" width="10.625" style="2951" customWidth="1"/>
    <col min="522" max="522" width="13.75" style="2951" customWidth="1"/>
    <col min="523" max="523" width="9.5" style="2951" customWidth="1"/>
    <col min="524" max="524" width="18.625" style="2951" customWidth="1"/>
    <col min="525" max="768" width="9" style="2951"/>
    <col min="769" max="769" width="4.625" style="2951" customWidth="1"/>
    <col min="770" max="770" width="12.125" style="2951" customWidth="1"/>
    <col min="771" max="771" width="35.75" style="2951" customWidth="1"/>
    <col min="772" max="772" width="6" style="2951" customWidth="1"/>
    <col min="773" max="773" width="9.375" style="2951" customWidth="1"/>
    <col min="774" max="774" width="9.75" style="2951" customWidth="1"/>
    <col min="775" max="775" width="10.125" style="2951" customWidth="1"/>
    <col min="776" max="776" width="10.25" style="2951" customWidth="1"/>
    <col min="777" max="777" width="10.625" style="2951" customWidth="1"/>
    <col min="778" max="778" width="13.75" style="2951" customWidth="1"/>
    <col min="779" max="779" width="9.5" style="2951" customWidth="1"/>
    <col min="780" max="780" width="18.625" style="2951" customWidth="1"/>
    <col min="781" max="1024" width="9" style="2951"/>
    <col min="1025" max="1025" width="4.625" style="2951" customWidth="1"/>
    <col min="1026" max="1026" width="12.125" style="2951" customWidth="1"/>
    <col min="1027" max="1027" width="35.75" style="2951" customWidth="1"/>
    <col min="1028" max="1028" width="6" style="2951" customWidth="1"/>
    <col min="1029" max="1029" width="9.375" style="2951" customWidth="1"/>
    <col min="1030" max="1030" width="9.75" style="2951" customWidth="1"/>
    <col min="1031" max="1031" width="10.125" style="2951" customWidth="1"/>
    <col min="1032" max="1032" width="10.25" style="2951" customWidth="1"/>
    <col min="1033" max="1033" width="10.625" style="2951" customWidth="1"/>
    <col min="1034" max="1034" width="13.75" style="2951" customWidth="1"/>
    <col min="1035" max="1035" width="9.5" style="2951" customWidth="1"/>
    <col min="1036" max="1036" width="18.625" style="2951" customWidth="1"/>
    <col min="1037" max="1280" width="9" style="2951"/>
    <col min="1281" max="1281" width="4.625" style="2951" customWidth="1"/>
    <col min="1282" max="1282" width="12.125" style="2951" customWidth="1"/>
    <col min="1283" max="1283" width="35.75" style="2951" customWidth="1"/>
    <col min="1284" max="1284" width="6" style="2951" customWidth="1"/>
    <col min="1285" max="1285" width="9.375" style="2951" customWidth="1"/>
    <col min="1286" max="1286" width="9.75" style="2951" customWidth="1"/>
    <col min="1287" max="1287" width="10.125" style="2951" customWidth="1"/>
    <col min="1288" max="1288" width="10.25" style="2951" customWidth="1"/>
    <col min="1289" max="1289" width="10.625" style="2951" customWidth="1"/>
    <col min="1290" max="1290" width="13.75" style="2951" customWidth="1"/>
    <col min="1291" max="1291" width="9.5" style="2951" customWidth="1"/>
    <col min="1292" max="1292" width="18.625" style="2951" customWidth="1"/>
    <col min="1293" max="1536" width="9" style="2951"/>
    <col min="1537" max="1537" width="4.625" style="2951" customWidth="1"/>
    <col min="1538" max="1538" width="12.125" style="2951" customWidth="1"/>
    <col min="1539" max="1539" width="35.75" style="2951" customWidth="1"/>
    <col min="1540" max="1540" width="6" style="2951" customWidth="1"/>
    <col min="1541" max="1541" width="9.375" style="2951" customWidth="1"/>
    <col min="1542" max="1542" width="9.75" style="2951" customWidth="1"/>
    <col min="1543" max="1543" width="10.125" style="2951" customWidth="1"/>
    <col min="1544" max="1544" width="10.25" style="2951" customWidth="1"/>
    <col min="1545" max="1545" width="10.625" style="2951" customWidth="1"/>
    <col min="1546" max="1546" width="13.75" style="2951" customWidth="1"/>
    <col min="1547" max="1547" width="9.5" style="2951" customWidth="1"/>
    <col min="1548" max="1548" width="18.625" style="2951" customWidth="1"/>
    <col min="1549" max="1792" width="9" style="2951"/>
    <col min="1793" max="1793" width="4.625" style="2951" customWidth="1"/>
    <col min="1794" max="1794" width="12.125" style="2951" customWidth="1"/>
    <col min="1795" max="1795" width="35.75" style="2951" customWidth="1"/>
    <col min="1796" max="1796" width="6" style="2951" customWidth="1"/>
    <col min="1797" max="1797" width="9.375" style="2951" customWidth="1"/>
    <col min="1798" max="1798" width="9.75" style="2951" customWidth="1"/>
    <col min="1799" max="1799" width="10.125" style="2951" customWidth="1"/>
    <col min="1800" max="1800" width="10.25" style="2951" customWidth="1"/>
    <col min="1801" max="1801" width="10.625" style="2951" customWidth="1"/>
    <col min="1802" max="1802" width="13.75" style="2951" customWidth="1"/>
    <col min="1803" max="1803" width="9.5" style="2951" customWidth="1"/>
    <col min="1804" max="1804" width="18.625" style="2951" customWidth="1"/>
    <col min="1805" max="2048" width="9" style="2951"/>
    <col min="2049" max="2049" width="4.625" style="2951" customWidth="1"/>
    <col min="2050" max="2050" width="12.125" style="2951" customWidth="1"/>
    <col min="2051" max="2051" width="35.75" style="2951" customWidth="1"/>
    <col min="2052" max="2052" width="6" style="2951" customWidth="1"/>
    <col min="2053" max="2053" width="9.375" style="2951" customWidth="1"/>
    <col min="2054" max="2054" width="9.75" style="2951" customWidth="1"/>
    <col min="2055" max="2055" width="10.125" style="2951" customWidth="1"/>
    <col min="2056" max="2056" width="10.25" style="2951" customWidth="1"/>
    <col min="2057" max="2057" width="10.625" style="2951" customWidth="1"/>
    <col min="2058" max="2058" width="13.75" style="2951" customWidth="1"/>
    <col min="2059" max="2059" width="9.5" style="2951" customWidth="1"/>
    <col min="2060" max="2060" width="18.625" style="2951" customWidth="1"/>
    <col min="2061" max="2304" width="9" style="2951"/>
    <col min="2305" max="2305" width="4.625" style="2951" customWidth="1"/>
    <col min="2306" max="2306" width="12.125" style="2951" customWidth="1"/>
    <col min="2307" max="2307" width="35.75" style="2951" customWidth="1"/>
    <col min="2308" max="2308" width="6" style="2951" customWidth="1"/>
    <col min="2309" max="2309" width="9.375" style="2951" customWidth="1"/>
    <col min="2310" max="2310" width="9.75" style="2951" customWidth="1"/>
    <col min="2311" max="2311" width="10.125" style="2951" customWidth="1"/>
    <col min="2312" max="2312" width="10.25" style="2951" customWidth="1"/>
    <col min="2313" max="2313" width="10.625" style="2951" customWidth="1"/>
    <col min="2314" max="2314" width="13.75" style="2951" customWidth="1"/>
    <col min="2315" max="2315" width="9.5" style="2951" customWidth="1"/>
    <col min="2316" max="2316" width="18.625" style="2951" customWidth="1"/>
    <col min="2317" max="2560" width="9" style="2951"/>
    <col min="2561" max="2561" width="4.625" style="2951" customWidth="1"/>
    <col min="2562" max="2562" width="12.125" style="2951" customWidth="1"/>
    <col min="2563" max="2563" width="35.75" style="2951" customWidth="1"/>
    <col min="2564" max="2564" width="6" style="2951" customWidth="1"/>
    <col min="2565" max="2565" width="9.375" style="2951" customWidth="1"/>
    <col min="2566" max="2566" width="9.75" style="2951" customWidth="1"/>
    <col min="2567" max="2567" width="10.125" style="2951" customWidth="1"/>
    <col min="2568" max="2568" width="10.25" style="2951" customWidth="1"/>
    <col min="2569" max="2569" width="10.625" style="2951" customWidth="1"/>
    <col min="2570" max="2570" width="13.75" style="2951" customWidth="1"/>
    <col min="2571" max="2571" width="9.5" style="2951" customWidth="1"/>
    <col min="2572" max="2572" width="18.625" style="2951" customWidth="1"/>
    <col min="2573" max="2816" width="9" style="2951"/>
    <col min="2817" max="2817" width="4.625" style="2951" customWidth="1"/>
    <col min="2818" max="2818" width="12.125" style="2951" customWidth="1"/>
    <col min="2819" max="2819" width="35.75" style="2951" customWidth="1"/>
    <col min="2820" max="2820" width="6" style="2951" customWidth="1"/>
    <col min="2821" max="2821" width="9.375" style="2951" customWidth="1"/>
    <col min="2822" max="2822" width="9.75" style="2951" customWidth="1"/>
    <col min="2823" max="2823" width="10.125" style="2951" customWidth="1"/>
    <col min="2824" max="2824" width="10.25" style="2951" customWidth="1"/>
    <col min="2825" max="2825" width="10.625" style="2951" customWidth="1"/>
    <col min="2826" max="2826" width="13.75" style="2951" customWidth="1"/>
    <col min="2827" max="2827" width="9.5" style="2951" customWidth="1"/>
    <col min="2828" max="2828" width="18.625" style="2951" customWidth="1"/>
    <col min="2829" max="3072" width="9" style="2951"/>
    <col min="3073" max="3073" width="4.625" style="2951" customWidth="1"/>
    <col min="3074" max="3074" width="12.125" style="2951" customWidth="1"/>
    <col min="3075" max="3075" width="35.75" style="2951" customWidth="1"/>
    <col min="3076" max="3076" width="6" style="2951" customWidth="1"/>
    <col min="3077" max="3077" width="9.375" style="2951" customWidth="1"/>
    <col min="3078" max="3078" width="9.75" style="2951" customWidth="1"/>
    <col min="3079" max="3079" width="10.125" style="2951" customWidth="1"/>
    <col min="3080" max="3080" width="10.25" style="2951" customWidth="1"/>
    <col min="3081" max="3081" width="10.625" style="2951" customWidth="1"/>
    <col min="3082" max="3082" width="13.75" style="2951" customWidth="1"/>
    <col min="3083" max="3083" width="9.5" style="2951" customWidth="1"/>
    <col min="3084" max="3084" width="18.625" style="2951" customWidth="1"/>
    <col min="3085" max="3328" width="9" style="2951"/>
    <col min="3329" max="3329" width="4.625" style="2951" customWidth="1"/>
    <col min="3330" max="3330" width="12.125" style="2951" customWidth="1"/>
    <col min="3331" max="3331" width="35.75" style="2951" customWidth="1"/>
    <col min="3332" max="3332" width="6" style="2951" customWidth="1"/>
    <col min="3333" max="3333" width="9.375" style="2951" customWidth="1"/>
    <col min="3334" max="3334" width="9.75" style="2951" customWidth="1"/>
    <col min="3335" max="3335" width="10.125" style="2951" customWidth="1"/>
    <col min="3336" max="3336" width="10.25" style="2951" customWidth="1"/>
    <col min="3337" max="3337" width="10.625" style="2951" customWidth="1"/>
    <col min="3338" max="3338" width="13.75" style="2951" customWidth="1"/>
    <col min="3339" max="3339" width="9.5" style="2951" customWidth="1"/>
    <col min="3340" max="3340" width="18.625" style="2951" customWidth="1"/>
    <col min="3341" max="3584" width="9" style="2951"/>
    <col min="3585" max="3585" width="4.625" style="2951" customWidth="1"/>
    <col min="3586" max="3586" width="12.125" style="2951" customWidth="1"/>
    <col min="3587" max="3587" width="35.75" style="2951" customWidth="1"/>
    <col min="3588" max="3588" width="6" style="2951" customWidth="1"/>
    <col min="3589" max="3589" width="9.375" style="2951" customWidth="1"/>
    <col min="3590" max="3590" width="9.75" style="2951" customWidth="1"/>
    <col min="3591" max="3591" width="10.125" style="2951" customWidth="1"/>
    <col min="3592" max="3592" width="10.25" style="2951" customWidth="1"/>
    <col min="3593" max="3593" width="10.625" style="2951" customWidth="1"/>
    <col min="3594" max="3594" width="13.75" style="2951" customWidth="1"/>
    <col min="3595" max="3595" width="9.5" style="2951" customWidth="1"/>
    <col min="3596" max="3596" width="18.625" style="2951" customWidth="1"/>
    <col min="3597" max="3840" width="9" style="2951"/>
    <col min="3841" max="3841" width="4.625" style="2951" customWidth="1"/>
    <col min="3842" max="3842" width="12.125" style="2951" customWidth="1"/>
    <col min="3843" max="3843" width="35.75" style="2951" customWidth="1"/>
    <col min="3844" max="3844" width="6" style="2951" customWidth="1"/>
    <col min="3845" max="3845" width="9.375" style="2951" customWidth="1"/>
    <col min="3846" max="3846" width="9.75" style="2951" customWidth="1"/>
    <col min="3847" max="3847" width="10.125" style="2951" customWidth="1"/>
    <col min="3848" max="3848" width="10.25" style="2951" customWidth="1"/>
    <col min="3849" max="3849" width="10.625" style="2951" customWidth="1"/>
    <col min="3850" max="3850" width="13.75" style="2951" customWidth="1"/>
    <col min="3851" max="3851" width="9.5" style="2951" customWidth="1"/>
    <col min="3852" max="3852" width="18.625" style="2951" customWidth="1"/>
    <col min="3853" max="4096" width="9" style="2951"/>
    <col min="4097" max="4097" width="4.625" style="2951" customWidth="1"/>
    <col min="4098" max="4098" width="12.125" style="2951" customWidth="1"/>
    <col min="4099" max="4099" width="35.75" style="2951" customWidth="1"/>
    <col min="4100" max="4100" width="6" style="2951" customWidth="1"/>
    <col min="4101" max="4101" width="9.375" style="2951" customWidth="1"/>
    <col min="4102" max="4102" width="9.75" style="2951" customWidth="1"/>
    <col min="4103" max="4103" width="10.125" style="2951" customWidth="1"/>
    <col min="4104" max="4104" width="10.25" style="2951" customWidth="1"/>
    <col min="4105" max="4105" width="10.625" style="2951" customWidth="1"/>
    <col min="4106" max="4106" width="13.75" style="2951" customWidth="1"/>
    <col min="4107" max="4107" width="9.5" style="2951" customWidth="1"/>
    <col min="4108" max="4108" width="18.625" style="2951" customWidth="1"/>
    <col min="4109" max="4352" width="9" style="2951"/>
    <col min="4353" max="4353" width="4.625" style="2951" customWidth="1"/>
    <col min="4354" max="4354" width="12.125" style="2951" customWidth="1"/>
    <col min="4355" max="4355" width="35.75" style="2951" customWidth="1"/>
    <col min="4356" max="4356" width="6" style="2951" customWidth="1"/>
    <col min="4357" max="4357" width="9.375" style="2951" customWidth="1"/>
    <col min="4358" max="4358" width="9.75" style="2951" customWidth="1"/>
    <col min="4359" max="4359" width="10.125" style="2951" customWidth="1"/>
    <col min="4360" max="4360" width="10.25" style="2951" customWidth="1"/>
    <col min="4361" max="4361" width="10.625" style="2951" customWidth="1"/>
    <col min="4362" max="4362" width="13.75" style="2951" customWidth="1"/>
    <col min="4363" max="4363" width="9.5" style="2951" customWidth="1"/>
    <col min="4364" max="4364" width="18.625" style="2951" customWidth="1"/>
    <col min="4365" max="4608" width="9" style="2951"/>
    <col min="4609" max="4609" width="4.625" style="2951" customWidth="1"/>
    <col min="4610" max="4610" width="12.125" style="2951" customWidth="1"/>
    <col min="4611" max="4611" width="35.75" style="2951" customWidth="1"/>
    <col min="4612" max="4612" width="6" style="2951" customWidth="1"/>
    <col min="4613" max="4613" width="9.375" style="2951" customWidth="1"/>
    <col min="4614" max="4614" width="9.75" style="2951" customWidth="1"/>
    <col min="4615" max="4615" width="10.125" style="2951" customWidth="1"/>
    <col min="4616" max="4616" width="10.25" style="2951" customWidth="1"/>
    <col min="4617" max="4617" width="10.625" style="2951" customWidth="1"/>
    <col min="4618" max="4618" width="13.75" style="2951" customWidth="1"/>
    <col min="4619" max="4619" width="9.5" style="2951" customWidth="1"/>
    <col min="4620" max="4620" width="18.625" style="2951" customWidth="1"/>
    <col min="4621" max="4864" width="9" style="2951"/>
    <col min="4865" max="4865" width="4.625" style="2951" customWidth="1"/>
    <col min="4866" max="4866" width="12.125" style="2951" customWidth="1"/>
    <col min="4867" max="4867" width="35.75" style="2951" customWidth="1"/>
    <col min="4868" max="4868" width="6" style="2951" customWidth="1"/>
    <col min="4869" max="4869" width="9.375" style="2951" customWidth="1"/>
    <col min="4870" max="4870" width="9.75" style="2951" customWidth="1"/>
    <col min="4871" max="4871" width="10.125" style="2951" customWidth="1"/>
    <col min="4872" max="4872" width="10.25" style="2951" customWidth="1"/>
    <col min="4873" max="4873" width="10.625" style="2951" customWidth="1"/>
    <col min="4874" max="4874" width="13.75" style="2951" customWidth="1"/>
    <col min="4875" max="4875" width="9.5" style="2951" customWidth="1"/>
    <col min="4876" max="4876" width="18.625" style="2951" customWidth="1"/>
    <col min="4877" max="5120" width="9" style="2951"/>
    <col min="5121" max="5121" width="4.625" style="2951" customWidth="1"/>
    <col min="5122" max="5122" width="12.125" style="2951" customWidth="1"/>
    <col min="5123" max="5123" width="35.75" style="2951" customWidth="1"/>
    <col min="5124" max="5124" width="6" style="2951" customWidth="1"/>
    <col min="5125" max="5125" width="9.375" style="2951" customWidth="1"/>
    <col min="5126" max="5126" width="9.75" style="2951" customWidth="1"/>
    <col min="5127" max="5127" width="10.125" style="2951" customWidth="1"/>
    <col min="5128" max="5128" width="10.25" style="2951" customWidth="1"/>
    <col min="5129" max="5129" width="10.625" style="2951" customWidth="1"/>
    <col min="5130" max="5130" width="13.75" style="2951" customWidth="1"/>
    <col min="5131" max="5131" width="9.5" style="2951" customWidth="1"/>
    <col min="5132" max="5132" width="18.625" style="2951" customWidth="1"/>
    <col min="5133" max="5376" width="9" style="2951"/>
    <col min="5377" max="5377" width="4.625" style="2951" customWidth="1"/>
    <col min="5378" max="5378" width="12.125" style="2951" customWidth="1"/>
    <col min="5379" max="5379" width="35.75" style="2951" customWidth="1"/>
    <col min="5380" max="5380" width="6" style="2951" customWidth="1"/>
    <col min="5381" max="5381" width="9.375" style="2951" customWidth="1"/>
    <col min="5382" max="5382" width="9.75" style="2951" customWidth="1"/>
    <col min="5383" max="5383" width="10.125" style="2951" customWidth="1"/>
    <col min="5384" max="5384" width="10.25" style="2951" customWidth="1"/>
    <col min="5385" max="5385" width="10.625" style="2951" customWidth="1"/>
    <col min="5386" max="5386" width="13.75" style="2951" customWidth="1"/>
    <col min="5387" max="5387" width="9.5" style="2951" customWidth="1"/>
    <col min="5388" max="5388" width="18.625" style="2951" customWidth="1"/>
    <col min="5389" max="5632" width="9" style="2951"/>
    <col min="5633" max="5633" width="4.625" style="2951" customWidth="1"/>
    <col min="5634" max="5634" width="12.125" style="2951" customWidth="1"/>
    <col min="5635" max="5635" width="35.75" style="2951" customWidth="1"/>
    <col min="5636" max="5636" width="6" style="2951" customWidth="1"/>
    <col min="5637" max="5637" width="9.375" style="2951" customWidth="1"/>
    <col min="5638" max="5638" width="9.75" style="2951" customWidth="1"/>
    <col min="5639" max="5639" width="10.125" style="2951" customWidth="1"/>
    <col min="5640" max="5640" width="10.25" style="2951" customWidth="1"/>
    <col min="5641" max="5641" width="10.625" style="2951" customWidth="1"/>
    <col min="5642" max="5642" width="13.75" style="2951" customWidth="1"/>
    <col min="5643" max="5643" width="9.5" style="2951" customWidth="1"/>
    <col min="5644" max="5644" width="18.625" style="2951" customWidth="1"/>
    <col min="5645" max="5888" width="9" style="2951"/>
    <col min="5889" max="5889" width="4.625" style="2951" customWidth="1"/>
    <col min="5890" max="5890" width="12.125" style="2951" customWidth="1"/>
    <col min="5891" max="5891" width="35.75" style="2951" customWidth="1"/>
    <col min="5892" max="5892" width="6" style="2951" customWidth="1"/>
    <col min="5893" max="5893" width="9.375" style="2951" customWidth="1"/>
    <col min="5894" max="5894" width="9.75" style="2951" customWidth="1"/>
    <col min="5895" max="5895" width="10.125" style="2951" customWidth="1"/>
    <col min="5896" max="5896" width="10.25" style="2951" customWidth="1"/>
    <col min="5897" max="5897" width="10.625" style="2951" customWidth="1"/>
    <col min="5898" max="5898" width="13.75" style="2951" customWidth="1"/>
    <col min="5899" max="5899" width="9.5" style="2951" customWidth="1"/>
    <col min="5900" max="5900" width="18.625" style="2951" customWidth="1"/>
    <col min="5901" max="6144" width="9" style="2951"/>
    <col min="6145" max="6145" width="4.625" style="2951" customWidth="1"/>
    <col min="6146" max="6146" width="12.125" style="2951" customWidth="1"/>
    <col min="6147" max="6147" width="35.75" style="2951" customWidth="1"/>
    <col min="6148" max="6148" width="6" style="2951" customWidth="1"/>
    <col min="6149" max="6149" width="9.375" style="2951" customWidth="1"/>
    <col min="6150" max="6150" width="9.75" style="2951" customWidth="1"/>
    <col min="6151" max="6151" width="10.125" style="2951" customWidth="1"/>
    <col min="6152" max="6152" width="10.25" style="2951" customWidth="1"/>
    <col min="6153" max="6153" width="10.625" style="2951" customWidth="1"/>
    <col min="6154" max="6154" width="13.75" style="2951" customWidth="1"/>
    <col min="6155" max="6155" width="9.5" style="2951" customWidth="1"/>
    <col min="6156" max="6156" width="18.625" style="2951" customWidth="1"/>
    <col min="6157" max="6400" width="9" style="2951"/>
    <col min="6401" max="6401" width="4.625" style="2951" customWidth="1"/>
    <col min="6402" max="6402" width="12.125" style="2951" customWidth="1"/>
    <col min="6403" max="6403" width="35.75" style="2951" customWidth="1"/>
    <col min="6404" max="6404" width="6" style="2951" customWidth="1"/>
    <col min="6405" max="6405" width="9.375" style="2951" customWidth="1"/>
    <col min="6406" max="6406" width="9.75" style="2951" customWidth="1"/>
    <col min="6407" max="6407" width="10.125" style="2951" customWidth="1"/>
    <col min="6408" max="6408" width="10.25" style="2951" customWidth="1"/>
    <col min="6409" max="6409" width="10.625" style="2951" customWidth="1"/>
    <col min="6410" max="6410" width="13.75" style="2951" customWidth="1"/>
    <col min="6411" max="6411" width="9.5" style="2951" customWidth="1"/>
    <col min="6412" max="6412" width="18.625" style="2951" customWidth="1"/>
    <col min="6413" max="6656" width="9" style="2951"/>
    <col min="6657" max="6657" width="4.625" style="2951" customWidth="1"/>
    <col min="6658" max="6658" width="12.125" style="2951" customWidth="1"/>
    <col min="6659" max="6659" width="35.75" style="2951" customWidth="1"/>
    <col min="6660" max="6660" width="6" style="2951" customWidth="1"/>
    <col min="6661" max="6661" width="9.375" style="2951" customWidth="1"/>
    <col min="6662" max="6662" width="9.75" style="2951" customWidth="1"/>
    <col min="6663" max="6663" width="10.125" style="2951" customWidth="1"/>
    <col min="6664" max="6664" width="10.25" style="2951" customWidth="1"/>
    <col min="6665" max="6665" width="10.625" style="2951" customWidth="1"/>
    <col min="6666" max="6666" width="13.75" style="2951" customWidth="1"/>
    <col min="6667" max="6667" width="9.5" style="2951" customWidth="1"/>
    <col min="6668" max="6668" width="18.625" style="2951" customWidth="1"/>
    <col min="6669" max="6912" width="9" style="2951"/>
    <col min="6913" max="6913" width="4.625" style="2951" customWidth="1"/>
    <col min="6914" max="6914" width="12.125" style="2951" customWidth="1"/>
    <col min="6915" max="6915" width="35.75" style="2951" customWidth="1"/>
    <col min="6916" max="6916" width="6" style="2951" customWidth="1"/>
    <col min="6917" max="6917" width="9.375" style="2951" customWidth="1"/>
    <col min="6918" max="6918" width="9.75" style="2951" customWidth="1"/>
    <col min="6919" max="6919" width="10.125" style="2951" customWidth="1"/>
    <col min="6920" max="6920" width="10.25" style="2951" customWidth="1"/>
    <col min="6921" max="6921" width="10.625" style="2951" customWidth="1"/>
    <col min="6922" max="6922" width="13.75" style="2951" customWidth="1"/>
    <col min="6923" max="6923" width="9.5" style="2951" customWidth="1"/>
    <col min="6924" max="6924" width="18.625" style="2951" customWidth="1"/>
    <col min="6925" max="7168" width="9" style="2951"/>
    <col min="7169" max="7169" width="4.625" style="2951" customWidth="1"/>
    <col min="7170" max="7170" width="12.125" style="2951" customWidth="1"/>
    <col min="7171" max="7171" width="35.75" style="2951" customWidth="1"/>
    <col min="7172" max="7172" width="6" style="2951" customWidth="1"/>
    <col min="7173" max="7173" width="9.375" style="2951" customWidth="1"/>
    <col min="7174" max="7174" width="9.75" style="2951" customWidth="1"/>
    <col min="7175" max="7175" width="10.125" style="2951" customWidth="1"/>
    <col min="7176" max="7176" width="10.25" style="2951" customWidth="1"/>
    <col min="7177" max="7177" width="10.625" style="2951" customWidth="1"/>
    <col min="7178" max="7178" width="13.75" style="2951" customWidth="1"/>
    <col min="7179" max="7179" width="9.5" style="2951" customWidth="1"/>
    <col min="7180" max="7180" width="18.625" style="2951" customWidth="1"/>
    <col min="7181" max="7424" width="9" style="2951"/>
    <col min="7425" max="7425" width="4.625" style="2951" customWidth="1"/>
    <col min="7426" max="7426" width="12.125" style="2951" customWidth="1"/>
    <col min="7427" max="7427" width="35.75" style="2951" customWidth="1"/>
    <col min="7428" max="7428" width="6" style="2951" customWidth="1"/>
    <col min="7429" max="7429" width="9.375" style="2951" customWidth="1"/>
    <col min="7430" max="7430" width="9.75" style="2951" customWidth="1"/>
    <col min="7431" max="7431" width="10.125" style="2951" customWidth="1"/>
    <col min="7432" max="7432" width="10.25" style="2951" customWidth="1"/>
    <col min="7433" max="7433" width="10.625" style="2951" customWidth="1"/>
    <col min="7434" max="7434" width="13.75" style="2951" customWidth="1"/>
    <col min="7435" max="7435" width="9.5" style="2951" customWidth="1"/>
    <col min="7436" max="7436" width="18.625" style="2951" customWidth="1"/>
    <col min="7437" max="7680" width="9" style="2951"/>
    <col min="7681" max="7681" width="4.625" style="2951" customWidth="1"/>
    <col min="7682" max="7682" width="12.125" style="2951" customWidth="1"/>
    <col min="7683" max="7683" width="35.75" style="2951" customWidth="1"/>
    <col min="7684" max="7684" width="6" style="2951" customWidth="1"/>
    <col min="7685" max="7685" width="9.375" style="2951" customWidth="1"/>
    <col min="7686" max="7686" width="9.75" style="2951" customWidth="1"/>
    <col min="7687" max="7687" width="10.125" style="2951" customWidth="1"/>
    <col min="7688" max="7688" width="10.25" style="2951" customWidth="1"/>
    <col min="7689" max="7689" width="10.625" style="2951" customWidth="1"/>
    <col min="7690" max="7690" width="13.75" style="2951" customWidth="1"/>
    <col min="7691" max="7691" width="9.5" style="2951" customWidth="1"/>
    <col min="7692" max="7692" width="18.625" style="2951" customWidth="1"/>
    <col min="7693" max="7936" width="9" style="2951"/>
    <col min="7937" max="7937" width="4.625" style="2951" customWidth="1"/>
    <col min="7938" max="7938" width="12.125" style="2951" customWidth="1"/>
    <col min="7939" max="7939" width="35.75" style="2951" customWidth="1"/>
    <col min="7940" max="7940" width="6" style="2951" customWidth="1"/>
    <col min="7941" max="7941" width="9.375" style="2951" customWidth="1"/>
    <col min="7942" max="7942" width="9.75" style="2951" customWidth="1"/>
    <col min="7943" max="7943" width="10.125" style="2951" customWidth="1"/>
    <col min="7944" max="7944" width="10.25" style="2951" customWidth="1"/>
    <col min="7945" max="7945" width="10.625" style="2951" customWidth="1"/>
    <col min="7946" max="7946" width="13.75" style="2951" customWidth="1"/>
    <col min="7947" max="7947" width="9.5" style="2951" customWidth="1"/>
    <col min="7948" max="7948" width="18.625" style="2951" customWidth="1"/>
    <col min="7949" max="8192" width="9" style="2951"/>
    <col min="8193" max="8193" width="4.625" style="2951" customWidth="1"/>
    <col min="8194" max="8194" width="12.125" style="2951" customWidth="1"/>
    <col min="8195" max="8195" width="35.75" style="2951" customWidth="1"/>
    <col min="8196" max="8196" width="6" style="2951" customWidth="1"/>
    <col min="8197" max="8197" width="9.375" style="2951" customWidth="1"/>
    <col min="8198" max="8198" width="9.75" style="2951" customWidth="1"/>
    <col min="8199" max="8199" width="10.125" style="2951" customWidth="1"/>
    <col min="8200" max="8200" width="10.25" style="2951" customWidth="1"/>
    <col min="8201" max="8201" width="10.625" style="2951" customWidth="1"/>
    <col min="8202" max="8202" width="13.75" style="2951" customWidth="1"/>
    <col min="8203" max="8203" width="9.5" style="2951" customWidth="1"/>
    <col min="8204" max="8204" width="18.625" style="2951" customWidth="1"/>
    <col min="8205" max="8448" width="9" style="2951"/>
    <col min="8449" max="8449" width="4.625" style="2951" customWidth="1"/>
    <col min="8450" max="8450" width="12.125" style="2951" customWidth="1"/>
    <col min="8451" max="8451" width="35.75" style="2951" customWidth="1"/>
    <col min="8452" max="8452" width="6" style="2951" customWidth="1"/>
    <col min="8453" max="8453" width="9.375" style="2951" customWidth="1"/>
    <col min="8454" max="8454" width="9.75" style="2951" customWidth="1"/>
    <col min="8455" max="8455" width="10.125" style="2951" customWidth="1"/>
    <col min="8456" max="8456" width="10.25" style="2951" customWidth="1"/>
    <col min="8457" max="8457" width="10.625" style="2951" customWidth="1"/>
    <col min="8458" max="8458" width="13.75" style="2951" customWidth="1"/>
    <col min="8459" max="8459" width="9.5" style="2951" customWidth="1"/>
    <col min="8460" max="8460" width="18.625" style="2951" customWidth="1"/>
    <col min="8461" max="8704" width="9" style="2951"/>
    <col min="8705" max="8705" width="4.625" style="2951" customWidth="1"/>
    <col min="8706" max="8706" width="12.125" style="2951" customWidth="1"/>
    <col min="8707" max="8707" width="35.75" style="2951" customWidth="1"/>
    <col min="8708" max="8708" width="6" style="2951" customWidth="1"/>
    <col min="8709" max="8709" width="9.375" style="2951" customWidth="1"/>
    <col min="8710" max="8710" width="9.75" style="2951" customWidth="1"/>
    <col min="8711" max="8711" width="10.125" style="2951" customWidth="1"/>
    <col min="8712" max="8712" width="10.25" style="2951" customWidth="1"/>
    <col min="8713" max="8713" width="10.625" style="2951" customWidth="1"/>
    <col min="8714" max="8714" width="13.75" style="2951" customWidth="1"/>
    <col min="8715" max="8715" width="9.5" style="2951" customWidth="1"/>
    <col min="8716" max="8716" width="18.625" style="2951" customWidth="1"/>
    <col min="8717" max="8960" width="9" style="2951"/>
    <col min="8961" max="8961" width="4.625" style="2951" customWidth="1"/>
    <col min="8962" max="8962" width="12.125" style="2951" customWidth="1"/>
    <col min="8963" max="8963" width="35.75" style="2951" customWidth="1"/>
    <col min="8964" max="8964" width="6" style="2951" customWidth="1"/>
    <col min="8965" max="8965" width="9.375" style="2951" customWidth="1"/>
    <col min="8966" max="8966" width="9.75" style="2951" customWidth="1"/>
    <col min="8967" max="8967" width="10.125" style="2951" customWidth="1"/>
    <col min="8968" max="8968" width="10.25" style="2951" customWidth="1"/>
    <col min="8969" max="8969" width="10.625" style="2951" customWidth="1"/>
    <col min="8970" max="8970" width="13.75" style="2951" customWidth="1"/>
    <col min="8971" max="8971" width="9.5" style="2951" customWidth="1"/>
    <col min="8972" max="8972" width="18.625" style="2951" customWidth="1"/>
    <col min="8973" max="9216" width="9" style="2951"/>
    <col min="9217" max="9217" width="4.625" style="2951" customWidth="1"/>
    <col min="9218" max="9218" width="12.125" style="2951" customWidth="1"/>
    <col min="9219" max="9219" width="35.75" style="2951" customWidth="1"/>
    <col min="9220" max="9220" width="6" style="2951" customWidth="1"/>
    <col min="9221" max="9221" width="9.375" style="2951" customWidth="1"/>
    <col min="9222" max="9222" width="9.75" style="2951" customWidth="1"/>
    <col min="9223" max="9223" width="10.125" style="2951" customWidth="1"/>
    <col min="9224" max="9224" width="10.25" style="2951" customWidth="1"/>
    <col min="9225" max="9225" width="10.625" style="2951" customWidth="1"/>
    <col min="9226" max="9226" width="13.75" style="2951" customWidth="1"/>
    <col min="9227" max="9227" width="9.5" style="2951" customWidth="1"/>
    <col min="9228" max="9228" width="18.625" style="2951" customWidth="1"/>
    <col min="9229" max="9472" width="9" style="2951"/>
    <col min="9473" max="9473" width="4.625" style="2951" customWidth="1"/>
    <col min="9474" max="9474" width="12.125" style="2951" customWidth="1"/>
    <col min="9475" max="9475" width="35.75" style="2951" customWidth="1"/>
    <col min="9476" max="9476" width="6" style="2951" customWidth="1"/>
    <col min="9477" max="9477" width="9.375" style="2951" customWidth="1"/>
    <col min="9478" max="9478" width="9.75" style="2951" customWidth="1"/>
    <col min="9479" max="9479" width="10.125" style="2951" customWidth="1"/>
    <col min="9480" max="9480" width="10.25" style="2951" customWidth="1"/>
    <col min="9481" max="9481" width="10.625" style="2951" customWidth="1"/>
    <col min="9482" max="9482" width="13.75" style="2951" customWidth="1"/>
    <col min="9483" max="9483" width="9.5" style="2951" customWidth="1"/>
    <col min="9484" max="9484" width="18.625" style="2951" customWidth="1"/>
    <col min="9485" max="9728" width="9" style="2951"/>
    <col min="9729" max="9729" width="4.625" style="2951" customWidth="1"/>
    <col min="9730" max="9730" width="12.125" style="2951" customWidth="1"/>
    <col min="9731" max="9731" width="35.75" style="2951" customWidth="1"/>
    <col min="9732" max="9732" width="6" style="2951" customWidth="1"/>
    <col min="9733" max="9733" width="9.375" style="2951" customWidth="1"/>
    <col min="9734" max="9734" width="9.75" style="2951" customWidth="1"/>
    <col min="9735" max="9735" width="10.125" style="2951" customWidth="1"/>
    <col min="9736" max="9736" width="10.25" style="2951" customWidth="1"/>
    <col min="9737" max="9737" width="10.625" style="2951" customWidth="1"/>
    <col min="9738" max="9738" width="13.75" style="2951" customWidth="1"/>
    <col min="9739" max="9739" width="9.5" style="2951" customWidth="1"/>
    <col min="9740" max="9740" width="18.625" style="2951" customWidth="1"/>
    <col min="9741" max="9984" width="9" style="2951"/>
    <col min="9985" max="9985" width="4.625" style="2951" customWidth="1"/>
    <col min="9986" max="9986" width="12.125" style="2951" customWidth="1"/>
    <col min="9987" max="9987" width="35.75" style="2951" customWidth="1"/>
    <col min="9988" max="9988" width="6" style="2951" customWidth="1"/>
    <col min="9989" max="9989" width="9.375" style="2951" customWidth="1"/>
    <col min="9990" max="9990" width="9.75" style="2951" customWidth="1"/>
    <col min="9991" max="9991" width="10.125" style="2951" customWidth="1"/>
    <col min="9992" max="9992" width="10.25" style="2951" customWidth="1"/>
    <col min="9993" max="9993" width="10.625" style="2951" customWidth="1"/>
    <col min="9994" max="9994" width="13.75" style="2951" customWidth="1"/>
    <col min="9995" max="9995" width="9.5" style="2951" customWidth="1"/>
    <col min="9996" max="9996" width="18.625" style="2951" customWidth="1"/>
    <col min="9997" max="10240" width="9" style="2951"/>
    <col min="10241" max="10241" width="4.625" style="2951" customWidth="1"/>
    <col min="10242" max="10242" width="12.125" style="2951" customWidth="1"/>
    <col min="10243" max="10243" width="35.75" style="2951" customWidth="1"/>
    <col min="10244" max="10244" width="6" style="2951" customWidth="1"/>
    <col min="10245" max="10245" width="9.375" style="2951" customWidth="1"/>
    <col min="10246" max="10246" width="9.75" style="2951" customWidth="1"/>
    <col min="10247" max="10247" width="10.125" style="2951" customWidth="1"/>
    <col min="10248" max="10248" width="10.25" style="2951" customWidth="1"/>
    <col min="10249" max="10249" width="10.625" style="2951" customWidth="1"/>
    <col min="10250" max="10250" width="13.75" style="2951" customWidth="1"/>
    <col min="10251" max="10251" width="9.5" style="2951" customWidth="1"/>
    <col min="10252" max="10252" width="18.625" style="2951" customWidth="1"/>
    <col min="10253" max="10496" width="9" style="2951"/>
    <col min="10497" max="10497" width="4.625" style="2951" customWidth="1"/>
    <col min="10498" max="10498" width="12.125" style="2951" customWidth="1"/>
    <col min="10499" max="10499" width="35.75" style="2951" customWidth="1"/>
    <col min="10500" max="10500" width="6" style="2951" customWidth="1"/>
    <col min="10501" max="10501" width="9.375" style="2951" customWidth="1"/>
    <col min="10502" max="10502" width="9.75" style="2951" customWidth="1"/>
    <col min="10503" max="10503" width="10.125" style="2951" customWidth="1"/>
    <col min="10504" max="10504" width="10.25" style="2951" customWidth="1"/>
    <col min="10505" max="10505" width="10.625" style="2951" customWidth="1"/>
    <col min="10506" max="10506" width="13.75" style="2951" customWidth="1"/>
    <col min="10507" max="10507" width="9.5" style="2951" customWidth="1"/>
    <col min="10508" max="10508" width="18.625" style="2951" customWidth="1"/>
    <col min="10509" max="10752" width="9" style="2951"/>
    <col min="10753" max="10753" width="4.625" style="2951" customWidth="1"/>
    <col min="10754" max="10754" width="12.125" style="2951" customWidth="1"/>
    <col min="10755" max="10755" width="35.75" style="2951" customWidth="1"/>
    <col min="10756" max="10756" width="6" style="2951" customWidth="1"/>
    <col min="10757" max="10757" width="9.375" style="2951" customWidth="1"/>
    <col min="10758" max="10758" width="9.75" style="2951" customWidth="1"/>
    <col min="10759" max="10759" width="10.125" style="2951" customWidth="1"/>
    <col min="10760" max="10760" width="10.25" style="2951" customWidth="1"/>
    <col min="10761" max="10761" width="10.625" style="2951" customWidth="1"/>
    <col min="10762" max="10762" width="13.75" style="2951" customWidth="1"/>
    <col min="10763" max="10763" width="9.5" style="2951" customWidth="1"/>
    <col min="10764" max="10764" width="18.625" style="2951" customWidth="1"/>
    <col min="10765" max="11008" width="9" style="2951"/>
    <col min="11009" max="11009" width="4.625" style="2951" customWidth="1"/>
    <col min="11010" max="11010" width="12.125" style="2951" customWidth="1"/>
    <col min="11011" max="11011" width="35.75" style="2951" customWidth="1"/>
    <col min="11012" max="11012" width="6" style="2951" customWidth="1"/>
    <col min="11013" max="11013" width="9.375" style="2951" customWidth="1"/>
    <col min="11014" max="11014" width="9.75" style="2951" customWidth="1"/>
    <col min="11015" max="11015" width="10.125" style="2951" customWidth="1"/>
    <col min="11016" max="11016" width="10.25" style="2951" customWidth="1"/>
    <col min="11017" max="11017" width="10.625" style="2951" customWidth="1"/>
    <col min="11018" max="11018" width="13.75" style="2951" customWidth="1"/>
    <col min="11019" max="11019" width="9.5" style="2951" customWidth="1"/>
    <col min="11020" max="11020" width="18.625" style="2951" customWidth="1"/>
    <col min="11021" max="11264" width="9" style="2951"/>
    <col min="11265" max="11265" width="4.625" style="2951" customWidth="1"/>
    <col min="11266" max="11266" width="12.125" style="2951" customWidth="1"/>
    <col min="11267" max="11267" width="35.75" style="2951" customWidth="1"/>
    <col min="11268" max="11268" width="6" style="2951" customWidth="1"/>
    <col min="11269" max="11269" width="9.375" style="2951" customWidth="1"/>
    <col min="11270" max="11270" width="9.75" style="2951" customWidth="1"/>
    <col min="11271" max="11271" width="10.125" style="2951" customWidth="1"/>
    <col min="11272" max="11272" width="10.25" style="2951" customWidth="1"/>
    <col min="11273" max="11273" width="10.625" style="2951" customWidth="1"/>
    <col min="11274" max="11274" width="13.75" style="2951" customWidth="1"/>
    <col min="11275" max="11275" width="9.5" style="2951" customWidth="1"/>
    <col min="11276" max="11276" width="18.625" style="2951" customWidth="1"/>
    <col min="11277" max="11520" width="9" style="2951"/>
    <col min="11521" max="11521" width="4.625" style="2951" customWidth="1"/>
    <col min="11522" max="11522" width="12.125" style="2951" customWidth="1"/>
    <col min="11523" max="11523" width="35.75" style="2951" customWidth="1"/>
    <col min="11524" max="11524" width="6" style="2951" customWidth="1"/>
    <col min="11525" max="11525" width="9.375" style="2951" customWidth="1"/>
    <col min="11526" max="11526" width="9.75" style="2951" customWidth="1"/>
    <col min="11527" max="11527" width="10.125" style="2951" customWidth="1"/>
    <col min="11528" max="11528" width="10.25" style="2951" customWidth="1"/>
    <col min="11529" max="11529" width="10.625" style="2951" customWidth="1"/>
    <col min="11530" max="11530" width="13.75" style="2951" customWidth="1"/>
    <col min="11531" max="11531" width="9.5" style="2951" customWidth="1"/>
    <col min="11532" max="11532" width="18.625" style="2951" customWidth="1"/>
    <col min="11533" max="11776" width="9" style="2951"/>
    <col min="11777" max="11777" width="4.625" style="2951" customWidth="1"/>
    <col min="11778" max="11778" width="12.125" style="2951" customWidth="1"/>
    <col min="11779" max="11779" width="35.75" style="2951" customWidth="1"/>
    <col min="11780" max="11780" width="6" style="2951" customWidth="1"/>
    <col min="11781" max="11781" width="9.375" style="2951" customWidth="1"/>
    <col min="11782" max="11782" width="9.75" style="2951" customWidth="1"/>
    <col min="11783" max="11783" width="10.125" style="2951" customWidth="1"/>
    <col min="11784" max="11784" width="10.25" style="2951" customWidth="1"/>
    <col min="11785" max="11785" width="10.625" style="2951" customWidth="1"/>
    <col min="11786" max="11786" width="13.75" style="2951" customWidth="1"/>
    <col min="11787" max="11787" width="9.5" style="2951" customWidth="1"/>
    <col min="11788" max="11788" width="18.625" style="2951" customWidth="1"/>
    <col min="11789" max="12032" width="9" style="2951"/>
    <col min="12033" max="12033" width="4.625" style="2951" customWidth="1"/>
    <col min="12034" max="12034" width="12.125" style="2951" customWidth="1"/>
    <col min="12035" max="12035" width="35.75" style="2951" customWidth="1"/>
    <col min="12036" max="12036" width="6" style="2951" customWidth="1"/>
    <col min="12037" max="12037" width="9.375" style="2951" customWidth="1"/>
    <col min="12038" max="12038" width="9.75" style="2951" customWidth="1"/>
    <col min="12039" max="12039" width="10.125" style="2951" customWidth="1"/>
    <col min="12040" max="12040" width="10.25" style="2951" customWidth="1"/>
    <col min="12041" max="12041" width="10.625" style="2951" customWidth="1"/>
    <col min="12042" max="12042" width="13.75" style="2951" customWidth="1"/>
    <col min="12043" max="12043" width="9.5" style="2951" customWidth="1"/>
    <col min="12044" max="12044" width="18.625" style="2951" customWidth="1"/>
    <col min="12045" max="12288" width="9" style="2951"/>
    <col min="12289" max="12289" width="4.625" style="2951" customWidth="1"/>
    <col min="12290" max="12290" width="12.125" style="2951" customWidth="1"/>
    <col min="12291" max="12291" width="35.75" style="2951" customWidth="1"/>
    <col min="12292" max="12292" width="6" style="2951" customWidth="1"/>
    <col min="12293" max="12293" width="9.375" style="2951" customWidth="1"/>
    <col min="12294" max="12294" width="9.75" style="2951" customWidth="1"/>
    <col min="12295" max="12295" width="10.125" style="2951" customWidth="1"/>
    <col min="12296" max="12296" width="10.25" style="2951" customWidth="1"/>
    <col min="12297" max="12297" width="10.625" style="2951" customWidth="1"/>
    <col min="12298" max="12298" width="13.75" style="2951" customWidth="1"/>
    <col min="12299" max="12299" width="9.5" style="2951" customWidth="1"/>
    <col min="12300" max="12300" width="18.625" style="2951" customWidth="1"/>
    <col min="12301" max="12544" width="9" style="2951"/>
    <col min="12545" max="12545" width="4.625" style="2951" customWidth="1"/>
    <col min="12546" max="12546" width="12.125" style="2951" customWidth="1"/>
    <col min="12547" max="12547" width="35.75" style="2951" customWidth="1"/>
    <col min="12548" max="12548" width="6" style="2951" customWidth="1"/>
    <col min="12549" max="12549" width="9.375" style="2951" customWidth="1"/>
    <col min="12550" max="12550" width="9.75" style="2951" customWidth="1"/>
    <col min="12551" max="12551" width="10.125" style="2951" customWidth="1"/>
    <col min="12552" max="12552" width="10.25" style="2951" customWidth="1"/>
    <col min="12553" max="12553" width="10.625" style="2951" customWidth="1"/>
    <col min="12554" max="12554" width="13.75" style="2951" customWidth="1"/>
    <col min="12555" max="12555" width="9.5" style="2951" customWidth="1"/>
    <col min="12556" max="12556" width="18.625" style="2951" customWidth="1"/>
    <col min="12557" max="12800" width="9" style="2951"/>
    <col min="12801" max="12801" width="4.625" style="2951" customWidth="1"/>
    <col min="12802" max="12802" width="12.125" style="2951" customWidth="1"/>
    <col min="12803" max="12803" width="35.75" style="2951" customWidth="1"/>
    <col min="12804" max="12804" width="6" style="2951" customWidth="1"/>
    <col min="12805" max="12805" width="9.375" style="2951" customWidth="1"/>
    <col min="12806" max="12806" width="9.75" style="2951" customWidth="1"/>
    <col min="12807" max="12807" width="10.125" style="2951" customWidth="1"/>
    <col min="12808" max="12808" width="10.25" style="2951" customWidth="1"/>
    <col min="12809" max="12809" width="10.625" style="2951" customWidth="1"/>
    <col min="12810" max="12810" width="13.75" style="2951" customWidth="1"/>
    <col min="12811" max="12811" width="9.5" style="2951" customWidth="1"/>
    <col min="12812" max="12812" width="18.625" style="2951" customWidth="1"/>
    <col min="12813" max="13056" width="9" style="2951"/>
    <col min="13057" max="13057" width="4.625" style="2951" customWidth="1"/>
    <col min="13058" max="13058" width="12.125" style="2951" customWidth="1"/>
    <col min="13059" max="13059" width="35.75" style="2951" customWidth="1"/>
    <col min="13060" max="13060" width="6" style="2951" customWidth="1"/>
    <col min="13061" max="13061" width="9.375" style="2951" customWidth="1"/>
    <col min="13062" max="13062" width="9.75" style="2951" customWidth="1"/>
    <col min="13063" max="13063" width="10.125" style="2951" customWidth="1"/>
    <col min="13064" max="13064" width="10.25" style="2951" customWidth="1"/>
    <col min="13065" max="13065" width="10.625" style="2951" customWidth="1"/>
    <col min="13066" max="13066" width="13.75" style="2951" customWidth="1"/>
    <col min="13067" max="13067" width="9.5" style="2951" customWidth="1"/>
    <col min="13068" max="13068" width="18.625" style="2951" customWidth="1"/>
    <col min="13069" max="13312" width="9" style="2951"/>
    <col min="13313" max="13313" width="4.625" style="2951" customWidth="1"/>
    <col min="13314" max="13314" width="12.125" style="2951" customWidth="1"/>
    <col min="13315" max="13315" width="35.75" style="2951" customWidth="1"/>
    <col min="13316" max="13316" width="6" style="2951" customWidth="1"/>
    <col min="13317" max="13317" width="9.375" style="2951" customWidth="1"/>
    <col min="13318" max="13318" width="9.75" style="2951" customWidth="1"/>
    <col min="13319" max="13319" width="10.125" style="2951" customWidth="1"/>
    <col min="13320" max="13320" width="10.25" style="2951" customWidth="1"/>
    <col min="13321" max="13321" width="10.625" style="2951" customWidth="1"/>
    <col min="13322" max="13322" width="13.75" style="2951" customWidth="1"/>
    <col min="13323" max="13323" width="9.5" style="2951" customWidth="1"/>
    <col min="13324" max="13324" width="18.625" style="2951" customWidth="1"/>
    <col min="13325" max="13568" width="9" style="2951"/>
    <col min="13569" max="13569" width="4.625" style="2951" customWidth="1"/>
    <col min="13570" max="13570" width="12.125" style="2951" customWidth="1"/>
    <col min="13571" max="13571" width="35.75" style="2951" customWidth="1"/>
    <col min="13572" max="13572" width="6" style="2951" customWidth="1"/>
    <col min="13573" max="13573" width="9.375" style="2951" customWidth="1"/>
    <col min="13574" max="13574" width="9.75" style="2951" customWidth="1"/>
    <col min="13575" max="13575" width="10.125" style="2951" customWidth="1"/>
    <col min="13576" max="13576" width="10.25" style="2951" customWidth="1"/>
    <col min="13577" max="13577" width="10.625" style="2951" customWidth="1"/>
    <col min="13578" max="13578" width="13.75" style="2951" customWidth="1"/>
    <col min="13579" max="13579" width="9.5" style="2951" customWidth="1"/>
    <col min="13580" max="13580" width="18.625" style="2951" customWidth="1"/>
    <col min="13581" max="13824" width="9" style="2951"/>
    <col min="13825" max="13825" width="4.625" style="2951" customWidth="1"/>
    <col min="13826" max="13826" width="12.125" style="2951" customWidth="1"/>
    <col min="13827" max="13827" width="35.75" style="2951" customWidth="1"/>
    <col min="13828" max="13828" width="6" style="2951" customWidth="1"/>
    <col min="13829" max="13829" width="9.375" style="2951" customWidth="1"/>
    <col min="13830" max="13830" width="9.75" style="2951" customWidth="1"/>
    <col min="13831" max="13831" width="10.125" style="2951" customWidth="1"/>
    <col min="13832" max="13832" width="10.25" style="2951" customWidth="1"/>
    <col min="13833" max="13833" width="10.625" style="2951" customWidth="1"/>
    <col min="13834" max="13834" width="13.75" style="2951" customWidth="1"/>
    <col min="13835" max="13835" width="9.5" style="2951" customWidth="1"/>
    <col min="13836" max="13836" width="18.625" style="2951" customWidth="1"/>
    <col min="13837" max="14080" width="9" style="2951"/>
    <col min="14081" max="14081" width="4.625" style="2951" customWidth="1"/>
    <col min="14082" max="14082" width="12.125" style="2951" customWidth="1"/>
    <col min="14083" max="14083" width="35.75" style="2951" customWidth="1"/>
    <col min="14084" max="14084" width="6" style="2951" customWidth="1"/>
    <col min="14085" max="14085" width="9.375" style="2951" customWidth="1"/>
    <col min="14086" max="14086" width="9.75" style="2951" customWidth="1"/>
    <col min="14087" max="14087" width="10.125" style="2951" customWidth="1"/>
    <col min="14088" max="14088" width="10.25" style="2951" customWidth="1"/>
    <col min="14089" max="14089" width="10.625" style="2951" customWidth="1"/>
    <col min="14090" max="14090" width="13.75" style="2951" customWidth="1"/>
    <col min="14091" max="14091" width="9.5" style="2951" customWidth="1"/>
    <col min="14092" max="14092" width="18.625" style="2951" customWidth="1"/>
    <col min="14093" max="14336" width="9" style="2951"/>
    <col min="14337" max="14337" width="4.625" style="2951" customWidth="1"/>
    <col min="14338" max="14338" width="12.125" style="2951" customWidth="1"/>
    <col min="14339" max="14339" width="35.75" style="2951" customWidth="1"/>
    <col min="14340" max="14340" width="6" style="2951" customWidth="1"/>
    <col min="14341" max="14341" width="9.375" style="2951" customWidth="1"/>
    <col min="14342" max="14342" width="9.75" style="2951" customWidth="1"/>
    <col min="14343" max="14343" width="10.125" style="2951" customWidth="1"/>
    <col min="14344" max="14344" width="10.25" style="2951" customWidth="1"/>
    <col min="14345" max="14345" width="10.625" style="2951" customWidth="1"/>
    <col min="14346" max="14346" width="13.75" style="2951" customWidth="1"/>
    <col min="14347" max="14347" width="9.5" style="2951" customWidth="1"/>
    <col min="14348" max="14348" width="18.625" style="2951" customWidth="1"/>
    <col min="14349" max="14592" width="9" style="2951"/>
    <col min="14593" max="14593" width="4.625" style="2951" customWidth="1"/>
    <col min="14594" max="14594" width="12.125" style="2951" customWidth="1"/>
    <col min="14595" max="14595" width="35.75" style="2951" customWidth="1"/>
    <col min="14596" max="14596" width="6" style="2951" customWidth="1"/>
    <col min="14597" max="14597" width="9.375" style="2951" customWidth="1"/>
    <col min="14598" max="14598" width="9.75" style="2951" customWidth="1"/>
    <col min="14599" max="14599" width="10.125" style="2951" customWidth="1"/>
    <col min="14600" max="14600" width="10.25" style="2951" customWidth="1"/>
    <col min="14601" max="14601" width="10.625" style="2951" customWidth="1"/>
    <col min="14602" max="14602" width="13.75" style="2951" customWidth="1"/>
    <col min="14603" max="14603" width="9.5" style="2951" customWidth="1"/>
    <col min="14604" max="14604" width="18.625" style="2951" customWidth="1"/>
    <col min="14605" max="14848" width="9" style="2951"/>
    <col min="14849" max="14849" width="4.625" style="2951" customWidth="1"/>
    <col min="14850" max="14850" width="12.125" style="2951" customWidth="1"/>
    <col min="14851" max="14851" width="35.75" style="2951" customWidth="1"/>
    <col min="14852" max="14852" width="6" style="2951" customWidth="1"/>
    <col min="14853" max="14853" width="9.375" style="2951" customWidth="1"/>
    <col min="14854" max="14854" width="9.75" style="2951" customWidth="1"/>
    <col min="14855" max="14855" width="10.125" style="2951" customWidth="1"/>
    <col min="14856" max="14856" width="10.25" style="2951" customWidth="1"/>
    <col min="14857" max="14857" width="10.625" style="2951" customWidth="1"/>
    <col min="14858" max="14858" width="13.75" style="2951" customWidth="1"/>
    <col min="14859" max="14859" width="9.5" style="2951" customWidth="1"/>
    <col min="14860" max="14860" width="18.625" style="2951" customWidth="1"/>
    <col min="14861" max="15104" width="9" style="2951"/>
    <col min="15105" max="15105" width="4.625" style="2951" customWidth="1"/>
    <col min="15106" max="15106" width="12.125" style="2951" customWidth="1"/>
    <col min="15107" max="15107" width="35.75" style="2951" customWidth="1"/>
    <col min="15108" max="15108" width="6" style="2951" customWidth="1"/>
    <col min="15109" max="15109" width="9.375" style="2951" customWidth="1"/>
    <col min="15110" max="15110" width="9.75" style="2951" customWidth="1"/>
    <col min="15111" max="15111" width="10.125" style="2951" customWidth="1"/>
    <col min="15112" max="15112" width="10.25" style="2951" customWidth="1"/>
    <col min="15113" max="15113" width="10.625" style="2951" customWidth="1"/>
    <col min="15114" max="15114" width="13.75" style="2951" customWidth="1"/>
    <col min="15115" max="15115" width="9.5" style="2951" customWidth="1"/>
    <col min="15116" max="15116" width="18.625" style="2951" customWidth="1"/>
    <col min="15117" max="15360" width="9" style="2951"/>
    <col min="15361" max="15361" width="4.625" style="2951" customWidth="1"/>
    <col min="15362" max="15362" width="12.125" style="2951" customWidth="1"/>
    <col min="15363" max="15363" width="35.75" style="2951" customWidth="1"/>
    <col min="15364" max="15364" width="6" style="2951" customWidth="1"/>
    <col min="15365" max="15365" width="9.375" style="2951" customWidth="1"/>
    <col min="15366" max="15366" width="9.75" style="2951" customWidth="1"/>
    <col min="15367" max="15367" width="10.125" style="2951" customWidth="1"/>
    <col min="15368" max="15368" width="10.25" style="2951" customWidth="1"/>
    <col min="15369" max="15369" width="10.625" style="2951" customWidth="1"/>
    <col min="15370" max="15370" width="13.75" style="2951" customWidth="1"/>
    <col min="15371" max="15371" width="9.5" style="2951" customWidth="1"/>
    <col min="15372" max="15372" width="18.625" style="2951" customWidth="1"/>
    <col min="15373" max="15616" width="9" style="2951"/>
    <col min="15617" max="15617" width="4.625" style="2951" customWidth="1"/>
    <col min="15618" max="15618" width="12.125" style="2951" customWidth="1"/>
    <col min="15619" max="15619" width="35.75" style="2951" customWidth="1"/>
    <col min="15620" max="15620" width="6" style="2951" customWidth="1"/>
    <col min="15621" max="15621" width="9.375" style="2951" customWidth="1"/>
    <col min="15622" max="15622" width="9.75" style="2951" customWidth="1"/>
    <col min="15623" max="15623" width="10.125" style="2951" customWidth="1"/>
    <col min="15624" max="15624" width="10.25" style="2951" customWidth="1"/>
    <col min="15625" max="15625" width="10.625" style="2951" customWidth="1"/>
    <col min="15626" max="15626" width="13.75" style="2951" customWidth="1"/>
    <col min="15627" max="15627" width="9.5" style="2951" customWidth="1"/>
    <col min="15628" max="15628" width="18.625" style="2951" customWidth="1"/>
    <col min="15629" max="15872" width="9" style="2951"/>
    <col min="15873" max="15873" width="4.625" style="2951" customWidth="1"/>
    <col min="15874" max="15874" width="12.125" style="2951" customWidth="1"/>
    <col min="15875" max="15875" width="35.75" style="2951" customWidth="1"/>
    <col min="15876" max="15876" width="6" style="2951" customWidth="1"/>
    <col min="15877" max="15877" width="9.375" style="2951" customWidth="1"/>
    <col min="15878" max="15878" width="9.75" style="2951" customWidth="1"/>
    <col min="15879" max="15879" width="10.125" style="2951" customWidth="1"/>
    <col min="15880" max="15880" width="10.25" style="2951" customWidth="1"/>
    <col min="15881" max="15881" width="10.625" style="2951" customWidth="1"/>
    <col min="15882" max="15882" width="13.75" style="2951" customWidth="1"/>
    <col min="15883" max="15883" width="9.5" style="2951" customWidth="1"/>
    <col min="15884" max="15884" width="18.625" style="2951" customWidth="1"/>
    <col min="15885" max="16128" width="9" style="2951"/>
    <col min="16129" max="16129" width="4.625" style="2951" customWidth="1"/>
    <col min="16130" max="16130" width="12.125" style="2951" customWidth="1"/>
    <col min="16131" max="16131" width="35.75" style="2951" customWidth="1"/>
    <col min="16132" max="16132" width="6" style="2951" customWidth="1"/>
    <col min="16133" max="16133" width="9.375" style="2951" customWidth="1"/>
    <col min="16134" max="16134" width="9.75" style="2951" customWidth="1"/>
    <col min="16135" max="16135" width="10.125" style="2951" customWidth="1"/>
    <col min="16136" max="16136" width="10.25" style="2951" customWidth="1"/>
    <col min="16137" max="16137" width="10.625" style="2951" customWidth="1"/>
    <col min="16138" max="16138" width="13.75" style="2951" customWidth="1"/>
    <col min="16139" max="16139" width="9.5" style="2951" customWidth="1"/>
    <col min="16140" max="16140" width="18.625" style="2951" customWidth="1"/>
    <col min="16141" max="16384" width="9" style="2951"/>
  </cols>
  <sheetData>
    <row r="1" spans="1:13" ht="20.25">
      <c r="B1" s="2952"/>
      <c r="C1" s="2952"/>
      <c r="D1" s="2952"/>
      <c r="E1" s="3351"/>
      <c r="F1" s="3351"/>
      <c r="G1" s="3351"/>
      <c r="H1" s="3351"/>
      <c r="I1" s="3351"/>
      <c r="J1" s="3351"/>
      <c r="K1" s="3351"/>
    </row>
    <row r="2" spans="1:13" ht="14.25" customHeight="1">
      <c r="B2" s="2951"/>
      <c r="D2" s="2953"/>
      <c r="E2" s="3352"/>
      <c r="F2" s="3352"/>
      <c r="G2" s="2953"/>
      <c r="H2" s="2953"/>
      <c r="I2" s="2953"/>
      <c r="J2" s="2953"/>
      <c r="K2" s="2953"/>
    </row>
    <row r="3" spans="1:13" s="2954" customFormat="1" ht="12">
      <c r="A3" s="3353" t="s">
        <v>3137</v>
      </c>
      <c r="B3" s="3355" t="s">
        <v>3138</v>
      </c>
      <c r="C3" s="3353" t="s">
        <v>3139</v>
      </c>
      <c r="D3" s="3357" t="s">
        <v>3140</v>
      </c>
      <c r="E3" s="3357" t="s">
        <v>3141</v>
      </c>
      <c r="F3" s="3357" t="s">
        <v>3142</v>
      </c>
      <c r="G3" s="3357" t="s">
        <v>3143</v>
      </c>
      <c r="H3" s="3357" t="s">
        <v>3144</v>
      </c>
      <c r="I3" s="3357" t="s">
        <v>3145</v>
      </c>
      <c r="J3" s="3357" t="s">
        <v>3146</v>
      </c>
      <c r="K3" s="3353" t="s">
        <v>3147</v>
      </c>
      <c r="L3" s="3361" t="s">
        <v>3148</v>
      </c>
    </row>
    <row r="4" spans="1:13" s="2954" customFormat="1" ht="12">
      <c r="A4" s="3354"/>
      <c r="B4" s="3356"/>
      <c r="C4" s="3354"/>
      <c r="D4" s="3358"/>
      <c r="E4" s="3358"/>
      <c r="F4" s="3358"/>
      <c r="G4" s="3358"/>
      <c r="H4" s="3358"/>
      <c r="I4" s="3358"/>
      <c r="J4" s="3358"/>
      <c r="K4" s="3354"/>
      <c r="L4" s="3361"/>
    </row>
    <row r="5" spans="1:13" ht="14.25" customHeight="1">
      <c r="A5" s="3362"/>
      <c r="B5" s="3362"/>
      <c r="C5" s="3363"/>
      <c r="D5" s="2955"/>
      <c r="E5" s="2955"/>
      <c r="F5" s="2955"/>
      <c r="G5" s="2955"/>
      <c r="H5" s="2955"/>
      <c r="I5" s="2955"/>
      <c r="J5" s="2955"/>
      <c r="K5" s="2956"/>
      <c r="L5" s="2956"/>
    </row>
    <row r="6" spans="1:13" ht="14.25" customHeight="1">
      <c r="A6" s="3364" t="s">
        <v>3149</v>
      </c>
      <c r="B6" s="3365"/>
      <c r="C6" s="3365"/>
      <c r="D6" s="2955"/>
      <c r="E6" s="2955"/>
      <c r="F6" s="2955"/>
      <c r="G6" s="2955"/>
      <c r="H6" s="2955"/>
      <c r="I6" s="2955"/>
      <c r="J6" s="2955"/>
      <c r="K6" s="2956"/>
      <c r="L6" s="2956"/>
    </row>
    <row r="7" spans="1:13">
      <c r="A7" s="2957">
        <v>1</v>
      </c>
      <c r="B7" s="2957" t="s">
        <v>3150</v>
      </c>
      <c r="C7" s="2958" t="s">
        <v>3151</v>
      </c>
      <c r="D7" s="2955">
        <v>1</v>
      </c>
      <c r="E7" s="2955" t="s">
        <v>3152</v>
      </c>
      <c r="F7" s="2955" t="s">
        <v>3153</v>
      </c>
      <c r="G7" s="2955">
        <v>244.94</v>
      </c>
      <c r="H7" s="2959">
        <v>50.512751999999999</v>
      </c>
      <c r="I7" s="2960">
        <f t="shared" ref="I7:I15" si="0">H7*10000/365/G7</f>
        <v>5.6500000559264718</v>
      </c>
      <c r="J7" s="2955"/>
      <c r="K7" s="2959">
        <v>4.2093959999999999</v>
      </c>
      <c r="L7" s="2959" t="s">
        <v>3154</v>
      </c>
    </row>
    <row r="8" spans="1:13">
      <c r="A8" s="2957">
        <v>2</v>
      </c>
      <c r="B8" s="2957" t="s">
        <v>3155</v>
      </c>
      <c r="C8" s="2958" t="s">
        <v>3156</v>
      </c>
      <c r="D8" s="2955">
        <v>1</v>
      </c>
      <c r="E8" s="2955" t="s">
        <v>3157</v>
      </c>
      <c r="F8" s="2955" t="s">
        <v>3158</v>
      </c>
      <c r="G8" s="2955">
        <v>705.84</v>
      </c>
      <c r="H8" s="2959">
        <v>145.56185400000001</v>
      </c>
      <c r="I8" s="2960">
        <f t="shared" si="0"/>
        <v>5.6499999999999995</v>
      </c>
      <c r="J8" s="2955"/>
      <c r="K8" s="2959">
        <v>12.130155</v>
      </c>
      <c r="L8" s="2959" t="s">
        <v>3159</v>
      </c>
    </row>
    <row r="9" spans="1:13">
      <c r="A9" s="2957">
        <v>3</v>
      </c>
      <c r="B9" s="2957" t="s">
        <v>3155</v>
      </c>
      <c r="C9" s="2958" t="s">
        <v>3160</v>
      </c>
      <c r="D9" s="2955">
        <v>1</v>
      </c>
      <c r="E9" s="2955" t="s">
        <v>3157</v>
      </c>
      <c r="F9" s="2955" t="s">
        <v>3158</v>
      </c>
      <c r="G9" s="2955">
        <v>616.21</v>
      </c>
      <c r="H9" s="2959">
        <v>127.077907</v>
      </c>
      <c r="I9" s="2960">
        <f t="shared" si="0"/>
        <v>5.6499999888847716</v>
      </c>
      <c r="J9" s="2955"/>
      <c r="K9" s="2959">
        <v>10.589826</v>
      </c>
      <c r="L9" s="2959" t="s">
        <v>3161</v>
      </c>
    </row>
    <row r="10" spans="1:13">
      <c r="A10" s="2957">
        <v>4</v>
      </c>
      <c r="B10" s="2957" t="s">
        <v>3155</v>
      </c>
      <c r="C10" s="2958" t="s">
        <v>3162</v>
      </c>
      <c r="D10" s="2955">
        <v>1</v>
      </c>
      <c r="E10" s="2955" t="s">
        <v>3157</v>
      </c>
      <c r="F10" s="2955" t="s">
        <v>3158</v>
      </c>
      <c r="G10" s="2955">
        <v>385.77</v>
      </c>
      <c r="H10" s="2959">
        <v>79.555418000000003</v>
      </c>
      <c r="I10" s="2960">
        <f t="shared" si="0"/>
        <v>5.6499999822450819</v>
      </c>
      <c r="J10" s="2955"/>
      <c r="K10" s="2959">
        <v>6.6296179999999998</v>
      </c>
      <c r="L10" s="2959" t="s">
        <v>3163</v>
      </c>
    </row>
    <row r="11" spans="1:13" s="2961" customFormat="1">
      <c r="A11" s="2957">
        <v>5</v>
      </c>
      <c r="B11" s="2957">
        <v>605</v>
      </c>
      <c r="C11" s="2958" t="s">
        <v>3164</v>
      </c>
      <c r="D11" s="2955">
        <v>1</v>
      </c>
      <c r="E11" s="2955" t="s">
        <v>3157</v>
      </c>
      <c r="F11" s="2955" t="s">
        <v>3158</v>
      </c>
      <c r="G11" s="2955">
        <v>157</v>
      </c>
      <c r="H11" s="2959">
        <v>32.377324999999999</v>
      </c>
      <c r="I11" s="2960">
        <f t="shared" si="0"/>
        <v>5.6499999999999995</v>
      </c>
      <c r="J11" s="2959"/>
      <c r="K11" s="2959">
        <v>2.6981099999999998</v>
      </c>
      <c r="L11" s="2959" t="s">
        <v>3165</v>
      </c>
    </row>
    <row r="12" spans="1:13" s="2961" customFormat="1">
      <c r="A12" s="2957">
        <v>6</v>
      </c>
      <c r="B12" s="2957">
        <v>605</v>
      </c>
      <c r="C12" s="2958" t="s">
        <v>3166</v>
      </c>
      <c r="D12" s="2955">
        <v>1</v>
      </c>
      <c r="E12" s="2955" t="s">
        <v>3157</v>
      </c>
      <c r="F12" s="2955" t="s">
        <v>3158</v>
      </c>
      <c r="G12" s="2955">
        <v>105.08</v>
      </c>
      <c r="H12" s="2959">
        <v>21.670123</v>
      </c>
      <c r="I12" s="2959">
        <f t="shared" si="0"/>
        <v>5.65</v>
      </c>
      <c r="J12" s="2959"/>
      <c r="K12" s="2959">
        <v>1.805844</v>
      </c>
      <c r="L12" s="2959" t="s">
        <v>3167</v>
      </c>
    </row>
    <row r="13" spans="1:13" s="2977" customFormat="1" ht="24">
      <c r="A13" s="2971">
        <v>7</v>
      </c>
      <c r="B13" s="2971">
        <v>601</v>
      </c>
      <c r="C13" s="2972" t="s">
        <v>3168</v>
      </c>
      <c r="D13" s="2973">
        <v>4</v>
      </c>
      <c r="E13" s="2974" t="s">
        <v>3169</v>
      </c>
      <c r="F13" s="2973" t="s">
        <v>3170</v>
      </c>
      <c r="G13" s="2973">
        <v>455.72</v>
      </c>
      <c r="H13" s="2975">
        <v>105.7908</v>
      </c>
      <c r="I13" s="2975">
        <f t="shared" si="0"/>
        <v>6.3599975471600558</v>
      </c>
      <c r="J13" s="2976" t="s">
        <v>3171</v>
      </c>
      <c r="K13" s="2975">
        <v>16.8001</v>
      </c>
      <c r="L13" s="2973"/>
    </row>
    <row r="14" spans="1:13" s="2977" customFormat="1" ht="24">
      <c r="A14" s="2971">
        <v>8</v>
      </c>
      <c r="B14" s="2971" t="s">
        <v>3172</v>
      </c>
      <c r="C14" s="2972" t="s">
        <v>3173</v>
      </c>
      <c r="D14" s="2973">
        <v>4</v>
      </c>
      <c r="E14" s="2974" t="s">
        <v>3174</v>
      </c>
      <c r="F14" s="2973" t="s">
        <v>3175</v>
      </c>
      <c r="G14" s="2973">
        <v>1952.76</v>
      </c>
      <c r="H14" s="2975">
        <v>434.78199999999998</v>
      </c>
      <c r="I14" s="2978">
        <f t="shared" si="0"/>
        <v>6.099999803579732</v>
      </c>
      <c r="J14" s="2976" t="s">
        <v>3176</v>
      </c>
      <c r="K14" s="2978">
        <v>108.6955</v>
      </c>
      <c r="L14" s="2973"/>
    </row>
    <row r="15" spans="1:13" s="2977" customFormat="1">
      <c r="A15" s="2971">
        <v>9</v>
      </c>
      <c r="B15" s="2971" t="s">
        <v>3177</v>
      </c>
      <c r="C15" s="2972" t="s">
        <v>3178</v>
      </c>
      <c r="D15" s="2973">
        <v>2</v>
      </c>
      <c r="E15" s="2974" t="s">
        <v>3179</v>
      </c>
      <c r="F15" s="2973" t="s">
        <v>3180</v>
      </c>
      <c r="G15" s="2973">
        <v>318.95</v>
      </c>
      <c r="H15" s="2975">
        <v>68.103803999999997</v>
      </c>
      <c r="I15" s="2978">
        <f t="shared" si="0"/>
        <v>5.850000450966033</v>
      </c>
      <c r="J15" s="2976"/>
      <c r="K15" s="2978">
        <v>12.611814000000001</v>
      </c>
      <c r="L15" s="2978" t="s">
        <v>3181</v>
      </c>
    </row>
    <row r="16" spans="1:13">
      <c r="A16" s="2963"/>
      <c r="B16" s="3359" t="s">
        <v>3182</v>
      </c>
      <c r="C16" s="3360"/>
      <c r="D16" s="2962"/>
      <c r="E16" s="2962"/>
      <c r="F16" s="2964"/>
      <c r="G16" s="2965">
        <f>SUM(G7:G15)</f>
        <v>4942.2700000000004</v>
      </c>
      <c r="H16" s="2966">
        <f>SUM(H7:H15)</f>
        <v>1065.4319830000002</v>
      </c>
      <c r="I16" s="2966">
        <f t="shared" ref="I16" si="1">H16*10000/G16/365</f>
        <v>5.9061761786518652</v>
      </c>
      <c r="J16" s="2967"/>
      <c r="K16" s="2966">
        <f>SUM(K7:K15)</f>
        <v>176.17036300000001</v>
      </c>
      <c r="L16" s="2956"/>
      <c r="M16" s="2968"/>
    </row>
    <row r="17" spans="5:10">
      <c r="F17" s="2969"/>
      <c r="G17" s="2969"/>
      <c r="H17" s="2969"/>
      <c r="I17" s="2969"/>
      <c r="J17" s="2969"/>
    </row>
    <row r="18" spans="5:10">
      <c r="F18" s="2969"/>
      <c r="G18" s="2969"/>
      <c r="H18" s="2969"/>
      <c r="I18" s="2969"/>
      <c r="J18" s="2969"/>
    </row>
    <row r="19" spans="5:10">
      <c r="F19" s="2969"/>
      <c r="G19" s="2969"/>
      <c r="H19" s="2969"/>
      <c r="I19" s="2969"/>
      <c r="J19" s="2969"/>
    </row>
    <row r="22" spans="5:10">
      <c r="E22" s="3370" t="s">
        <v>3213</v>
      </c>
      <c r="F22" s="3370">
        <v>2018</v>
      </c>
      <c r="G22" s="3370">
        <v>2019</v>
      </c>
      <c r="H22" s="3370">
        <v>2020</v>
      </c>
      <c r="I22" s="3370" t="s">
        <v>3215</v>
      </c>
    </row>
    <row r="23" spans="5:10">
      <c r="E23" s="3370">
        <f>G13</f>
        <v>455.72</v>
      </c>
      <c r="F23" s="3370">
        <f>ROUND(I13*G13*365/10000,0)</f>
        <v>106</v>
      </c>
      <c r="G23" s="3370">
        <f>F23</f>
        <v>106</v>
      </c>
      <c r="H23" s="3370">
        <f>F23</f>
        <v>106</v>
      </c>
      <c r="I23" s="3370">
        <f>H23+G23+F23+H24+G24+F24+H25+G25+F25</f>
        <v>1869</v>
      </c>
    </row>
    <row r="24" spans="5:10">
      <c r="E24" s="3370">
        <f>G14</f>
        <v>1952.76</v>
      </c>
      <c r="F24" s="3370">
        <f>ROUND(I14*G14*365/10000,0)</f>
        <v>435</v>
      </c>
      <c r="G24" s="3370">
        <f>ROUND(6.4*G14*365/10000,0)</f>
        <v>456</v>
      </c>
      <c r="H24" s="3370">
        <f>G24</f>
        <v>456</v>
      </c>
      <c r="I24" s="3371">
        <f>ROUND(I23/(E23+E24+E25)*10000/365/3,2)</f>
        <v>6.26</v>
      </c>
    </row>
    <row r="25" spans="5:10">
      <c r="E25" s="3370">
        <f>G15</f>
        <v>318.95</v>
      </c>
      <c r="F25" s="3370">
        <f>ROUND(I15*G15*365/10000,0)</f>
        <v>68</v>
      </c>
      <c r="G25" s="3370">
        <f>ROUND(I15*G15*365/10000,0)</f>
        <v>68</v>
      </c>
      <c r="H25" s="3370">
        <f>G25</f>
        <v>68</v>
      </c>
      <c r="I25" s="3370"/>
    </row>
    <row r="27" spans="5:10">
      <c r="E27" s="2951" t="s">
        <v>3213</v>
      </c>
      <c r="F27" s="2951">
        <v>2018</v>
      </c>
      <c r="G27" s="2951">
        <v>2019</v>
      </c>
      <c r="H27" s="2951">
        <v>2020</v>
      </c>
    </row>
    <row r="28" spans="5:10">
      <c r="E28" s="2951">
        <f>E23</f>
        <v>455.72</v>
      </c>
      <c r="F28" s="2968">
        <f>I13</f>
        <v>6.3599975471600558</v>
      </c>
      <c r="G28" s="2968">
        <f>F28</f>
        <v>6.3599975471600558</v>
      </c>
      <c r="H28" s="2968">
        <f>F28</f>
        <v>6.3599975471600558</v>
      </c>
      <c r="I28" s="2968">
        <f>AVERAGE(F28:H28)</f>
        <v>6.3599975471600558</v>
      </c>
    </row>
    <row r="29" spans="5:10">
      <c r="E29" s="2951">
        <f>E24</f>
        <v>1952.76</v>
      </c>
      <c r="F29" s="2968">
        <f>I14</f>
        <v>6.099999803579732</v>
      </c>
      <c r="G29" s="2951">
        <f>6.4</f>
        <v>6.4</v>
      </c>
      <c r="H29" s="2951">
        <f>G29</f>
        <v>6.4</v>
      </c>
      <c r="I29" s="2968">
        <f>AVERAGE(F29:H29)</f>
        <v>6.2999999345265776</v>
      </c>
    </row>
    <row r="30" spans="5:10">
      <c r="E30" s="2951">
        <f>E25</f>
        <v>318.95</v>
      </c>
      <c r="F30" s="2968">
        <f>I15</f>
        <v>5.850000450966033</v>
      </c>
      <c r="G30" s="2968">
        <f>F30</f>
        <v>5.850000450966033</v>
      </c>
      <c r="H30" s="2968">
        <f>G30</f>
        <v>5.850000450966033</v>
      </c>
      <c r="I30" s="2968">
        <f>AVERAGE(F30:H30)</f>
        <v>5.850000450966033</v>
      </c>
    </row>
    <row r="31" spans="5:10">
      <c r="I31" s="2968">
        <f>AVERAGE(I28:I30)</f>
        <v>6.1699993108842222</v>
      </c>
    </row>
  </sheetData>
  <mergeCells count="17">
    <mergeCell ref="B16:C16"/>
    <mergeCell ref="I3:I4"/>
    <mergeCell ref="J3:J4"/>
    <mergeCell ref="K3:K4"/>
    <mergeCell ref="L3:L4"/>
    <mergeCell ref="A5:C5"/>
    <mergeCell ref="A6:C6"/>
    <mergeCell ref="E1:K1"/>
    <mergeCell ref="E2:F2"/>
    <mergeCell ref="A3:A4"/>
    <mergeCell ref="B3:B4"/>
    <mergeCell ref="C3:C4"/>
    <mergeCell ref="D3:D4"/>
    <mergeCell ref="E3:E4"/>
    <mergeCell ref="F3:F4"/>
    <mergeCell ref="G3:G4"/>
    <mergeCell ref="H3:H4"/>
  </mergeCells>
  <phoneticPr fontId="14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4" sqref="C4"/>
    </sheetView>
  </sheetViews>
  <sheetFormatPr defaultRowHeight="20.25" customHeight="1"/>
  <cols>
    <col min="1" max="1" width="14.25" style="2981" customWidth="1"/>
    <col min="2" max="2" width="18.75" style="2981" customWidth="1"/>
    <col min="3" max="5" width="14.25" style="2981" customWidth="1"/>
    <col min="6" max="6" width="11" style="2981" customWidth="1"/>
    <col min="7" max="7" width="9" style="2981"/>
    <col min="8" max="8" width="13.75" style="2981" customWidth="1"/>
    <col min="9" max="256" width="9" style="2981"/>
    <col min="257" max="257" width="14.25" style="2981" customWidth="1"/>
    <col min="258" max="258" width="18.75" style="2981" customWidth="1"/>
    <col min="259" max="261" width="14.25" style="2981" customWidth="1"/>
    <col min="262" max="262" width="11" style="2981" customWidth="1"/>
    <col min="263" max="263" width="9" style="2981"/>
    <col min="264" max="264" width="13.75" style="2981" customWidth="1"/>
    <col min="265" max="512" width="9" style="2981"/>
    <col min="513" max="513" width="14.25" style="2981" customWidth="1"/>
    <col min="514" max="514" width="18.75" style="2981" customWidth="1"/>
    <col min="515" max="517" width="14.25" style="2981" customWidth="1"/>
    <col min="518" max="518" width="11" style="2981" customWidth="1"/>
    <col min="519" max="519" width="9" style="2981"/>
    <col min="520" max="520" width="13.75" style="2981" customWidth="1"/>
    <col min="521" max="768" width="9" style="2981"/>
    <col min="769" max="769" width="14.25" style="2981" customWidth="1"/>
    <col min="770" max="770" width="18.75" style="2981" customWidth="1"/>
    <col min="771" max="773" width="14.25" style="2981" customWidth="1"/>
    <col min="774" max="774" width="11" style="2981" customWidth="1"/>
    <col min="775" max="775" width="9" style="2981"/>
    <col min="776" max="776" width="13.75" style="2981" customWidth="1"/>
    <col min="777" max="1024" width="9" style="2981"/>
    <col min="1025" max="1025" width="14.25" style="2981" customWidth="1"/>
    <col min="1026" max="1026" width="18.75" style="2981" customWidth="1"/>
    <col min="1027" max="1029" width="14.25" style="2981" customWidth="1"/>
    <col min="1030" max="1030" width="11" style="2981" customWidth="1"/>
    <col min="1031" max="1031" width="9" style="2981"/>
    <col min="1032" max="1032" width="13.75" style="2981" customWidth="1"/>
    <col min="1033" max="1280" width="9" style="2981"/>
    <col min="1281" max="1281" width="14.25" style="2981" customWidth="1"/>
    <col min="1282" max="1282" width="18.75" style="2981" customWidth="1"/>
    <col min="1283" max="1285" width="14.25" style="2981" customWidth="1"/>
    <col min="1286" max="1286" width="11" style="2981" customWidth="1"/>
    <col min="1287" max="1287" width="9" style="2981"/>
    <col min="1288" max="1288" width="13.75" style="2981" customWidth="1"/>
    <col min="1289" max="1536" width="9" style="2981"/>
    <col min="1537" max="1537" width="14.25" style="2981" customWidth="1"/>
    <col min="1538" max="1538" width="18.75" style="2981" customWidth="1"/>
    <col min="1539" max="1541" width="14.25" style="2981" customWidth="1"/>
    <col min="1542" max="1542" width="11" style="2981" customWidth="1"/>
    <col min="1543" max="1543" width="9" style="2981"/>
    <col min="1544" max="1544" width="13.75" style="2981" customWidth="1"/>
    <col min="1545" max="1792" width="9" style="2981"/>
    <col min="1793" max="1793" width="14.25" style="2981" customWidth="1"/>
    <col min="1794" max="1794" width="18.75" style="2981" customWidth="1"/>
    <col min="1795" max="1797" width="14.25" style="2981" customWidth="1"/>
    <col min="1798" max="1798" width="11" style="2981" customWidth="1"/>
    <col min="1799" max="1799" width="9" style="2981"/>
    <col min="1800" max="1800" width="13.75" style="2981" customWidth="1"/>
    <col min="1801" max="2048" width="9" style="2981"/>
    <col min="2049" max="2049" width="14.25" style="2981" customWidth="1"/>
    <col min="2050" max="2050" width="18.75" style="2981" customWidth="1"/>
    <col min="2051" max="2053" width="14.25" style="2981" customWidth="1"/>
    <col min="2054" max="2054" width="11" style="2981" customWidth="1"/>
    <col min="2055" max="2055" width="9" style="2981"/>
    <col min="2056" max="2056" width="13.75" style="2981" customWidth="1"/>
    <col min="2057" max="2304" width="9" style="2981"/>
    <col min="2305" max="2305" width="14.25" style="2981" customWidth="1"/>
    <col min="2306" max="2306" width="18.75" style="2981" customWidth="1"/>
    <col min="2307" max="2309" width="14.25" style="2981" customWidth="1"/>
    <col min="2310" max="2310" width="11" style="2981" customWidth="1"/>
    <col min="2311" max="2311" width="9" style="2981"/>
    <col min="2312" max="2312" width="13.75" style="2981" customWidth="1"/>
    <col min="2313" max="2560" width="9" style="2981"/>
    <col min="2561" max="2561" width="14.25" style="2981" customWidth="1"/>
    <col min="2562" max="2562" width="18.75" style="2981" customWidth="1"/>
    <col min="2563" max="2565" width="14.25" style="2981" customWidth="1"/>
    <col min="2566" max="2566" width="11" style="2981" customWidth="1"/>
    <col min="2567" max="2567" width="9" style="2981"/>
    <col min="2568" max="2568" width="13.75" style="2981" customWidth="1"/>
    <col min="2569" max="2816" width="9" style="2981"/>
    <col min="2817" max="2817" width="14.25" style="2981" customWidth="1"/>
    <col min="2818" max="2818" width="18.75" style="2981" customWidth="1"/>
    <col min="2819" max="2821" width="14.25" style="2981" customWidth="1"/>
    <col min="2822" max="2822" width="11" style="2981" customWidth="1"/>
    <col min="2823" max="2823" width="9" style="2981"/>
    <col min="2824" max="2824" width="13.75" style="2981" customWidth="1"/>
    <col min="2825" max="3072" width="9" style="2981"/>
    <col min="3073" max="3073" width="14.25" style="2981" customWidth="1"/>
    <col min="3074" max="3074" width="18.75" style="2981" customWidth="1"/>
    <col min="3075" max="3077" width="14.25" style="2981" customWidth="1"/>
    <col min="3078" max="3078" width="11" style="2981" customWidth="1"/>
    <col min="3079" max="3079" width="9" style="2981"/>
    <col min="3080" max="3080" width="13.75" style="2981" customWidth="1"/>
    <col min="3081" max="3328" width="9" style="2981"/>
    <col min="3329" max="3329" width="14.25" style="2981" customWidth="1"/>
    <col min="3330" max="3330" width="18.75" style="2981" customWidth="1"/>
    <col min="3331" max="3333" width="14.25" style="2981" customWidth="1"/>
    <col min="3334" max="3334" width="11" style="2981" customWidth="1"/>
    <col min="3335" max="3335" width="9" style="2981"/>
    <col min="3336" max="3336" width="13.75" style="2981" customWidth="1"/>
    <col min="3337" max="3584" width="9" style="2981"/>
    <col min="3585" max="3585" width="14.25" style="2981" customWidth="1"/>
    <col min="3586" max="3586" width="18.75" style="2981" customWidth="1"/>
    <col min="3587" max="3589" width="14.25" style="2981" customWidth="1"/>
    <col min="3590" max="3590" width="11" style="2981" customWidth="1"/>
    <col min="3591" max="3591" width="9" style="2981"/>
    <col min="3592" max="3592" width="13.75" style="2981" customWidth="1"/>
    <col min="3593" max="3840" width="9" style="2981"/>
    <col min="3841" max="3841" width="14.25" style="2981" customWidth="1"/>
    <col min="3842" max="3842" width="18.75" style="2981" customWidth="1"/>
    <col min="3843" max="3845" width="14.25" style="2981" customWidth="1"/>
    <col min="3846" max="3846" width="11" style="2981" customWidth="1"/>
    <col min="3847" max="3847" width="9" style="2981"/>
    <col min="3848" max="3848" width="13.75" style="2981" customWidth="1"/>
    <col min="3849" max="4096" width="9" style="2981"/>
    <col min="4097" max="4097" width="14.25" style="2981" customWidth="1"/>
    <col min="4098" max="4098" width="18.75" style="2981" customWidth="1"/>
    <col min="4099" max="4101" width="14.25" style="2981" customWidth="1"/>
    <col min="4102" max="4102" width="11" style="2981" customWidth="1"/>
    <col min="4103" max="4103" width="9" style="2981"/>
    <col min="4104" max="4104" width="13.75" style="2981" customWidth="1"/>
    <col min="4105" max="4352" width="9" style="2981"/>
    <col min="4353" max="4353" width="14.25" style="2981" customWidth="1"/>
    <col min="4354" max="4354" width="18.75" style="2981" customWidth="1"/>
    <col min="4355" max="4357" width="14.25" style="2981" customWidth="1"/>
    <col min="4358" max="4358" width="11" style="2981" customWidth="1"/>
    <col min="4359" max="4359" width="9" style="2981"/>
    <col min="4360" max="4360" width="13.75" style="2981" customWidth="1"/>
    <col min="4361" max="4608" width="9" style="2981"/>
    <col min="4609" max="4609" width="14.25" style="2981" customWidth="1"/>
    <col min="4610" max="4610" width="18.75" style="2981" customWidth="1"/>
    <col min="4611" max="4613" width="14.25" style="2981" customWidth="1"/>
    <col min="4614" max="4614" width="11" style="2981" customWidth="1"/>
    <col min="4615" max="4615" width="9" style="2981"/>
    <col min="4616" max="4616" width="13.75" style="2981" customWidth="1"/>
    <col min="4617" max="4864" width="9" style="2981"/>
    <col min="4865" max="4865" width="14.25" style="2981" customWidth="1"/>
    <col min="4866" max="4866" width="18.75" style="2981" customWidth="1"/>
    <col min="4867" max="4869" width="14.25" style="2981" customWidth="1"/>
    <col min="4870" max="4870" width="11" style="2981" customWidth="1"/>
    <col min="4871" max="4871" width="9" style="2981"/>
    <col min="4872" max="4872" width="13.75" style="2981" customWidth="1"/>
    <col min="4873" max="5120" width="9" style="2981"/>
    <col min="5121" max="5121" width="14.25" style="2981" customWidth="1"/>
    <col min="5122" max="5122" width="18.75" style="2981" customWidth="1"/>
    <col min="5123" max="5125" width="14.25" style="2981" customWidth="1"/>
    <col min="5126" max="5126" width="11" style="2981" customWidth="1"/>
    <col min="5127" max="5127" width="9" style="2981"/>
    <col min="5128" max="5128" width="13.75" style="2981" customWidth="1"/>
    <col min="5129" max="5376" width="9" style="2981"/>
    <col min="5377" max="5377" width="14.25" style="2981" customWidth="1"/>
    <col min="5378" max="5378" width="18.75" style="2981" customWidth="1"/>
    <col min="5379" max="5381" width="14.25" style="2981" customWidth="1"/>
    <col min="5382" max="5382" width="11" style="2981" customWidth="1"/>
    <col min="5383" max="5383" width="9" style="2981"/>
    <col min="5384" max="5384" width="13.75" style="2981" customWidth="1"/>
    <col min="5385" max="5632" width="9" style="2981"/>
    <col min="5633" max="5633" width="14.25" style="2981" customWidth="1"/>
    <col min="5634" max="5634" width="18.75" style="2981" customWidth="1"/>
    <col min="5635" max="5637" width="14.25" style="2981" customWidth="1"/>
    <col min="5638" max="5638" width="11" style="2981" customWidth="1"/>
    <col min="5639" max="5639" width="9" style="2981"/>
    <col min="5640" max="5640" width="13.75" style="2981" customWidth="1"/>
    <col min="5641" max="5888" width="9" style="2981"/>
    <col min="5889" max="5889" width="14.25" style="2981" customWidth="1"/>
    <col min="5890" max="5890" width="18.75" style="2981" customWidth="1"/>
    <col min="5891" max="5893" width="14.25" style="2981" customWidth="1"/>
    <col min="5894" max="5894" width="11" style="2981" customWidth="1"/>
    <col min="5895" max="5895" width="9" style="2981"/>
    <col min="5896" max="5896" width="13.75" style="2981" customWidth="1"/>
    <col min="5897" max="6144" width="9" style="2981"/>
    <col min="6145" max="6145" width="14.25" style="2981" customWidth="1"/>
    <col min="6146" max="6146" width="18.75" style="2981" customWidth="1"/>
    <col min="6147" max="6149" width="14.25" style="2981" customWidth="1"/>
    <col min="6150" max="6150" width="11" style="2981" customWidth="1"/>
    <col min="6151" max="6151" width="9" style="2981"/>
    <col min="6152" max="6152" width="13.75" style="2981" customWidth="1"/>
    <col min="6153" max="6400" width="9" style="2981"/>
    <col min="6401" max="6401" width="14.25" style="2981" customWidth="1"/>
    <col min="6402" max="6402" width="18.75" style="2981" customWidth="1"/>
    <col min="6403" max="6405" width="14.25" style="2981" customWidth="1"/>
    <col min="6406" max="6406" width="11" style="2981" customWidth="1"/>
    <col min="6407" max="6407" width="9" style="2981"/>
    <col min="6408" max="6408" width="13.75" style="2981" customWidth="1"/>
    <col min="6409" max="6656" width="9" style="2981"/>
    <col min="6657" max="6657" width="14.25" style="2981" customWidth="1"/>
    <col min="6658" max="6658" width="18.75" style="2981" customWidth="1"/>
    <col min="6659" max="6661" width="14.25" style="2981" customWidth="1"/>
    <col min="6662" max="6662" width="11" style="2981" customWidth="1"/>
    <col min="6663" max="6663" width="9" style="2981"/>
    <col min="6664" max="6664" width="13.75" style="2981" customWidth="1"/>
    <col min="6665" max="6912" width="9" style="2981"/>
    <col min="6913" max="6913" width="14.25" style="2981" customWidth="1"/>
    <col min="6914" max="6914" width="18.75" style="2981" customWidth="1"/>
    <col min="6915" max="6917" width="14.25" style="2981" customWidth="1"/>
    <col min="6918" max="6918" width="11" style="2981" customWidth="1"/>
    <col min="6919" max="6919" width="9" style="2981"/>
    <col min="6920" max="6920" width="13.75" style="2981" customWidth="1"/>
    <col min="6921" max="7168" width="9" style="2981"/>
    <col min="7169" max="7169" width="14.25" style="2981" customWidth="1"/>
    <col min="7170" max="7170" width="18.75" style="2981" customWidth="1"/>
    <col min="7171" max="7173" width="14.25" style="2981" customWidth="1"/>
    <col min="7174" max="7174" width="11" style="2981" customWidth="1"/>
    <col min="7175" max="7175" width="9" style="2981"/>
    <col min="7176" max="7176" width="13.75" style="2981" customWidth="1"/>
    <col min="7177" max="7424" width="9" style="2981"/>
    <col min="7425" max="7425" width="14.25" style="2981" customWidth="1"/>
    <col min="7426" max="7426" width="18.75" style="2981" customWidth="1"/>
    <col min="7427" max="7429" width="14.25" style="2981" customWidth="1"/>
    <col min="7430" max="7430" width="11" style="2981" customWidth="1"/>
    <col min="7431" max="7431" width="9" style="2981"/>
    <col min="7432" max="7432" width="13.75" style="2981" customWidth="1"/>
    <col min="7433" max="7680" width="9" style="2981"/>
    <col min="7681" max="7681" width="14.25" style="2981" customWidth="1"/>
    <col min="7682" max="7682" width="18.75" style="2981" customWidth="1"/>
    <col min="7683" max="7685" width="14.25" style="2981" customWidth="1"/>
    <col min="7686" max="7686" width="11" style="2981" customWidth="1"/>
    <col min="7687" max="7687" width="9" style="2981"/>
    <col min="7688" max="7688" width="13.75" style="2981" customWidth="1"/>
    <col min="7689" max="7936" width="9" style="2981"/>
    <col min="7937" max="7937" width="14.25" style="2981" customWidth="1"/>
    <col min="7938" max="7938" width="18.75" style="2981" customWidth="1"/>
    <col min="7939" max="7941" width="14.25" style="2981" customWidth="1"/>
    <col min="7942" max="7942" width="11" style="2981" customWidth="1"/>
    <col min="7943" max="7943" width="9" style="2981"/>
    <col min="7944" max="7944" width="13.75" style="2981" customWidth="1"/>
    <col min="7945" max="8192" width="9" style="2981"/>
    <col min="8193" max="8193" width="14.25" style="2981" customWidth="1"/>
    <col min="8194" max="8194" width="18.75" style="2981" customWidth="1"/>
    <col min="8195" max="8197" width="14.25" style="2981" customWidth="1"/>
    <col min="8198" max="8198" width="11" style="2981" customWidth="1"/>
    <col min="8199" max="8199" width="9" style="2981"/>
    <col min="8200" max="8200" width="13.75" style="2981" customWidth="1"/>
    <col min="8201" max="8448" width="9" style="2981"/>
    <col min="8449" max="8449" width="14.25" style="2981" customWidth="1"/>
    <col min="8450" max="8450" width="18.75" style="2981" customWidth="1"/>
    <col min="8451" max="8453" width="14.25" style="2981" customWidth="1"/>
    <col min="8454" max="8454" width="11" style="2981" customWidth="1"/>
    <col min="8455" max="8455" width="9" style="2981"/>
    <col min="8456" max="8456" width="13.75" style="2981" customWidth="1"/>
    <col min="8457" max="8704" width="9" style="2981"/>
    <col min="8705" max="8705" width="14.25" style="2981" customWidth="1"/>
    <col min="8706" max="8706" width="18.75" style="2981" customWidth="1"/>
    <col min="8707" max="8709" width="14.25" style="2981" customWidth="1"/>
    <col min="8710" max="8710" width="11" style="2981" customWidth="1"/>
    <col min="8711" max="8711" width="9" style="2981"/>
    <col min="8712" max="8712" width="13.75" style="2981" customWidth="1"/>
    <col min="8713" max="8960" width="9" style="2981"/>
    <col min="8961" max="8961" width="14.25" style="2981" customWidth="1"/>
    <col min="8962" max="8962" width="18.75" style="2981" customWidth="1"/>
    <col min="8963" max="8965" width="14.25" style="2981" customWidth="1"/>
    <col min="8966" max="8966" width="11" style="2981" customWidth="1"/>
    <col min="8967" max="8967" width="9" style="2981"/>
    <col min="8968" max="8968" width="13.75" style="2981" customWidth="1"/>
    <col min="8969" max="9216" width="9" style="2981"/>
    <col min="9217" max="9217" width="14.25" style="2981" customWidth="1"/>
    <col min="9218" max="9218" width="18.75" style="2981" customWidth="1"/>
    <col min="9219" max="9221" width="14.25" style="2981" customWidth="1"/>
    <col min="9222" max="9222" width="11" style="2981" customWidth="1"/>
    <col min="9223" max="9223" width="9" style="2981"/>
    <col min="9224" max="9224" width="13.75" style="2981" customWidth="1"/>
    <col min="9225" max="9472" width="9" style="2981"/>
    <col min="9473" max="9473" width="14.25" style="2981" customWidth="1"/>
    <col min="9474" max="9474" width="18.75" style="2981" customWidth="1"/>
    <col min="9475" max="9477" width="14.25" style="2981" customWidth="1"/>
    <col min="9478" max="9478" width="11" style="2981" customWidth="1"/>
    <col min="9479" max="9479" width="9" style="2981"/>
    <col min="9480" max="9480" width="13.75" style="2981" customWidth="1"/>
    <col min="9481" max="9728" width="9" style="2981"/>
    <col min="9729" max="9729" width="14.25" style="2981" customWidth="1"/>
    <col min="9730" max="9730" width="18.75" style="2981" customWidth="1"/>
    <col min="9731" max="9733" width="14.25" style="2981" customWidth="1"/>
    <col min="9734" max="9734" width="11" style="2981" customWidth="1"/>
    <col min="9735" max="9735" width="9" style="2981"/>
    <col min="9736" max="9736" width="13.75" style="2981" customWidth="1"/>
    <col min="9737" max="9984" width="9" style="2981"/>
    <col min="9985" max="9985" width="14.25" style="2981" customWidth="1"/>
    <col min="9986" max="9986" width="18.75" style="2981" customWidth="1"/>
    <col min="9987" max="9989" width="14.25" style="2981" customWidth="1"/>
    <col min="9990" max="9990" width="11" style="2981" customWidth="1"/>
    <col min="9991" max="9991" width="9" style="2981"/>
    <col min="9992" max="9992" width="13.75" style="2981" customWidth="1"/>
    <col min="9993" max="10240" width="9" style="2981"/>
    <col min="10241" max="10241" width="14.25" style="2981" customWidth="1"/>
    <col min="10242" max="10242" width="18.75" style="2981" customWidth="1"/>
    <col min="10243" max="10245" width="14.25" style="2981" customWidth="1"/>
    <col min="10246" max="10246" width="11" style="2981" customWidth="1"/>
    <col min="10247" max="10247" width="9" style="2981"/>
    <col min="10248" max="10248" width="13.75" style="2981" customWidth="1"/>
    <col min="10249" max="10496" width="9" style="2981"/>
    <col min="10497" max="10497" width="14.25" style="2981" customWidth="1"/>
    <col min="10498" max="10498" width="18.75" style="2981" customWidth="1"/>
    <col min="10499" max="10501" width="14.25" style="2981" customWidth="1"/>
    <col min="10502" max="10502" width="11" style="2981" customWidth="1"/>
    <col min="10503" max="10503" width="9" style="2981"/>
    <col min="10504" max="10504" width="13.75" style="2981" customWidth="1"/>
    <col min="10505" max="10752" width="9" style="2981"/>
    <col min="10753" max="10753" width="14.25" style="2981" customWidth="1"/>
    <col min="10754" max="10754" width="18.75" style="2981" customWidth="1"/>
    <col min="10755" max="10757" width="14.25" style="2981" customWidth="1"/>
    <col min="10758" max="10758" width="11" style="2981" customWidth="1"/>
    <col min="10759" max="10759" width="9" style="2981"/>
    <col min="10760" max="10760" width="13.75" style="2981" customWidth="1"/>
    <col min="10761" max="11008" width="9" style="2981"/>
    <col min="11009" max="11009" width="14.25" style="2981" customWidth="1"/>
    <col min="11010" max="11010" width="18.75" style="2981" customWidth="1"/>
    <col min="11011" max="11013" width="14.25" style="2981" customWidth="1"/>
    <col min="11014" max="11014" width="11" style="2981" customWidth="1"/>
    <col min="11015" max="11015" width="9" style="2981"/>
    <col min="11016" max="11016" width="13.75" style="2981" customWidth="1"/>
    <col min="11017" max="11264" width="9" style="2981"/>
    <col min="11265" max="11265" width="14.25" style="2981" customWidth="1"/>
    <col min="11266" max="11266" width="18.75" style="2981" customWidth="1"/>
    <col min="11267" max="11269" width="14.25" style="2981" customWidth="1"/>
    <col min="11270" max="11270" width="11" style="2981" customWidth="1"/>
    <col min="11271" max="11271" width="9" style="2981"/>
    <col min="11272" max="11272" width="13.75" style="2981" customWidth="1"/>
    <col min="11273" max="11520" width="9" style="2981"/>
    <col min="11521" max="11521" width="14.25" style="2981" customWidth="1"/>
    <col min="11522" max="11522" width="18.75" style="2981" customWidth="1"/>
    <col min="11523" max="11525" width="14.25" style="2981" customWidth="1"/>
    <col min="11526" max="11526" width="11" style="2981" customWidth="1"/>
    <col min="11527" max="11527" width="9" style="2981"/>
    <col min="11528" max="11528" width="13.75" style="2981" customWidth="1"/>
    <col min="11529" max="11776" width="9" style="2981"/>
    <col min="11777" max="11777" width="14.25" style="2981" customWidth="1"/>
    <col min="11778" max="11778" width="18.75" style="2981" customWidth="1"/>
    <col min="11779" max="11781" width="14.25" style="2981" customWidth="1"/>
    <col min="11782" max="11782" width="11" style="2981" customWidth="1"/>
    <col min="11783" max="11783" width="9" style="2981"/>
    <col min="11784" max="11784" width="13.75" style="2981" customWidth="1"/>
    <col min="11785" max="12032" width="9" style="2981"/>
    <col min="12033" max="12033" width="14.25" style="2981" customWidth="1"/>
    <col min="12034" max="12034" width="18.75" style="2981" customWidth="1"/>
    <col min="12035" max="12037" width="14.25" style="2981" customWidth="1"/>
    <col min="12038" max="12038" width="11" style="2981" customWidth="1"/>
    <col min="12039" max="12039" width="9" style="2981"/>
    <col min="12040" max="12040" width="13.75" style="2981" customWidth="1"/>
    <col min="12041" max="12288" width="9" style="2981"/>
    <col min="12289" max="12289" width="14.25" style="2981" customWidth="1"/>
    <col min="12290" max="12290" width="18.75" style="2981" customWidth="1"/>
    <col min="12291" max="12293" width="14.25" style="2981" customWidth="1"/>
    <col min="12294" max="12294" width="11" style="2981" customWidth="1"/>
    <col min="12295" max="12295" width="9" style="2981"/>
    <col min="12296" max="12296" width="13.75" style="2981" customWidth="1"/>
    <col min="12297" max="12544" width="9" style="2981"/>
    <col min="12545" max="12545" width="14.25" style="2981" customWidth="1"/>
    <col min="12546" max="12546" width="18.75" style="2981" customWidth="1"/>
    <col min="12547" max="12549" width="14.25" style="2981" customWidth="1"/>
    <col min="12550" max="12550" width="11" style="2981" customWidth="1"/>
    <col min="12551" max="12551" width="9" style="2981"/>
    <col min="12552" max="12552" width="13.75" style="2981" customWidth="1"/>
    <col min="12553" max="12800" width="9" style="2981"/>
    <col min="12801" max="12801" width="14.25" style="2981" customWidth="1"/>
    <col min="12802" max="12802" width="18.75" style="2981" customWidth="1"/>
    <col min="12803" max="12805" width="14.25" style="2981" customWidth="1"/>
    <col min="12806" max="12806" width="11" style="2981" customWidth="1"/>
    <col min="12807" max="12807" width="9" style="2981"/>
    <col min="12808" max="12808" width="13.75" style="2981" customWidth="1"/>
    <col min="12809" max="13056" width="9" style="2981"/>
    <col min="13057" max="13057" width="14.25" style="2981" customWidth="1"/>
    <col min="13058" max="13058" width="18.75" style="2981" customWidth="1"/>
    <col min="13059" max="13061" width="14.25" style="2981" customWidth="1"/>
    <col min="13062" max="13062" width="11" style="2981" customWidth="1"/>
    <col min="13063" max="13063" width="9" style="2981"/>
    <col min="13064" max="13064" width="13.75" style="2981" customWidth="1"/>
    <col min="13065" max="13312" width="9" style="2981"/>
    <col min="13313" max="13313" width="14.25" style="2981" customWidth="1"/>
    <col min="13314" max="13314" width="18.75" style="2981" customWidth="1"/>
    <col min="13315" max="13317" width="14.25" style="2981" customWidth="1"/>
    <col min="13318" max="13318" width="11" style="2981" customWidth="1"/>
    <col min="13319" max="13319" width="9" style="2981"/>
    <col min="13320" max="13320" width="13.75" style="2981" customWidth="1"/>
    <col min="13321" max="13568" width="9" style="2981"/>
    <col min="13569" max="13569" width="14.25" style="2981" customWidth="1"/>
    <col min="13570" max="13570" width="18.75" style="2981" customWidth="1"/>
    <col min="13571" max="13573" width="14.25" style="2981" customWidth="1"/>
    <col min="13574" max="13574" width="11" style="2981" customWidth="1"/>
    <col min="13575" max="13575" width="9" style="2981"/>
    <col min="13576" max="13576" width="13.75" style="2981" customWidth="1"/>
    <col min="13577" max="13824" width="9" style="2981"/>
    <col min="13825" max="13825" width="14.25" style="2981" customWidth="1"/>
    <col min="13826" max="13826" width="18.75" style="2981" customWidth="1"/>
    <col min="13827" max="13829" width="14.25" style="2981" customWidth="1"/>
    <col min="13830" max="13830" width="11" style="2981" customWidth="1"/>
    <col min="13831" max="13831" width="9" style="2981"/>
    <col min="13832" max="13832" width="13.75" style="2981" customWidth="1"/>
    <col min="13833" max="14080" width="9" style="2981"/>
    <col min="14081" max="14081" width="14.25" style="2981" customWidth="1"/>
    <col min="14082" max="14082" width="18.75" style="2981" customWidth="1"/>
    <col min="14083" max="14085" width="14.25" style="2981" customWidth="1"/>
    <col min="14086" max="14086" width="11" style="2981" customWidth="1"/>
    <col min="14087" max="14087" width="9" style="2981"/>
    <col min="14088" max="14088" width="13.75" style="2981" customWidth="1"/>
    <col min="14089" max="14336" width="9" style="2981"/>
    <col min="14337" max="14337" width="14.25" style="2981" customWidth="1"/>
    <col min="14338" max="14338" width="18.75" style="2981" customWidth="1"/>
    <col min="14339" max="14341" width="14.25" style="2981" customWidth="1"/>
    <col min="14342" max="14342" width="11" style="2981" customWidth="1"/>
    <col min="14343" max="14343" width="9" style="2981"/>
    <col min="14344" max="14344" width="13.75" style="2981" customWidth="1"/>
    <col min="14345" max="14592" width="9" style="2981"/>
    <col min="14593" max="14593" width="14.25" style="2981" customWidth="1"/>
    <col min="14594" max="14594" width="18.75" style="2981" customWidth="1"/>
    <col min="14595" max="14597" width="14.25" style="2981" customWidth="1"/>
    <col min="14598" max="14598" width="11" style="2981" customWidth="1"/>
    <col min="14599" max="14599" width="9" style="2981"/>
    <col min="14600" max="14600" width="13.75" style="2981" customWidth="1"/>
    <col min="14601" max="14848" width="9" style="2981"/>
    <col min="14849" max="14849" width="14.25" style="2981" customWidth="1"/>
    <col min="14850" max="14850" width="18.75" style="2981" customWidth="1"/>
    <col min="14851" max="14853" width="14.25" style="2981" customWidth="1"/>
    <col min="14854" max="14854" width="11" style="2981" customWidth="1"/>
    <col min="14855" max="14855" width="9" style="2981"/>
    <col min="14856" max="14856" width="13.75" style="2981" customWidth="1"/>
    <col min="14857" max="15104" width="9" style="2981"/>
    <col min="15105" max="15105" width="14.25" style="2981" customWidth="1"/>
    <col min="15106" max="15106" width="18.75" style="2981" customWidth="1"/>
    <col min="15107" max="15109" width="14.25" style="2981" customWidth="1"/>
    <col min="15110" max="15110" width="11" style="2981" customWidth="1"/>
    <col min="15111" max="15111" width="9" style="2981"/>
    <col min="15112" max="15112" width="13.75" style="2981" customWidth="1"/>
    <col min="15113" max="15360" width="9" style="2981"/>
    <col min="15361" max="15361" width="14.25" style="2981" customWidth="1"/>
    <col min="15362" max="15362" width="18.75" style="2981" customWidth="1"/>
    <col min="15363" max="15365" width="14.25" style="2981" customWidth="1"/>
    <col min="15366" max="15366" width="11" style="2981" customWidth="1"/>
    <col min="15367" max="15367" width="9" style="2981"/>
    <col min="15368" max="15368" width="13.75" style="2981" customWidth="1"/>
    <col min="15369" max="15616" width="9" style="2981"/>
    <col min="15617" max="15617" width="14.25" style="2981" customWidth="1"/>
    <col min="15618" max="15618" width="18.75" style="2981" customWidth="1"/>
    <col min="15619" max="15621" width="14.25" style="2981" customWidth="1"/>
    <col min="15622" max="15622" width="11" style="2981" customWidth="1"/>
    <col min="15623" max="15623" width="9" style="2981"/>
    <col min="15624" max="15624" width="13.75" style="2981" customWidth="1"/>
    <col min="15625" max="15872" width="9" style="2981"/>
    <col min="15873" max="15873" width="14.25" style="2981" customWidth="1"/>
    <col min="15874" max="15874" width="18.75" style="2981" customWidth="1"/>
    <col min="15875" max="15877" width="14.25" style="2981" customWidth="1"/>
    <col min="15878" max="15878" width="11" style="2981" customWidth="1"/>
    <col min="15879" max="15879" width="9" style="2981"/>
    <col min="15880" max="15880" width="13.75" style="2981" customWidth="1"/>
    <col min="15881" max="16128" width="9" style="2981"/>
    <col min="16129" max="16129" width="14.25" style="2981" customWidth="1"/>
    <col min="16130" max="16130" width="18.75" style="2981" customWidth="1"/>
    <col min="16131" max="16133" width="14.25" style="2981" customWidth="1"/>
    <col min="16134" max="16134" width="11" style="2981" customWidth="1"/>
    <col min="16135" max="16135" width="9" style="2981"/>
    <col min="16136" max="16136" width="13.75" style="2981" customWidth="1"/>
    <col min="16137" max="16384" width="9" style="2981"/>
  </cols>
  <sheetData>
    <row r="1" spans="1:6" ht="20.25" customHeight="1" thickBot="1">
      <c r="A1" s="2979" t="s">
        <v>3183</v>
      </c>
      <c r="B1" s="2980">
        <f>'数据-取费表'!B2</f>
        <v>43047</v>
      </c>
    </row>
    <row r="2" spans="1:6" ht="33" customHeight="1">
      <c r="A2" s="2982" t="s">
        <v>3184</v>
      </c>
      <c r="B2" s="2983" t="s">
        <v>3185</v>
      </c>
      <c r="C2" s="2984" t="s">
        <v>3186</v>
      </c>
      <c r="D2" s="2983" t="s">
        <v>3187</v>
      </c>
      <c r="E2" s="2985" t="s">
        <v>3188</v>
      </c>
    </row>
    <row r="3" spans="1:6" ht="20.25" customHeight="1">
      <c r="A3" s="2986">
        <v>40</v>
      </c>
      <c r="B3" s="2987">
        <v>46375</v>
      </c>
      <c r="C3" s="2988">
        <f>ROUNDDOWN(MIN((B3-$B$1)/365,A3),2)</f>
        <v>9.11</v>
      </c>
      <c r="D3" s="2989">
        <f>IF(ISERROR(ROUND(POWER(1+E3,A3-C3)*(POWER(1+E3,C3)-1)/(POWER(1+E3,A3)-1),3)),0,ROUND(POWER(1+E3,A3-C3)*(POWER(1+E3,C3)-1)/(POWER(1+E3,A3)-1),3))</f>
        <v>0.379</v>
      </c>
      <c r="E3" s="2990">
        <v>0.04</v>
      </c>
    </row>
    <row r="4" spans="1:6" ht="20.25" customHeight="1">
      <c r="A4" s="2986">
        <v>50</v>
      </c>
      <c r="B4" s="2987">
        <v>43951</v>
      </c>
      <c r="C4" s="2988">
        <f>ROUNDDOWN(MIN((B4-$B$1)/365,A4),2)</f>
        <v>2.4700000000000002</v>
      </c>
      <c r="D4" s="2989">
        <f>IF(ISERROR(ROUND(POWER(1+E4,A4-C4)*(POWER(1+E4,C4)-1)/(POWER(1+E4,A4)-1),3)),0,ROUND(POWER(1+E4,A4-C4)*(POWER(1+E4,C4)-1)/(POWER(1+E4,A4)-1),3))</f>
        <v>0.11600000000000001</v>
      </c>
      <c r="E4" s="2990">
        <f>'数据-取费表'!H6</f>
        <v>4.4999999999999998E-2</v>
      </c>
    </row>
    <row r="5" spans="1:6" ht="20.25" customHeight="1" thickBot="1">
      <c r="A5" s="2991">
        <v>70</v>
      </c>
      <c r="B5" s="2992">
        <v>57333</v>
      </c>
      <c r="C5" s="2993">
        <f>ROUNDDOWN(MIN((B5-$B$1)/365,A5),2)</f>
        <v>39.130000000000003</v>
      </c>
      <c r="D5" s="2994">
        <f>IF(ISERROR(ROUND(POWER(1+E5,A5-C5)*(POWER(1+E5,C5)-1)/(POWER(1+E5,A5)-1),3)),0,ROUND(POWER(1+E5,A5-C5)*(POWER(1+E5,C5)-1)/(POWER(1+E5,A5)-1),3))</f>
        <v>0.83799999999999997</v>
      </c>
      <c r="E5" s="2995">
        <v>0.04</v>
      </c>
    </row>
    <row r="6" spans="1:6" ht="20.25" customHeight="1" thickBot="1"/>
    <row r="7" spans="1:6" s="2998" customFormat="1" ht="20.25" customHeight="1" thickBot="1">
      <c r="A7" s="2996" t="s">
        <v>3189</v>
      </c>
      <c r="B7" s="2997"/>
    </row>
    <row r="8" spans="1:6" ht="20.25" customHeight="1" thickBot="1">
      <c r="A8" s="3366" t="s">
        <v>3190</v>
      </c>
      <c r="B8" s="3367"/>
      <c r="C8" s="2999"/>
      <c r="D8" s="3000" t="s">
        <v>3188</v>
      </c>
      <c r="E8" s="2999"/>
      <c r="F8" s="3001" t="s">
        <v>3187</v>
      </c>
    </row>
    <row r="9" spans="1:6" ht="20.25" customHeight="1">
      <c r="A9" s="3002" t="s">
        <v>3191</v>
      </c>
      <c r="B9" s="3003">
        <v>70</v>
      </c>
      <c r="C9" s="3004" t="s">
        <v>3192</v>
      </c>
      <c r="D9" s="3005">
        <v>4.4999999999999998E-2</v>
      </c>
      <c r="E9" s="3004" t="s">
        <v>3193</v>
      </c>
      <c r="F9" s="3006">
        <f>1-(1/(POWER(1+D9,B9)))</f>
        <v>0.95409503414356267</v>
      </c>
    </row>
    <row r="10" spans="1:6" ht="20.25" customHeight="1" thickBot="1">
      <c r="A10" s="3007" t="s">
        <v>3194</v>
      </c>
      <c r="B10" s="3008">
        <v>40</v>
      </c>
      <c r="C10" s="3009" t="s">
        <v>3195</v>
      </c>
      <c r="D10" s="3010">
        <v>4.4999999999999998E-2</v>
      </c>
      <c r="E10" s="3009" t="s">
        <v>3196</v>
      </c>
      <c r="F10" s="3011">
        <f>1-(1/(POWER(1+D10,B10)))</f>
        <v>0.8280712989125899</v>
      </c>
    </row>
    <row r="11" spans="1:6" ht="20.25" customHeight="1" thickBot="1">
      <c r="A11" s="3012" t="s">
        <v>3197</v>
      </c>
      <c r="B11" s="3013"/>
      <c r="C11" s="3013"/>
      <c r="D11" s="3013"/>
      <c r="E11" s="3013"/>
      <c r="F11" s="3013"/>
    </row>
    <row r="12" spans="1:6" ht="20.25" customHeight="1">
      <c r="A12" s="3002" t="s">
        <v>3198</v>
      </c>
      <c r="B12" s="3014">
        <v>5000</v>
      </c>
      <c r="E12" s="3015"/>
      <c r="F12" s="3015"/>
    </row>
    <row r="13" spans="1:6" ht="20.25" customHeight="1" thickBot="1">
      <c r="A13" s="3007" t="s">
        <v>3199</v>
      </c>
      <c r="B13" s="3016">
        <f>ROUND(B12*F10/F9,2)</f>
        <v>4339.5600000000004</v>
      </c>
      <c r="C13" s="3017">
        <f>ROUND(F10/F9,4)</f>
        <v>0.8679</v>
      </c>
      <c r="E13" s="3015"/>
      <c r="F13" s="3015"/>
    </row>
    <row r="14" spans="1:6" ht="20.25" customHeight="1" thickBot="1">
      <c r="A14" s="3012" t="s">
        <v>3200</v>
      </c>
      <c r="B14" s="3018"/>
      <c r="C14" s="3015"/>
    </row>
    <row r="15" spans="1:6" ht="20.25" customHeight="1">
      <c r="A15" s="3004" t="s">
        <v>3201</v>
      </c>
      <c r="B15" s="3019">
        <v>4810</v>
      </c>
      <c r="C15" s="3015"/>
    </row>
    <row r="16" spans="1:6" ht="20.25" customHeight="1" thickBot="1">
      <c r="A16" s="3009" t="s">
        <v>3202</v>
      </c>
      <c r="B16" s="3020">
        <f>ROUND(B15*F9/F10,2)</f>
        <v>5542.03</v>
      </c>
      <c r="C16" s="3017">
        <f>ROUND(F9/F10,4)</f>
        <v>1.1521999999999999</v>
      </c>
    </row>
    <row r="17" spans="3:3" ht="20.25" customHeight="1">
      <c r="C17" s="3015"/>
    </row>
  </sheetData>
  <sheetProtection sheet="1"/>
  <mergeCells count="1">
    <mergeCell ref="A8:B8"/>
  </mergeCells>
  <phoneticPr fontId="144"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1642</v>
      </c>
      <c r="B2" s="3045" t="s">
        <v>1643</v>
      </c>
      <c r="C2" s="3045" t="s">
        <v>1644</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
      <c r="A3" s="3039"/>
      <c r="B3" s="3039"/>
      <c r="C3" s="3039"/>
      <c r="D3" s="1048" t="s">
        <v>1639</v>
      </c>
      <c r="E3" s="1048" t="s">
        <v>1645</v>
      </c>
      <c r="F3" s="1048" t="s">
        <v>1639</v>
      </c>
      <c r="G3" s="1048" t="s">
        <v>1640</v>
      </c>
      <c r="H3" s="1048" t="s">
        <v>1639</v>
      </c>
      <c r="I3" s="1048" t="s">
        <v>1640</v>
      </c>
    </row>
    <row r="4" spans="1:9" ht="45">
      <c r="A4" s="1978" t="str">
        <f>项目基本情况!S2</f>
        <v>北京市西城区广安门外大街168号1幢3层1-301等六套办公用房房地产房地产</v>
      </c>
      <c r="B4" s="1048">
        <f>项目基本情况!C17</f>
        <v>1952.76</v>
      </c>
      <c r="C4" s="1048">
        <f>项目基本情况!C18</f>
        <v>0</v>
      </c>
      <c r="D4" s="1048">
        <f ca="1">结果表!D118</f>
        <v>7125</v>
      </c>
      <c r="E4" s="1048">
        <f ca="1">结果表!E118</f>
        <v>36486</v>
      </c>
      <c r="F4" s="1048">
        <f ca="1">结果表!F118</f>
        <v>1377</v>
      </c>
      <c r="G4" s="1048">
        <f ca="1">结果表!G118</f>
        <v>7052</v>
      </c>
      <c r="H4" s="1048">
        <f ca="1">结果表!H118</f>
        <v>8502</v>
      </c>
      <c r="I4" s="1048">
        <f ca="1">结果表!I118</f>
        <v>43538</v>
      </c>
    </row>
    <row r="5" spans="1:9" ht="30" customHeight="1">
      <c r="A5" s="3039" t="s">
        <v>1641</v>
      </c>
      <c r="B5" s="3039"/>
      <c r="C5" s="3039"/>
      <c r="D5" s="3040" t="str">
        <f ca="1">结果表!D119</f>
        <v>柒仟壹佰贰拾伍万元整</v>
      </c>
      <c r="E5" s="3040"/>
      <c r="F5" s="3040" t="str">
        <f ca="1">结果表!F119</f>
        <v>壹仟叁佰柒拾柒万元整</v>
      </c>
      <c r="G5" s="3040"/>
      <c r="H5" s="3040" t="str">
        <f ca="1">结果表!H119</f>
        <v>捌仟伍佰零贰万元整</v>
      </c>
      <c r="I5" s="3040"/>
    </row>
    <row r="6" spans="1:9" ht="15.75">
      <c r="A6" s="3038" t="str">
        <f>结果表!A120</f>
        <v>估价师知悉的法定优先受偿款</v>
      </c>
      <c r="B6" s="3038"/>
      <c r="C6" s="3038"/>
      <c r="D6" s="3038">
        <f>结果表!D120</f>
        <v>0</v>
      </c>
      <c r="E6" s="3038"/>
      <c r="F6" s="3038"/>
      <c r="G6" s="3038"/>
      <c r="H6" s="3038"/>
      <c r="I6" s="3038"/>
    </row>
    <row r="7" spans="1:9" ht="15">
      <c r="A7" s="3039" t="s">
        <v>1641</v>
      </c>
      <c r="B7" s="3039"/>
      <c r="C7" s="3039"/>
      <c r="D7" s="3041" t="str">
        <f>结果表!D121</f>
        <v>零元整</v>
      </c>
      <c r="E7" s="3042"/>
      <c r="F7" s="3042"/>
      <c r="G7" s="3042"/>
      <c r="H7" s="3042"/>
      <c r="I7" s="3043"/>
    </row>
    <row r="8" spans="1:9" ht="15.75">
      <c r="A8" s="3038" t="str">
        <f>结果表!A122</f>
        <v>房地产抵押价值</v>
      </c>
      <c r="B8" s="3038"/>
      <c r="C8" s="3038"/>
      <c r="D8" s="3038">
        <f ca="1">结果表!D122</f>
        <v>8502</v>
      </c>
      <c r="E8" s="3038"/>
      <c r="F8" s="3038"/>
      <c r="G8" s="3038"/>
      <c r="H8" s="3038"/>
      <c r="I8" s="3038"/>
    </row>
    <row r="9" spans="1:9" ht="15">
      <c r="A9" s="3039" t="s">
        <v>1641</v>
      </c>
      <c r="B9" s="3039"/>
      <c r="C9" s="3039"/>
      <c r="D9" s="3040" t="str">
        <f ca="1">结果表!D123</f>
        <v>捌仟伍佰零贰万元整</v>
      </c>
      <c r="E9" s="3040"/>
      <c r="F9" s="3040"/>
      <c r="G9" s="3040"/>
      <c r="H9" s="3040"/>
      <c r="I9" s="3040"/>
    </row>
    <row r="10" spans="1:9" ht="15.75">
      <c r="A10" s="3038" t="str">
        <f>结果表!A124</f>
        <v/>
      </c>
      <c r="B10" s="3038"/>
      <c r="C10" s="3038"/>
      <c r="D10" s="3038" t="str">
        <f>结果表!D124</f>
        <v>——</v>
      </c>
      <c r="E10" s="3038"/>
      <c r="F10" s="3038"/>
      <c r="G10" s="3038"/>
      <c r="H10" s="3038"/>
      <c r="I10" s="3038"/>
    </row>
    <row r="11" spans="1:9" ht="15">
      <c r="A11" s="3039" t="s">
        <v>1641</v>
      </c>
      <c r="B11" s="3039"/>
      <c r="C11" s="3039"/>
      <c r="D11" s="3040" t="e">
        <f>结果表!D125</f>
        <v>#VALUE!</v>
      </c>
      <c r="E11" s="3040"/>
      <c r="F11" s="3040"/>
      <c r="G11" s="3040"/>
      <c r="H11" s="3040"/>
      <c r="I11" s="3040"/>
    </row>
    <row r="12" spans="1:9" ht="15.75">
      <c r="A12" s="3038" t="str">
        <f>结果表!A126</f>
        <v/>
      </c>
      <c r="B12" s="3038"/>
      <c r="C12" s="3038"/>
      <c r="D12" s="3038" t="str">
        <f>结果表!D126</f>
        <v>——</v>
      </c>
      <c r="E12" s="3038"/>
      <c r="F12" s="3038"/>
      <c r="G12" s="3038"/>
      <c r="H12" s="3038"/>
      <c r="I12" s="3038"/>
    </row>
    <row r="13" spans="1:9" ht="15.75" thickBot="1">
      <c r="A13" s="3035" t="s">
        <v>1641</v>
      </c>
      <c r="B13" s="3035"/>
      <c r="C13" s="3035"/>
      <c r="D13" s="3036" t="e">
        <f>结果表!D127</f>
        <v>#VALUE!</v>
      </c>
      <c r="E13" s="3036"/>
      <c r="F13" s="3036"/>
      <c r="G13" s="3036"/>
      <c r="H13" s="3036"/>
      <c r="I13" s="3036"/>
    </row>
    <row r="14" spans="1:9" ht="15" thickTop="1">
      <c r="A14" s="3037" t="s">
        <v>1646</v>
      </c>
      <c r="B14" s="3037"/>
      <c r="C14" s="3037"/>
      <c r="D14" s="3037"/>
      <c r="E14" s="3037"/>
      <c r="F14" s="3037"/>
      <c r="G14" s="3037"/>
      <c r="H14" s="3037"/>
      <c r="I14" s="3037"/>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52" t="s">
        <v>1663</v>
      </c>
      <c r="B1" s="3052"/>
      <c r="C1" s="3052"/>
      <c r="D1" s="3052"/>
    </row>
    <row r="2" spans="1:4" ht="18">
      <c r="A2" s="3053" t="s">
        <v>1647</v>
      </c>
      <c r="B2" s="3053"/>
      <c r="C2" s="3053"/>
      <c r="D2" s="3053"/>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3053" t="s">
        <v>1653</v>
      </c>
      <c r="B6" s="3053"/>
      <c r="C6" s="3053"/>
      <c r="D6" s="3053"/>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3054" t="s">
        <v>1656</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1"/>
      <c r="C12" s="3051"/>
      <c r="D12" s="3051"/>
    </row>
    <row r="13" spans="1:4" ht="30" customHeight="1">
      <c r="A13" s="3046" t="str">
        <f>IF(项目基本情况!B8="抵押","3.抵押双方在办理抵押登记手续时，应使用本公司出具的正式《房地产评估报告》，特提醒报告使用者注意。","——")</f>
        <v>——</v>
      </c>
      <c r="B13" s="3051"/>
      <c r="C13" s="3051"/>
      <c r="D13" s="3051"/>
    </row>
    <row r="14" spans="1:4" ht="15.75" customHeight="1">
      <c r="A14" s="3046" t="str">
        <f>IF(项目基本情况!B8="抵押","4.本次评估估价师所知悉的法定优先受偿款情况说明如下：","——")</f>
        <v>——</v>
      </c>
      <c r="B14" s="3051"/>
      <c r="C14" s="3051"/>
      <c r="D14" s="3051"/>
    </row>
    <row r="15" spans="1:4" ht="42" customHeight="1">
      <c r="A15" s="3046" t="str">
        <f>IF(项目基本情况!B8="抵押","（1）"&amp;CONCATENATE(项目基本情况!L20,项目基本情况!L21,项目基本情况!L22),"——")</f>
        <v>——</v>
      </c>
      <c r="B15" s="3046"/>
      <c r="C15" s="3046"/>
      <c r="D15" s="3046"/>
    </row>
    <row r="16" spans="1:4" ht="30" customHeight="1">
      <c r="A16" s="3048" t="s">
        <v>1657</v>
      </c>
      <c r="B16" s="3048"/>
      <c r="C16" s="3048"/>
      <c r="D16" s="3048"/>
    </row>
    <row r="17" spans="1:4" ht="144" customHeight="1">
      <c r="A17" s="3048" t="s">
        <v>1658</v>
      </c>
      <c r="B17" s="3048"/>
      <c r="C17" s="3048"/>
      <c r="D17" s="3048"/>
    </row>
    <row r="18" spans="1:4" ht="15.75" customHeight="1">
      <c r="A18" s="3046" t="str">
        <f>IF(项目基本情况!B8="抵押",结果表!K120,"——")</f>
        <v>——</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6"/>
      <c r="C20" s="3046"/>
      <c r="D20" s="3046"/>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9"/>
      <c r="C21" s="3049"/>
      <c r="D21" s="3049"/>
    </row>
    <row r="22" spans="1:4" ht="18.75" customHeight="1">
      <c r="A22" s="3050" t="s">
        <v>1659</v>
      </c>
      <c r="B22" s="3050"/>
      <c r="C22" s="3050"/>
      <c r="D22" s="3050"/>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3047">
        <v>42551</v>
      </c>
      <c r="D31" s="30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3060" t="s">
        <v>1670</v>
      </c>
      <c r="B15" s="3055" t="s">
        <v>136</v>
      </c>
      <c r="C15" s="3056"/>
    </row>
    <row r="16" spans="1:7" ht="13.5">
      <c r="A16" s="3061"/>
      <c r="B16" s="3055" t="s">
        <v>69</v>
      </c>
      <c r="C16" s="3056"/>
    </row>
    <row r="17" spans="1:3" ht="13.5">
      <c r="A17" s="3061"/>
      <c r="B17" s="3058" t="s">
        <v>1671</v>
      </c>
      <c r="C17" s="2005" t="s">
        <v>1670</v>
      </c>
    </row>
    <row r="18" spans="1:3" ht="13.5">
      <c r="A18" s="3061"/>
      <c r="B18" s="3058"/>
      <c r="C18" s="2005" t="s">
        <v>1672</v>
      </c>
    </row>
    <row r="19" spans="1:3" ht="13.5">
      <c r="A19" s="3061"/>
      <c r="B19" s="3058"/>
      <c r="C19" s="2005" t="s">
        <v>1673</v>
      </c>
    </row>
    <row r="20" spans="1:3" ht="13.5">
      <c r="A20" s="3062"/>
      <c r="B20" s="3057" t="s">
        <v>1674</v>
      </c>
      <c r="C20" s="3056"/>
    </row>
    <row r="21" spans="1:3" ht="13.5">
      <c r="A21" s="2006" t="s">
        <v>1675</v>
      </c>
      <c r="B21" s="2007"/>
      <c r="C21" s="2008"/>
    </row>
    <row r="22" spans="1:3" ht="13.5">
      <c r="A22" s="3059" t="s">
        <v>1676</v>
      </c>
      <c r="B22" s="3057" t="s">
        <v>1677</v>
      </c>
      <c r="C22" s="3056"/>
    </row>
    <row r="23" spans="1:3" ht="13.5">
      <c r="A23" s="3059"/>
      <c r="B23" s="3057" t="s">
        <v>1678</v>
      </c>
      <c r="C23" s="3056"/>
    </row>
    <row r="24" spans="1:3" ht="13.5">
      <c r="A24" s="3059"/>
      <c r="B24" s="3057" t="s">
        <v>1679</v>
      </c>
      <c r="C24" s="3056"/>
    </row>
    <row r="25" spans="1:3" ht="13.5">
      <c r="A25" s="3059"/>
      <c r="B25" s="3058" t="s">
        <v>1680</v>
      </c>
      <c r="C25" s="2005" t="s">
        <v>1681</v>
      </c>
    </row>
    <row r="26" spans="1:3" ht="13.5">
      <c r="A26" s="3059"/>
      <c r="B26" s="3058"/>
      <c r="C26" s="2005" t="s">
        <v>1682</v>
      </c>
    </row>
    <row r="27" spans="1:3" ht="13.5">
      <c r="A27" s="3059"/>
      <c r="B27" s="3058"/>
      <c r="C27" s="2005" t="s">
        <v>1683</v>
      </c>
    </row>
    <row r="28" spans="1:3" ht="13.5">
      <c r="A28" s="3059"/>
      <c r="B28" s="3058"/>
      <c r="C28" s="2005" t="s">
        <v>1684</v>
      </c>
    </row>
    <row r="29" spans="1:3" ht="13.5">
      <c r="A29" s="3059"/>
      <c r="B29" s="3058"/>
      <c r="C29" s="2005" t="s">
        <v>1685</v>
      </c>
    </row>
    <row r="30" spans="1:3" ht="13.5">
      <c r="A30" s="3059"/>
      <c r="B30" s="3058"/>
      <c r="C30" s="2005" t="s">
        <v>1686</v>
      </c>
    </row>
    <row r="31" spans="1:3" ht="13.5">
      <c r="A31" s="3059"/>
      <c r="B31" s="3058"/>
      <c r="C31" s="2005" t="s">
        <v>1687</v>
      </c>
    </row>
    <row r="32" spans="1:3" ht="13.5">
      <c r="A32" s="3059"/>
      <c r="B32" s="3058"/>
      <c r="C32" s="2005" t="s">
        <v>1688</v>
      </c>
    </row>
    <row r="33" spans="1:3" ht="13.5">
      <c r="A33" s="3059"/>
      <c r="B33" s="3058"/>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3063" t="s">
        <v>846</v>
      </c>
      <c r="B25" s="3063"/>
      <c r="C25" s="3063"/>
      <c r="D25" s="3063"/>
      <c r="E25" s="3063"/>
      <c r="F25" s="3063"/>
      <c r="G25" s="3063"/>
    </row>
    <row r="26" spans="1:7" s="1029" customFormat="1" ht="24" customHeight="1">
      <c r="A26" s="3064" t="s">
        <v>847</v>
      </c>
      <c r="B26" s="3064"/>
      <c r="C26" s="3065"/>
      <c r="D26" s="3066" t="s">
        <v>848</v>
      </c>
      <c r="E26" s="3064"/>
      <c r="F26" s="3064"/>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租金明细表</vt:lpstr>
      <vt:lpstr>年期修正系数</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2017-11-14T05:32:20Z</dcterms:modified>
</cp:coreProperties>
</file>