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5" activeTab="22"/>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住宅（精装）" sheetId="79" r:id="rId29"/>
    <sheet name="比较法-商业" sheetId="33"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9" i="12" l="1"/>
  <c r="T8" i="12"/>
  <c r="B23" i="1" l="1"/>
  <c r="B24" i="1" s="1"/>
  <c r="M31" i="12" l="1"/>
  <c r="M30" i="12"/>
  <c r="N4" i="12" l="1"/>
  <c r="M4" i="12"/>
  <c r="M29" i="12" l="1"/>
  <c r="Q7" i="12"/>
  <c r="M28" i="12"/>
  <c r="N9" i="12"/>
  <c r="N8" i="12"/>
  <c r="Q9" i="12" l="1"/>
  <c r="O31" i="12" s="1"/>
  <c r="O29" i="12"/>
  <c r="Q8" i="12"/>
  <c r="O30" i="12" s="1"/>
  <c r="E6" i="12"/>
  <c r="N26" i="12"/>
  <c r="O26" i="12" s="1"/>
  <c r="N25" i="12"/>
  <c r="O25" i="12" s="1"/>
  <c r="N24" i="12"/>
  <c r="O24" i="12" s="1"/>
  <c r="N23" i="12"/>
  <c r="O23" i="12" s="1"/>
  <c r="N22" i="12"/>
  <c r="O22" i="12" s="1"/>
  <c r="N21" i="12"/>
  <c r="O21" i="12" s="1"/>
  <c r="N20" i="12"/>
  <c r="O20" i="12" s="1"/>
  <c r="N17" i="12"/>
  <c r="O17" i="12" s="1"/>
  <c r="N16" i="12"/>
  <c r="O16" i="12" s="1"/>
  <c r="N15" i="12"/>
  <c r="O15" i="12" s="1"/>
  <c r="N14" i="12"/>
  <c r="O14" i="12" s="1"/>
  <c r="N13" i="12"/>
  <c r="O13" i="12" s="1"/>
  <c r="N12" i="12"/>
  <c r="O12" i="12" s="1"/>
  <c r="AL13" i="3"/>
  <c r="O27" i="12" l="1"/>
  <c r="O28" i="12" s="1"/>
  <c r="C145" i="79"/>
  <c r="K139" i="79" s="1"/>
  <c r="J142" i="79"/>
  <c r="J140" i="79"/>
  <c r="B130" i="79"/>
  <c r="B128" i="79"/>
  <c r="H45" i="79" s="1"/>
  <c r="AB45" i="79" s="1"/>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B94" i="79"/>
  <c r="H29" i="79" s="1"/>
  <c r="AB29" i="79" s="1"/>
  <c r="B92" i="79"/>
  <c r="B90" i="79"/>
  <c r="H27" i="79" s="1"/>
  <c r="AB27" i="79" s="1"/>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J13" i="79" s="1"/>
  <c r="AC13" i="79" s="1"/>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F45" i="79"/>
  <c r="Q44" i="79"/>
  <c r="Z44" i="79" s="1"/>
  <c r="J44" i="79"/>
  <c r="AC44" i="79" s="1"/>
  <c r="H44" i="79"/>
  <c r="AB44" i="79" s="1"/>
  <c r="F44" i="79"/>
  <c r="AA44" i="79" s="1"/>
  <c r="Q43" i="79"/>
  <c r="Z43" i="79" s="1"/>
  <c r="J43" i="79"/>
  <c r="AC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F31" i="79"/>
  <c r="AA31" i="79" s="1"/>
  <c r="Q30" i="79"/>
  <c r="Z30" i="79" s="1"/>
  <c r="J30" i="79"/>
  <c r="AC30" i="79" s="1"/>
  <c r="H30" i="79"/>
  <c r="AB30" i="79" s="1"/>
  <c r="F30" i="79"/>
  <c r="AA30" i="79" s="1"/>
  <c r="Q29" i="79"/>
  <c r="Z29" i="79" s="1"/>
  <c r="J29" i="79"/>
  <c r="AC29" i="79" s="1"/>
  <c r="F29" i="79"/>
  <c r="AA29" i="79" s="1"/>
  <c r="Q28" i="79"/>
  <c r="Z28" i="79" s="1"/>
  <c r="J28" i="79"/>
  <c r="AC28" i="79" s="1"/>
  <c r="H28" i="79"/>
  <c r="AB28" i="79" s="1"/>
  <c r="F28" i="79"/>
  <c r="AA28" i="79" s="1"/>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F23" i="79"/>
  <c r="AA23" i="79" s="1"/>
  <c r="C23" i="79"/>
  <c r="Q21" i="79"/>
  <c r="Z21" i="79" s="1"/>
  <c r="J21" i="79"/>
  <c r="AC21" i="79" s="1"/>
  <c r="H21" i="79"/>
  <c r="AB21" i="79" s="1"/>
  <c r="F21" i="79"/>
  <c r="AA21" i="79" s="1"/>
  <c r="C21" i="79"/>
  <c r="Q19" i="79"/>
  <c r="Z19" i="79" s="1"/>
  <c r="J19" i="79"/>
  <c r="AC19" i="79" s="1"/>
  <c r="F19" i="79"/>
  <c r="AA19" i="79" s="1"/>
  <c r="C19" i="79"/>
  <c r="Q17" i="79"/>
  <c r="Z17" i="79" s="1"/>
  <c r="J17" i="79"/>
  <c r="AC17" i="79" s="1"/>
  <c r="H17" i="79"/>
  <c r="AB17" i="79" s="1"/>
  <c r="F17" i="79"/>
  <c r="AA17" i="79" s="1"/>
  <c r="C17" i="79"/>
  <c r="Q15" i="79"/>
  <c r="Z15" i="79" s="1"/>
  <c r="J15" i="79"/>
  <c r="W15" i="79" s="1"/>
  <c r="F15" i="79"/>
  <c r="AA15" i="79" s="1"/>
  <c r="C15" i="79"/>
  <c r="Q14" i="79"/>
  <c r="Z14" i="79" s="1"/>
  <c r="J14" i="79"/>
  <c r="AC14" i="79" s="1"/>
  <c r="H14" i="79"/>
  <c r="AB14" i="79" s="1"/>
  <c r="F14" i="79"/>
  <c r="AA14" i="79" s="1"/>
  <c r="Q13" i="79"/>
  <c r="Z13" i="79" s="1"/>
  <c r="H13" i="79"/>
  <c r="AB13" i="79" s="1"/>
  <c r="Q12" i="79"/>
  <c r="Z12" i="79" s="1"/>
  <c r="J12" i="79"/>
  <c r="W12" i="79" s="1"/>
  <c r="H12" i="79"/>
  <c r="AB12" i="79" s="1"/>
  <c r="F12" i="79"/>
  <c r="AA12" i="79" s="1"/>
  <c r="Q11" i="79"/>
  <c r="Z11" i="79" s="1"/>
  <c r="H11" i="79"/>
  <c r="AB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2" i="79"/>
  <c r="AC12" i="79" l="1"/>
  <c r="H113" i="79"/>
  <c r="J37" i="79"/>
  <c r="AC37" i="79" s="1"/>
  <c r="F37" i="79"/>
  <c r="AA37" i="79" s="1"/>
  <c r="H37" i="79"/>
  <c r="AB37" i="79" s="1"/>
  <c r="F11" i="79"/>
  <c r="AA11" i="79" s="1"/>
  <c r="J11" i="79"/>
  <c r="AC11" i="79" s="1"/>
  <c r="F13" i="79"/>
  <c r="AA13" i="79" s="1"/>
  <c r="H15" i="79"/>
  <c r="AB15" i="79" s="1"/>
  <c r="AC15" i="79"/>
  <c r="H19" i="79"/>
  <c r="AB19" i="79" s="1"/>
  <c r="H23" i="79"/>
  <c r="AB23" i="79" s="1"/>
  <c r="H35" i="79"/>
  <c r="AB35" i="79" s="1"/>
  <c r="H43" i="79"/>
  <c r="AB43" i="79" s="1"/>
  <c r="K145" i="79"/>
  <c r="U8" i="79"/>
  <c r="AA8" i="79"/>
  <c r="AC8" i="79"/>
  <c r="U9" i="79"/>
  <c r="S10" i="79"/>
  <c r="U11" i="79"/>
  <c r="S14" i="79"/>
  <c r="S17" i="79"/>
  <c r="S9" i="79"/>
  <c r="W9" i="79"/>
  <c r="W10" i="79"/>
  <c r="S12" i="79"/>
  <c r="U13" i="79"/>
  <c r="W14" i="79"/>
  <c r="S15" i="79"/>
  <c r="W17" i="79"/>
  <c r="S19" i="79"/>
  <c r="W19" i="79"/>
  <c r="S21" i="79"/>
  <c r="W21" i="79"/>
  <c r="S23" i="79"/>
  <c r="W23"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10" i="79"/>
  <c r="S11" i="79"/>
  <c r="W11" i="79"/>
  <c r="U12" i="79"/>
  <c r="S13" i="79"/>
  <c r="W13" i="79"/>
  <c r="U14" i="79"/>
  <c r="U15" i="79"/>
  <c r="U17"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A45" i="79"/>
  <c r="S45" i="79"/>
  <c r="AC45" i="79"/>
  <c r="W45" i="79"/>
  <c r="U45" i="79"/>
  <c r="S46" i="79"/>
  <c r="W46" i="79"/>
  <c r="K141" i="79"/>
  <c r="K143" i="79"/>
  <c r="U46" i="79"/>
  <c r="K144" i="79"/>
  <c r="N6" i="7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E7" i="71" s="1"/>
  <c r="O7" i="71"/>
  <c r="Q8" i="71"/>
  <c r="F7" i="71"/>
  <c r="F6" i="71"/>
  <c r="F5" i="71" s="1"/>
  <c r="P8" i="71"/>
  <c r="E6" i="71"/>
  <c r="E5" i="71" s="1"/>
  <c r="O8" i="71"/>
  <c r="N8" i="71"/>
  <c r="A2" i="53"/>
  <c r="B19" i="72" s="1"/>
  <c r="K59" i="67"/>
  <c r="P61" i="67" s="1"/>
  <c r="K59" i="15"/>
  <c r="P74" i="15" s="1"/>
  <c r="P61" i="15"/>
  <c r="D116" i="39"/>
  <c r="E116" i="39"/>
  <c r="F116" i="39"/>
  <c r="G116" i="39"/>
  <c r="H116" i="39"/>
  <c r="I116" i="39"/>
  <c r="J116" i="39"/>
  <c r="K116" i="39"/>
  <c r="L116" i="39"/>
  <c r="M116" i="39"/>
  <c r="C116" i="39"/>
  <c r="A21" i="62"/>
  <c r="A20" i="62"/>
  <c r="B66" i="72" s="1"/>
  <c r="A22" i="51"/>
  <c r="A21" i="51"/>
  <c r="A20" i="51"/>
  <c r="A14" i="62"/>
  <c r="B60" i="72" s="1"/>
  <c r="A13" i="62"/>
  <c r="A19" i="62"/>
  <c r="A12" i="62"/>
  <c r="B58" i="72" s="1"/>
  <c r="A120" i="9"/>
  <c r="H2" i="52"/>
  <c r="A1" i="52"/>
  <c r="A3" i="53"/>
  <c r="Q9" i="71"/>
  <c r="P9" i="71"/>
  <c r="O9" i="71"/>
  <c r="N9" i="71"/>
  <c r="D5" i="43"/>
  <c r="A15" i="51"/>
  <c r="B12" i="72" s="1"/>
  <c r="C76" i="9"/>
  <c r="I107" i="40"/>
  <c r="K6" i="4"/>
  <c r="B22" i="31"/>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E10" i="43"/>
  <c r="AB10" i="43"/>
  <c r="K49" i="9"/>
  <c r="E107" i="9"/>
  <c r="A122" i="9" s="1"/>
  <c r="A8" i="52" s="1"/>
  <c r="E111" i="9"/>
  <c r="A126" i="9" s="1"/>
  <c r="E109" i="9"/>
  <c r="A124" i="9" s="1"/>
  <c r="B44" i="72"/>
  <c r="B42" i="72"/>
  <c r="B69" i="72"/>
  <c r="B68" i="72"/>
  <c r="B63" i="72"/>
  <c r="B62" i="72"/>
  <c r="B16" i="72"/>
  <c r="B65" i="72"/>
  <c r="B59" i="72"/>
  <c r="B67" i="72"/>
  <c r="B10" i="72"/>
  <c r="C53" i="10"/>
  <c r="B51" i="10"/>
  <c r="A18" i="51"/>
  <c r="B13" i="72" s="1"/>
  <c r="C8" i="68"/>
  <c r="B49" i="48"/>
  <c r="B5" i="72" s="1"/>
  <c r="I19" i="43"/>
  <c r="D72" i="71"/>
  <c r="F71" i="71"/>
  <c r="F70" i="71"/>
  <c r="F69" i="71" s="1"/>
  <c r="E71" i="71"/>
  <c r="E70" i="71"/>
  <c r="E69" i="71" s="1"/>
  <c r="C71" i="71"/>
  <c r="D71" i="71" s="1"/>
  <c r="B71" i="71"/>
  <c r="B70" i="71" s="1"/>
  <c r="B69" i="71" s="1"/>
  <c r="D68" i="71"/>
  <c r="F67" i="71"/>
  <c r="E67" i="71"/>
  <c r="E66" i="71" s="1"/>
  <c r="E65" i="71" s="1"/>
  <c r="C67" i="71"/>
  <c r="D67" i="71" s="1"/>
  <c r="B67" i="71"/>
  <c r="F66" i="71"/>
  <c r="F65" i="71" s="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E51" i="71"/>
  <c r="P51" i="71" s="1"/>
  <c r="C51" i="71"/>
  <c r="B51" i="71"/>
  <c r="S51" i="71" s="1"/>
  <c r="B50" i="71"/>
  <c r="N50" i="71" s="1"/>
  <c r="D48" i="71"/>
  <c r="Q47" i="71"/>
  <c r="P47" i="71"/>
  <c r="O47" i="71"/>
  <c r="N47" i="71"/>
  <c r="Q46" i="71"/>
  <c r="P46" i="71"/>
  <c r="O46" i="71"/>
  <c r="N46" i="71"/>
  <c r="Q45" i="71"/>
  <c r="P45" i="71"/>
  <c r="O45" i="71"/>
  <c r="N45" i="71"/>
  <c r="Q44" i="71"/>
  <c r="F45" i="71" s="1"/>
  <c r="F46" i="71" s="1"/>
  <c r="F47" i="71" s="1"/>
  <c r="V47" i="71" s="1"/>
  <c r="P44" i="71"/>
  <c r="E45" i="71" s="1"/>
  <c r="O44" i="71"/>
  <c r="C45" i="71" s="1"/>
  <c r="C46" i="71" s="1"/>
  <c r="C47"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D40" i="71"/>
  <c r="Q39" i="71"/>
  <c r="P39" i="71"/>
  <c r="O39" i="71"/>
  <c r="N39" i="71"/>
  <c r="Q38" i="71"/>
  <c r="P38" i="71"/>
  <c r="O38" i="71"/>
  <c r="N38" i="71"/>
  <c r="Q37" i="71"/>
  <c r="P37" i="71"/>
  <c r="O37" i="71"/>
  <c r="N37" i="71"/>
  <c r="Q36" i="71"/>
  <c r="F37" i="71" s="1"/>
  <c r="F38" i="71"/>
  <c r="F39" i="71" s="1"/>
  <c r="V39" i="71" s="1"/>
  <c r="P36" i="71"/>
  <c r="E37" i="71"/>
  <c r="E38" i="71" s="1"/>
  <c r="E39" i="71" s="1"/>
  <c r="U39" i="71" s="1"/>
  <c r="O36" i="71"/>
  <c r="C37" i="71" s="1"/>
  <c r="N36" i="71"/>
  <c r="B37" i="71" s="1"/>
  <c r="D36" i="71"/>
  <c r="Q35" i="71"/>
  <c r="P35" i="71"/>
  <c r="O35" i="71"/>
  <c r="N35" i="71"/>
  <c r="Q34" i="71"/>
  <c r="P34" i="71"/>
  <c r="O34" i="71"/>
  <c r="N34" i="71"/>
  <c r="Q33" i="71"/>
  <c r="P33" i="71"/>
  <c r="O33" i="71"/>
  <c r="N33" i="71"/>
  <c r="Q32" i="71"/>
  <c r="F33"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c r="F26" i="71" s="1"/>
  <c r="F27" i="71" s="1"/>
  <c r="V27" i="71" s="1"/>
  <c r="P24" i="71"/>
  <c r="E25" i="71" s="1"/>
  <c r="O24" i="71"/>
  <c r="C25" i="71" s="1"/>
  <c r="N24" i="71"/>
  <c r="B25" i="71" s="1"/>
  <c r="D24" i="71"/>
  <c r="Q23" i="71"/>
  <c r="P23" i="71"/>
  <c r="O23" i="71"/>
  <c r="N23" i="71"/>
  <c r="Q22" i="71"/>
  <c r="AB22" i="71" s="1"/>
  <c r="P22" i="71"/>
  <c r="AA22" i="71" s="1"/>
  <c r="O22" i="71"/>
  <c r="Y22" i="71" s="1"/>
  <c r="Z22" i="71" s="1"/>
  <c r="N22" i="71"/>
  <c r="X22" i="71" s="1"/>
  <c r="Q21" i="71"/>
  <c r="AB21" i="71" s="1"/>
  <c r="P21" i="71"/>
  <c r="AA21" i="71" s="1"/>
  <c r="O21" i="71"/>
  <c r="N21" i="71"/>
  <c r="Q20" i="71"/>
  <c r="F21" i="71" s="1"/>
  <c r="P20" i="71"/>
  <c r="AA20" i="71" s="1"/>
  <c r="O20" i="71"/>
  <c r="N20" i="71"/>
  <c r="X20" i="71" s="1"/>
  <c r="D20" i="71"/>
  <c r="Q19" i="71"/>
  <c r="AB19" i="71" s="1"/>
  <c r="P19" i="71"/>
  <c r="O19" i="71"/>
  <c r="N19" i="71"/>
  <c r="Q18" i="71"/>
  <c r="P18" i="71"/>
  <c r="O18" i="71"/>
  <c r="N18" i="71"/>
  <c r="Q17" i="71"/>
  <c r="AB17" i="71" s="1"/>
  <c r="P17" i="71"/>
  <c r="O17" i="71"/>
  <c r="N17" i="71"/>
  <c r="Q16" i="71"/>
  <c r="F17" i="71" s="1"/>
  <c r="P16" i="71"/>
  <c r="O16" i="71"/>
  <c r="C17" i="71" s="1"/>
  <c r="N16" i="71"/>
  <c r="D16" i="71"/>
  <c r="Q15" i="71"/>
  <c r="P15" i="71"/>
  <c r="O15" i="71"/>
  <c r="N15" i="71"/>
  <c r="X15" i="71" s="1"/>
  <c r="Q14" i="71"/>
  <c r="P14" i="71"/>
  <c r="O14" i="71"/>
  <c r="N14" i="71"/>
  <c r="X14" i="71" s="1"/>
  <c r="Q13" i="71"/>
  <c r="P13" i="71"/>
  <c r="AA13" i="71" s="1"/>
  <c r="O13" i="71"/>
  <c r="N13" i="71"/>
  <c r="X13" i="71" s="1"/>
  <c r="Q12" i="71"/>
  <c r="P12" i="71"/>
  <c r="AA12" i="71" s="1"/>
  <c r="O12" i="71"/>
  <c r="Y12" i="71"/>
  <c r="Z12" i="71" s="1"/>
  <c r="N12" i="71"/>
  <c r="D12" i="71"/>
  <c r="O11" i="71"/>
  <c r="C11" i="71" s="1"/>
  <c r="N11" i="71"/>
  <c r="B13" i="71"/>
  <c r="E13" i="71"/>
  <c r="E14" i="71" s="1"/>
  <c r="E15" i="71" s="1"/>
  <c r="U15" i="71" s="1"/>
  <c r="E21" i="71"/>
  <c r="E22" i="71" s="1"/>
  <c r="E23" i="71" s="1"/>
  <c r="U23" i="71" s="1"/>
  <c r="N51" i="71"/>
  <c r="C13" i="71"/>
  <c r="C14" i="71" s="1"/>
  <c r="AA15" i="71"/>
  <c r="X18" i="71"/>
  <c r="AA19" i="71"/>
  <c r="C21" i="71"/>
  <c r="D21" i="71" s="1"/>
  <c r="X21" i="71"/>
  <c r="F34" i="71"/>
  <c r="F35" i="71" s="1"/>
  <c r="V35" i="71" s="1"/>
  <c r="X8" i="71"/>
  <c r="C22" i="71"/>
  <c r="P11" i="71"/>
  <c r="E11" i="71" s="1"/>
  <c r="E10" i="71" s="1"/>
  <c r="E9" i="71" s="1"/>
  <c r="E46" i="71"/>
  <c r="E47" i="71" s="1"/>
  <c r="U47" i="71" s="1"/>
  <c r="U51" i="71"/>
  <c r="E50" i="71"/>
  <c r="Q11" i="71"/>
  <c r="D45" i="71"/>
  <c r="B49" i="71"/>
  <c r="N48" i="71" s="1"/>
  <c r="O51" i="71"/>
  <c r="C50" i="71"/>
  <c r="C54" i="71"/>
  <c r="D54" i="71" s="1"/>
  <c r="D55" i="71"/>
  <c r="E58" i="71"/>
  <c r="E57" i="71" s="1"/>
  <c r="C62" i="71"/>
  <c r="D63" i="71"/>
  <c r="C70" i="71"/>
  <c r="D70" i="71" s="1"/>
  <c r="AA3" i="71"/>
  <c r="D46" i="71"/>
  <c r="N49" i="71"/>
  <c r="C53" i="71"/>
  <c r="D53" i="71" s="1"/>
  <c r="P50" i="71"/>
  <c r="E49" i="71"/>
  <c r="O27" i="6"/>
  <c r="N27" i="6"/>
  <c r="P20" i="6"/>
  <c r="P21" i="6"/>
  <c r="P22" i="6"/>
  <c r="P23" i="6"/>
  <c r="P24" i="6"/>
  <c r="P25" i="6"/>
  <c r="P26" i="6"/>
  <c r="P19" i="6"/>
  <c r="AP8" i="1"/>
  <c r="AP9" i="1"/>
  <c r="AP10" i="1"/>
  <c r="AP11" i="1"/>
  <c r="AP12" i="1"/>
  <c r="AP13" i="1"/>
  <c r="L21" i="6"/>
  <c r="L22" i="6"/>
  <c r="L23" i="6"/>
  <c r="L24" i="6"/>
  <c r="L25" i="6"/>
  <c r="L26" i="6"/>
  <c r="P27" i="6"/>
  <c r="A7" i="70"/>
  <c r="A8" i="70"/>
  <c r="BR13" i="3"/>
  <c r="BQ13" i="3"/>
  <c r="A9" i="70"/>
  <c r="E9" i="70" s="1"/>
  <c r="A10" i="70"/>
  <c r="E10" i="70" s="1"/>
  <c r="A11" i="70"/>
  <c r="E11" i="70" s="1"/>
  <c r="A12" i="70"/>
  <c r="E12" i="70" s="1"/>
  <c r="A13" i="70"/>
  <c r="E13" i="70" s="1"/>
  <c r="A6" i="70"/>
  <c r="E6" i="70" s="1"/>
  <c r="Q25" i="40"/>
  <c r="Z25" i="40" s="1"/>
  <c r="D94" i="40"/>
  <c r="E94" i="40" s="1"/>
  <c r="F94" i="40" s="1"/>
  <c r="G94" i="40" s="1"/>
  <c r="F25" i="40"/>
  <c r="AA25" i="40" s="1"/>
  <c r="Z29" i="39"/>
  <c r="Q29" i="39"/>
  <c r="D103" i="39"/>
  <c r="J29" i="39" s="1"/>
  <c r="Q18" i="36"/>
  <c r="Z18" i="36" s="1"/>
  <c r="D66" i="36"/>
  <c r="E66" i="36" s="1"/>
  <c r="F66" i="36" s="1"/>
  <c r="G66" i="36" s="1"/>
  <c r="H18" i="36"/>
  <c r="AB18" i="36" s="1"/>
  <c r="F18" i="36"/>
  <c r="AA18" i="36" s="1"/>
  <c r="C18" i="36"/>
  <c r="Q18" i="35"/>
  <c r="Z18" i="35" s="1"/>
  <c r="D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C21" i="33"/>
  <c r="C21" i="21"/>
  <c r="Q21" i="21"/>
  <c r="Z21" i="21" s="1"/>
  <c r="D83" i="21"/>
  <c r="D81" i="21"/>
  <c r="H19" i="21" s="1"/>
  <c r="AB19" i="21" s="1"/>
  <c r="G20" i="20"/>
  <c r="B86" i="43" s="1"/>
  <c r="C22" i="20"/>
  <c r="B55" i="43" s="1"/>
  <c r="U18" i="36"/>
  <c r="H25" i="40"/>
  <c r="AB25" i="40" s="1"/>
  <c r="J25" i="40"/>
  <c r="AC25" i="40" s="1"/>
  <c r="J18" i="36"/>
  <c r="AC18" i="36" s="1"/>
  <c r="J18" i="35"/>
  <c r="H21" i="37"/>
  <c r="U21" i="37" s="1"/>
  <c r="F21" i="37"/>
  <c r="H21" i="34"/>
  <c r="H21" i="33"/>
  <c r="U21" i="33" s="1"/>
  <c r="E83" i="21"/>
  <c r="F83" i="21" s="1"/>
  <c r="G83" i="21" s="1"/>
  <c r="H1" i="69"/>
  <c r="U25" i="40"/>
  <c r="AB21" i="37"/>
  <c r="J21" i="37"/>
  <c r="W21" i="37" s="1"/>
  <c r="J21" i="34"/>
  <c r="J21" i="33"/>
  <c r="W21" i="33" s="1"/>
  <c r="F38" i="69"/>
  <c r="E37" i="69"/>
  <c r="F36" i="69"/>
  <c r="F35" i="69"/>
  <c r="F21" i="69"/>
  <c r="C21" i="69" s="1"/>
  <c r="F20" i="69"/>
  <c r="E10" i="69"/>
  <c r="E9" i="69"/>
  <c r="F7" i="69"/>
  <c r="C7" i="69" s="1"/>
  <c r="J21" i="21"/>
  <c r="W21" i="21" s="1"/>
  <c r="F38" i="68"/>
  <c r="E37" i="68"/>
  <c r="F36" i="68"/>
  <c r="F35" i="68"/>
  <c r="F21" i="68"/>
  <c r="C21" i="68" s="1"/>
  <c r="F20" i="68"/>
  <c r="E10" i="68"/>
  <c r="E9" i="68"/>
  <c r="F7" i="68"/>
  <c r="Q72" i="67"/>
  <c r="Q59" i="67"/>
  <c r="Q58" i="67"/>
  <c r="Q51" i="67"/>
  <c r="J50" i="67"/>
  <c r="M47" i="67"/>
  <c r="J53" i="67" s="1"/>
  <c r="F1" i="67" s="1"/>
  <c r="D46" i="67"/>
  <c r="F33" i="67"/>
  <c r="F61" i="67" s="1"/>
  <c r="F23" i="67"/>
  <c r="F21" i="67"/>
  <c r="F20" i="67"/>
  <c r="M19" i="67"/>
  <c r="F18" i="67"/>
  <c r="F17" i="67"/>
  <c r="F15" i="67"/>
  <c r="S2" i="4"/>
  <c r="C51" i="10" s="1"/>
  <c r="A13" i="51" s="1"/>
  <c r="B11" i="72" s="1"/>
  <c r="S1" i="4"/>
  <c r="A4" i="51" s="1"/>
  <c r="B6" i="72" s="1"/>
  <c r="B1" i="4"/>
  <c r="C31" i="66"/>
  <c r="C27" i="66"/>
  <c r="C32" i="66" s="1"/>
  <c r="I23" i="66"/>
  <c r="D20" i="66"/>
  <c r="I19" i="66"/>
  <c r="I18" i="66"/>
  <c r="I17"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F1"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9" i="1"/>
  <c r="F10" i="1"/>
  <c r="F11" i="1"/>
  <c r="F12" i="1"/>
  <c r="F13" i="1"/>
  <c r="D6" i="1"/>
  <c r="D9" i="1"/>
  <c r="G9" i="1" s="1"/>
  <c r="D10" i="1"/>
  <c r="D11" i="1"/>
  <c r="G11" i="1" s="1"/>
  <c r="D12" i="1"/>
  <c r="D13" i="1"/>
  <c r="G13" i="1" s="1"/>
  <c r="D7" i="1"/>
  <c r="D8" i="1"/>
  <c r="A7" i="1"/>
  <c r="A8" i="1"/>
  <c r="A9" i="1"/>
  <c r="A10" i="1"/>
  <c r="K10" i="1" s="1"/>
  <c r="M10" i="1" s="1"/>
  <c r="A11" i="1"/>
  <c r="A12" i="1"/>
  <c r="A13" i="1"/>
  <c r="A6" i="1"/>
  <c r="B11" i="1"/>
  <c r="E11" i="1"/>
  <c r="B7" i="1"/>
  <c r="E7" i="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L355" i="3" s="1"/>
  <c r="BM355" i="3"/>
  <c r="BK355" i="3"/>
  <c r="BJ355" i="3"/>
  <c r="BI355" i="3"/>
  <c r="BH355" i="3"/>
  <c r="BG355" i="3"/>
  <c r="BF355" i="3"/>
  <c r="BE355" i="3"/>
  <c r="BD355" i="3"/>
  <c r="BC355" i="3"/>
  <c r="BA355" i="3" s="1"/>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s="1"/>
  <c r="B13" i="53"/>
  <c r="B29" i="72"/>
  <c r="R35" i="4"/>
  <c r="Q35" i="4"/>
  <c r="P35" i="4"/>
  <c r="O35" i="4"/>
  <c r="N35" i="4"/>
  <c r="M35" i="4"/>
  <c r="L35" i="4"/>
  <c r="K34" i="4"/>
  <c r="T34" i="4" s="1"/>
  <c r="T35" i="4" s="1"/>
  <c r="I15" i="4"/>
  <c r="H15" i="4"/>
  <c r="G15" i="4"/>
  <c r="F7" i="1" s="1"/>
  <c r="G7" i="1" s="1"/>
  <c r="E15" i="4"/>
  <c r="F8" i="1" s="1"/>
  <c r="D15" i="4"/>
  <c r="L21" i="4"/>
  <c r="F19" i="4"/>
  <c r="F2" i="52"/>
  <c r="B50" i="72" s="1"/>
  <c r="D2" i="52"/>
  <c r="B46" i="72" s="1"/>
  <c r="B8" i="53"/>
  <c r="B23" i="72" s="1"/>
  <c r="L4" i="9"/>
  <c r="B17" i="72"/>
  <c r="B15" i="72"/>
  <c r="A3" i="51"/>
  <c r="C8" i="11"/>
  <c r="B2" i="49"/>
  <c r="B23" i="49" s="1"/>
  <c r="B40" i="48"/>
  <c r="B3" i="72" s="1"/>
  <c r="I2" i="43"/>
  <c r="N1" i="43"/>
  <c r="F35" i="4"/>
  <c r="J55" i="39"/>
  <c r="H34" i="43"/>
  <c r="H35" i="43"/>
  <c r="H36" i="43"/>
  <c r="H37" i="43"/>
  <c r="H38" i="43"/>
  <c r="H39" i="43"/>
  <c r="H33" i="43"/>
  <c r="J20" i="43"/>
  <c r="G20" i="43"/>
  <c r="C18" i="43"/>
  <c r="F15" i="43"/>
  <c r="E15" i="43"/>
  <c r="D15" i="43"/>
  <c r="C15" i="43"/>
  <c r="C12" i="43" s="1"/>
  <c r="C10" i="43"/>
  <c r="C11" i="43" s="1"/>
  <c r="C9" i="43"/>
  <c r="A7" i="43"/>
  <c r="F33" i="15"/>
  <c r="F61" i="15" s="1"/>
  <c r="M19" i="15"/>
  <c r="B22" i="1"/>
  <c r="B43" i="1"/>
  <c r="D78" i="9"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D3" i="35" s="1"/>
  <c r="E21" i="6"/>
  <c r="E7" i="12"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D3" i="39" s="1"/>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C92" i="9" s="1"/>
  <c r="G12" i="1"/>
  <c r="J55" i="9"/>
  <c r="B31" i="1"/>
  <c r="B52" i="1"/>
  <c r="M20" i="15" s="1"/>
  <c r="T4" i="1"/>
  <c r="F15" i="15"/>
  <c r="F17" i="15"/>
  <c r="F18" i="15"/>
  <c r="F20" i="15"/>
  <c r="F21" i="1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L573" i="3" s="1"/>
  <c r="BO573" i="3"/>
  <c r="BP573" i="3"/>
  <c r="BR573" i="3"/>
  <c r="BS573" i="3"/>
  <c r="BT573" i="3"/>
  <c r="H574" i="3"/>
  <c r="AC574" i="3"/>
  <c r="BB574" i="3"/>
  <c r="BA574" i="3" s="1"/>
  <c r="BC574" i="3"/>
  <c r="BD574" i="3"/>
  <c r="BE574" i="3"/>
  <c r="BF574" i="3"/>
  <c r="BG574" i="3"/>
  <c r="BH574" i="3"/>
  <c r="BI574" i="3"/>
  <c r="BJ574" i="3"/>
  <c r="BK574" i="3"/>
  <c r="BM574" i="3"/>
  <c r="BL574" i="3" s="1"/>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AZ580" i="3" s="1"/>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J31" i="35"/>
  <c r="AC31" i="35" s="1"/>
  <c r="H31" i="35"/>
  <c r="F31" i="35"/>
  <c r="AA31" i="35" s="1"/>
  <c r="D87" i="35"/>
  <c r="E87" i="35" s="1"/>
  <c r="F87" i="35" s="1"/>
  <c r="G87" i="35" s="1"/>
  <c r="H34" i="37"/>
  <c r="AB34" i="37" s="1"/>
  <c r="D101" i="37"/>
  <c r="E101" i="37" s="1"/>
  <c r="F34" i="37"/>
  <c r="AA34" i="37" s="1"/>
  <c r="D99" i="37"/>
  <c r="E99" i="37" s="1"/>
  <c r="F99" i="37" s="1"/>
  <c r="G99" i="37" s="1"/>
  <c r="H99" i="37" s="1"/>
  <c r="I99" i="37" s="1"/>
  <c r="J99" i="37" s="1"/>
  <c r="K99" i="37" s="1"/>
  <c r="L99" i="37" s="1"/>
  <c r="M99" i="37" s="1"/>
  <c r="H42" i="34"/>
  <c r="U42" i="34" s="1"/>
  <c r="J42" i="34"/>
  <c r="W42" i="34"/>
  <c r="F42" i="34"/>
  <c r="AA42" i="34"/>
  <c r="J38" i="34"/>
  <c r="W38" i="34"/>
  <c r="D114" i="34"/>
  <c r="F38" i="34"/>
  <c r="D112" i="34"/>
  <c r="E112" i="34" s="1"/>
  <c r="F112" i="34" s="1"/>
  <c r="G112" i="34" s="1"/>
  <c r="H112" i="34"/>
  <c r="I112" i="34" s="1"/>
  <c r="J112" i="34" s="1"/>
  <c r="K112" i="34" s="1"/>
  <c r="L112" i="34" s="1"/>
  <c r="M112" i="34" s="1"/>
  <c r="F40" i="33"/>
  <c r="AA40" i="33" s="1"/>
  <c r="J41" i="33"/>
  <c r="W41" i="33" s="1"/>
  <c r="D113" i="33"/>
  <c r="E113" i="33"/>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AC41" i="21" s="1"/>
  <c r="H41" i="21"/>
  <c r="D81" i="39"/>
  <c r="E81" i="39" s="1"/>
  <c r="F81" i="39" s="1"/>
  <c r="D76" i="40"/>
  <c r="E76" i="40" s="1"/>
  <c r="F76" i="40" s="1"/>
  <c r="G76" i="40" s="1"/>
  <c r="H76" i="40" s="1"/>
  <c r="I76" i="40" s="1"/>
  <c r="J76" i="40" s="1"/>
  <c r="K76" i="40"/>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J27" i="40" s="1"/>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Q38" i="40"/>
  <c r="Z38" i="40" s="1"/>
  <c r="H38" i="40"/>
  <c r="U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D99" i="39"/>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J23" i="39"/>
  <c r="AC23" i="39" s="1"/>
  <c r="D95" i="39"/>
  <c r="E95" i="39" s="1"/>
  <c r="F95" i="39" s="1"/>
  <c r="G95" i="39" s="1"/>
  <c r="D93" i="39"/>
  <c r="E93" i="39" s="1"/>
  <c r="F93" i="39" s="1"/>
  <c r="G93" i="39" s="1"/>
  <c r="D91" i="39"/>
  <c r="E91" i="39" s="1"/>
  <c r="F91" i="39" s="1"/>
  <c r="G91" i="39" s="1"/>
  <c r="D89" i="39"/>
  <c r="E89" i="39" s="1"/>
  <c r="F89" i="39" s="1"/>
  <c r="G89" i="39" s="1"/>
  <c r="B86" i="39"/>
  <c r="J14" i="39" s="1"/>
  <c r="B84" i="39"/>
  <c r="B82" i="39"/>
  <c r="J12" i="39" s="1"/>
  <c r="W12" i="39" s="1"/>
  <c r="M79" i="39"/>
  <c r="L79" i="39"/>
  <c r="K79" i="39"/>
  <c r="J79" i="39"/>
  <c r="I79" i="39"/>
  <c r="H79" i="39"/>
  <c r="G79" i="39"/>
  <c r="F79" i="39"/>
  <c r="E79" i="39"/>
  <c r="D79" i="39"/>
  <c r="C79" i="39"/>
  <c r="P48" i="39"/>
  <c r="P47" i="39"/>
  <c r="V46" i="39"/>
  <c r="T46" i="39"/>
  <c r="R46" i="39"/>
  <c r="P46" i="39"/>
  <c r="F44" i="39"/>
  <c r="S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C20" i="36"/>
  <c r="C20" i="35"/>
  <c r="C16" i="36"/>
  <c r="C16" i="35"/>
  <c r="C14" i="36"/>
  <c r="C14" i="35"/>
  <c r="B80" i="37"/>
  <c r="H25" i="37" s="1"/>
  <c r="B110" i="37"/>
  <c r="J39" i="37" s="1"/>
  <c r="AC39" i="37" s="1"/>
  <c r="B108" i="37"/>
  <c r="C23" i="37"/>
  <c r="C19" i="37"/>
  <c r="C17" i="37"/>
  <c r="C15" i="37"/>
  <c r="B112" i="37"/>
  <c r="D107" i="37"/>
  <c r="E107" i="37" s="1"/>
  <c r="F107" i="37" s="1"/>
  <c r="G107" i="37" s="1"/>
  <c r="H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c r="B82" i="37"/>
  <c r="D79" i="37"/>
  <c r="E79" i="37" s="1"/>
  <c r="F79" i="37" s="1"/>
  <c r="G79" i="37" s="1"/>
  <c r="D75" i="37"/>
  <c r="E75" i="37" s="1"/>
  <c r="D73" i="37"/>
  <c r="E73" i="37" s="1"/>
  <c r="F73" i="37" s="1"/>
  <c r="G73" i="37" s="1"/>
  <c r="D71" i="37"/>
  <c r="E71" i="37"/>
  <c r="F71" i="37" s="1"/>
  <c r="G71" i="37" s="1"/>
  <c r="H15" i="37"/>
  <c r="AB15" i="37"/>
  <c r="B68" i="37"/>
  <c r="H14" i="37"/>
  <c r="B66" i="37"/>
  <c r="B64" i="37"/>
  <c r="H12" i="37" s="1"/>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c r="F30" i="37"/>
  <c r="AA30" i="37"/>
  <c r="Q29" i="37"/>
  <c r="Z29" i="37"/>
  <c r="H29" i="37"/>
  <c r="AB29" i="37"/>
  <c r="Q28" i="37"/>
  <c r="Z28" i="37"/>
  <c r="Q27" i="37"/>
  <c r="Z27" i="37"/>
  <c r="Q26" i="37"/>
  <c r="Z26" i="37"/>
  <c r="J26" i="37"/>
  <c r="AC26" i="37"/>
  <c r="H26" i="37"/>
  <c r="AB26" i="37"/>
  <c r="F26" i="37"/>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H31" i="36"/>
  <c r="F31" i="36"/>
  <c r="S31" i="36" s="1"/>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c r="L78" i="36" s="1"/>
  <c r="M78" i="36" s="1"/>
  <c r="B75" i="36"/>
  <c r="B73" i="36"/>
  <c r="F24" i="36" s="1"/>
  <c r="B71" i="36"/>
  <c r="D70" i="36"/>
  <c r="H22" i="36"/>
  <c r="AB22" i="36" s="1"/>
  <c r="D68" i="36"/>
  <c r="E68" i="36" s="1"/>
  <c r="F68" i="36" s="1"/>
  <c r="G68" i="36" s="1"/>
  <c r="D64" i="36"/>
  <c r="E64" i="36" s="1"/>
  <c r="F64" i="36" s="1"/>
  <c r="G64" i="36" s="1"/>
  <c r="J16" i="36"/>
  <c r="AC16" i="36" s="1"/>
  <c r="D62" i="36"/>
  <c r="E62" i="36"/>
  <c r="F62" i="36" s="1"/>
  <c r="G62" i="36" s="1"/>
  <c r="B59" i="36"/>
  <c r="B57" i="36"/>
  <c r="H12" i="36" s="1"/>
  <c r="U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B99" i="35"/>
  <c r="B97" i="35"/>
  <c r="B77" i="35"/>
  <c r="B75" i="35"/>
  <c r="J24" i="35" s="1"/>
  <c r="AC24" i="35" s="1"/>
  <c r="B73" i="35"/>
  <c r="B57" i="35"/>
  <c r="B61" i="35"/>
  <c r="B59" i="35"/>
  <c r="B131" i="34"/>
  <c r="B129" i="34"/>
  <c r="B127" i="34"/>
  <c r="B99" i="34"/>
  <c r="B97" i="34"/>
  <c r="B95" i="34"/>
  <c r="B93" i="34"/>
  <c r="B75" i="34"/>
  <c r="B73" i="34"/>
  <c r="B71" i="34"/>
  <c r="B130" i="33"/>
  <c r="B128" i="33"/>
  <c r="H45" i="33" s="1"/>
  <c r="U45" i="33" s="1"/>
  <c r="B126" i="33"/>
  <c r="B98" i="33"/>
  <c r="B96" i="33"/>
  <c r="B94" i="33"/>
  <c r="B74" i="33"/>
  <c r="B72" i="33"/>
  <c r="H13" i="33" s="1"/>
  <c r="B70" i="33"/>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D66" i="35"/>
  <c r="D64" i="35"/>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s="1"/>
  <c r="F90" i="34" s="1"/>
  <c r="G90" i="34"/>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s="1"/>
  <c r="Q10" i="34"/>
  <c r="Z10" i="34" s="1"/>
  <c r="F10" i="34"/>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J43" i="33" s="1"/>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c r="H9" i="33"/>
  <c r="J8" i="33"/>
  <c r="AC8" i="33" s="1"/>
  <c r="H8" i="33"/>
  <c r="F8" i="33"/>
  <c r="AA8" i="33" s="1"/>
  <c r="M102" i="21"/>
  <c r="D102" i="21"/>
  <c r="E102" i="21"/>
  <c r="F102" i="21"/>
  <c r="G102" i="21"/>
  <c r="H102" i="21"/>
  <c r="I102" i="21"/>
  <c r="J102" i="21"/>
  <c r="K102" i="21"/>
  <c r="L102" i="21"/>
  <c r="C102" i="21"/>
  <c r="C63" i="21"/>
  <c r="F9" i="21" s="1"/>
  <c r="G18" i="20"/>
  <c r="G19" i="20"/>
  <c r="B85" i="43" s="1"/>
  <c r="G16" i="20"/>
  <c r="G15" i="20"/>
  <c r="B81" i="43" s="1"/>
  <c r="C24" i="20"/>
  <c r="C21" i="20"/>
  <c r="C20" i="20"/>
  <c r="C18" i="20"/>
  <c r="C17" i="20"/>
  <c r="C16" i="20"/>
  <c r="C17" i="39" s="1"/>
  <c r="C15" i="20"/>
  <c r="E54" i="21"/>
  <c r="F54" i="21" s="1"/>
  <c r="I54" i="21"/>
  <c r="J54" i="21" s="1"/>
  <c r="G54" i="21"/>
  <c r="H54" i="21" s="1"/>
  <c r="D125" i="21"/>
  <c r="D123" i="21"/>
  <c r="E123" i="21" s="1"/>
  <c r="F123"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D85" i="21"/>
  <c r="F19" i="21"/>
  <c r="AA19" i="21"/>
  <c r="E81" i="21"/>
  <c r="F81" i="21"/>
  <c r="G81" i="21" s="1"/>
  <c r="D77" i="21"/>
  <c r="B130" i="21"/>
  <c r="H46" i="21" s="1"/>
  <c r="U46" i="21" s="1"/>
  <c r="B128" i="21"/>
  <c r="J45" i="21"/>
  <c r="B126" i="21"/>
  <c r="B98" i="21"/>
  <c r="F31" i="21" s="1"/>
  <c r="B96" i="21"/>
  <c r="B94" i="21"/>
  <c r="H29" i="21" s="1"/>
  <c r="U29" i="21" s="1"/>
  <c r="B92" i="21"/>
  <c r="B90" i="21"/>
  <c r="F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L101" i="43" s="1"/>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F38" i="21"/>
  <c r="F36" i="21"/>
  <c r="F39" i="21"/>
  <c r="AA39" i="21" s="1"/>
  <c r="J40" i="21"/>
  <c r="W40" i="21" s="1"/>
  <c r="H35" i="21"/>
  <c r="AB35" i="21" s="1"/>
  <c r="J8" i="21"/>
  <c r="AC8" i="21" s="1"/>
  <c r="H8" i="21"/>
  <c r="H10" i="21"/>
  <c r="AB10" i="21" s="1"/>
  <c r="H39" i="21"/>
  <c r="J34" i="21"/>
  <c r="W34" i="21" s="1"/>
  <c r="H36" i="21"/>
  <c r="U36" i="21" s="1"/>
  <c r="F35" i="21"/>
  <c r="J10" i="21"/>
  <c r="H26" i="21"/>
  <c r="AB26" i="21" s="1"/>
  <c r="J19" i="21"/>
  <c r="W19" i="21"/>
  <c r="J26" i="21"/>
  <c r="W26" i="21"/>
  <c r="F26" i="21"/>
  <c r="S26" i="21" s="1"/>
  <c r="F36" i="39"/>
  <c r="S36" i="39" s="1"/>
  <c r="H36" i="39"/>
  <c r="J36" i="39"/>
  <c r="U30" i="37"/>
  <c r="F39" i="37"/>
  <c r="F29" i="36"/>
  <c r="AA29" i="36" s="1"/>
  <c r="F16" i="36"/>
  <c r="AA31" i="36"/>
  <c r="H22" i="35"/>
  <c r="AB22" i="35" s="1"/>
  <c r="AC27" i="35"/>
  <c r="F36" i="34"/>
  <c r="S36" i="34" s="1"/>
  <c r="J35" i="34"/>
  <c r="U34" i="34"/>
  <c r="H39" i="33"/>
  <c r="U33" i="33"/>
  <c r="S40" i="33"/>
  <c r="W39" i="33"/>
  <c r="H39" i="37"/>
  <c r="AB39" i="37" s="1"/>
  <c r="F11" i="40"/>
  <c r="H11" i="40"/>
  <c r="U11" i="40" s="1"/>
  <c r="S34" i="40"/>
  <c r="S40" i="40"/>
  <c r="U34" i="40"/>
  <c r="F42" i="39"/>
  <c r="AA42" i="39"/>
  <c r="F41" i="39"/>
  <c r="S41" i="39"/>
  <c r="H40" i="39"/>
  <c r="AB40" i="39" s="1"/>
  <c r="H39" i="39"/>
  <c r="U39"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G109" i="39"/>
  <c r="H109" i="39" s="1"/>
  <c r="I109" i="39" s="1"/>
  <c r="J109" i="39" s="1"/>
  <c r="K109" i="39" s="1"/>
  <c r="L109" i="39" s="1"/>
  <c r="M109" i="39" s="1"/>
  <c r="J19" i="39"/>
  <c r="AC19" i="39" s="1"/>
  <c r="J17" i="39"/>
  <c r="AC17" i="39" s="1"/>
  <c r="C27" i="39"/>
  <c r="H32" i="33"/>
  <c r="AB32" i="33" s="1"/>
  <c r="H37" i="40"/>
  <c r="U37" i="40" s="1"/>
  <c r="H36" i="40"/>
  <c r="F35" i="40"/>
  <c r="H23" i="40"/>
  <c r="AB23" i="40" s="1"/>
  <c r="H17" i="40"/>
  <c r="J15" i="40"/>
  <c r="W15" i="40" s="1"/>
  <c r="J11" i="40"/>
  <c r="AB12" i="35"/>
  <c r="J34" i="36"/>
  <c r="U30" i="36"/>
  <c r="J30" i="35"/>
  <c r="W30" i="35" s="1"/>
  <c r="H30" i="35"/>
  <c r="F22" i="35"/>
  <c r="H10" i="35"/>
  <c r="U10" i="35" s="1"/>
  <c r="F33" i="36"/>
  <c r="H16" i="36"/>
  <c r="AB16" i="36" s="1"/>
  <c r="J29" i="36"/>
  <c r="AC29" i="36"/>
  <c r="AB8" i="36"/>
  <c r="U8" i="35"/>
  <c r="J32" i="35"/>
  <c r="H16" i="35"/>
  <c r="U16" i="35" s="1"/>
  <c r="H14" i="35"/>
  <c r="AB14" i="35" s="1"/>
  <c r="H33" i="35"/>
  <c r="AC8" i="35"/>
  <c r="F35" i="37"/>
  <c r="S35" i="37"/>
  <c r="F101" i="37"/>
  <c r="G101" i="37" s="1"/>
  <c r="H101" i="37" s="1"/>
  <c r="I101" i="37" s="1"/>
  <c r="J101" i="37" s="1"/>
  <c r="K101" i="37" s="1"/>
  <c r="L101" i="37" s="1"/>
  <c r="M101" i="37" s="1"/>
  <c r="J34" i="37"/>
  <c r="W34" i="37" s="1"/>
  <c r="J33" i="37"/>
  <c r="AC33" i="37"/>
  <c r="H40" i="34"/>
  <c r="E114" i="34"/>
  <c r="F114" i="34" s="1"/>
  <c r="G114" i="34" s="1"/>
  <c r="H114" i="34" s="1"/>
  <c r="H36" i="34"/>
  <c r="F37" i="34"/>
  <c r="AA37" i="34" s="1"/>
  <c r="S35" i="34"/>
  <c r="F28" i="34"/>
  <c r="F27" i="34"/>
  <c r="AA27" i="34" s="1"/>
  <c r="F25" i="34"/>
  <c r="H23" i="34"/>
  <c r="J23" i="34"/>
  <c r="F19" i="34"/>
  <c r="H17" i="34"/>
  <c r="U17" i="34" s="1"/>
  <c r="F15" i="34"/>
  <c r="J15" i="34"/>
  <c r="H15" i="34"/>
  <c r="J28" i="34"/>
  <c r="F41" i="33"/>
  <c r="AA41" i="33" s="1"/>
  <c r="F11" i="33"/>
  <c r="U40" i="33"/>
  <c r="F37" i="40"/>
  <c r="F36" i="40"/>
  <c r="H28" i="40"/>
  <c r="F23" i="40"/>
  <c r="F17" i="40"/>
  <c r="AA17" i="40" s="1"/>
  <c r="J17" i="40"/>
  <c r="W17" i="40" s="1"/>
  <c r="F15" i="40"/>
  <c r="H15" i="40"/>
  <c r="AB15" i="40" s="1"/>
  <c r="AB30" i="36"/>
  <c r="H33" i="37"/>
  <c r="AB33" i="37" s="1"/>
  <c r="F33" i="37"/>
  <c r="AA33" i="37" s="1"/>
  <c r="W33" i="37"/>
  <c r="J43" i="34"/>
  <c r="W43" i="34" s="1"/>
  <c r="J40" i="34"/>
  <c r="W40" i="34" s="1"/>
  <c r="I114" i="34"/>
  <c r="J114" i="34" s="1"/>
  <c r="K114" i="34" s="1"/>
  <c r="L114" i="34" s="1"/>
  <c r="M114" i="34" s="1"/>
  <c r="H38" i="34"/>
  <c r="AB38" i="34" s="1"/>
  <c r="J36" i="34"/>
  <c r="W36" i="34" s="1"/>
  <c r="H37" i="34"/>
  <c r="U37" i="34" s="1"/>
  <c r="H25" i="34"/>
  <c r="AB25" i="34" s="1"/>
  <c r="J25" i="34"/>
  <c r="AC25" i="34" s="1"/>
  <c r="F23" i="34"/>
  <c r="AA23" i="34" s="1"/>
  <c r="J19" i="34"/>
  <c r="AC19" i="34" s="1"/>
  <c r="F17" i="34"/>
  <c r="S17" i="34" s="1"/>
  <c r="J17" i="34"/>
  <c r="W17" i="34" s="1"/>
  <c r="AB17" i="34"/>
  <c r="H37" i="33"/>
  <c r="AB37" i="33" s="1"/>
  <c r="H11" i="33"/>
  <c r="AB11" i="33" s="1"/>
  <c r="F28" i="40"/>
  <c r="AA28" i="40" s="1"/>
  <c r="S42" i="34"/>
  <c r="AC38" i="34"/>
  <c r="J37" i="34"/>
  <c r="J11" i="33"/>
  <c r="W11" i="33" s="1"/>
  <c r="J44" i="34"/>
  <c r="F44" i="34"/>
  <c r="J10" i="35"/>
  <c r="J14" i="21"/>
  <c r="W14" i="21" s="1"/>
  <c r="H28" i="21"/>
  <c r="AB28" i="21" s="1"/>
  <c r="F28" i="21"/>
  <c r="J28" i="21"/>
  <c r="W28" i="21" s="1"/>
  <c r="H30" i="21"/>
  <c r="U30" i="21" s="1"/>
  <c r="F30" i="21"/>
  <c r="S30" i="21" s="1"/>
  <c r="J30" i="21"/>
  <c r="AC30" i="21" s="1"/>
  <c r="J44" i="21"/>
  <c r="AC44" i="21" s="1"/>
  <c r="H44" i="21"/>
  <c r="F44" i="21"/>
  <c r="F46" i="21"/>
  <c r="AA46" i="21" s="1"/>
  <c r="F119" i="21"/>
  <c r="G119" i="21" s="1"/>
  <c r="H119" i="21" s="1"/>
  <c r="I119" i="21" s="1"/>
  <c r="J119" i="21" s="1"/>
  <c r="K119" i="21" s="1"/>
  <c r="L119" i="21" s="1"/>
  <c r="M119" i="21" s="1"/>
  <c r="J28" i="33"/>
  <c r="F33" i="35"/>
  <c r="J33" i="35"/>
  <c r="F30" i="35"/>
  <c r="S30" i="35" s="1"/>
  <c r="H10" i="36"/>
  <c r="AB10" i="36"/>
  <c r="J14" i="36"/>
  <c r="H14" i="36"/>
  <c r="F28" i="36"/>
  <c r="J13" i="21"/>
  <c r="W13" i="21" s="1"/>
  <c r="F45" i="21"/>
  <c r="S45" i="21" s="1"/>
  <c r="J13" i="33"/>
  <c r="AC13" i="33" s="1"/>
  <c r="F31" i="33"/>
  <c r="H30" i="34"/>
  <c r="F32" i="34"/>
  <c r="J46" i="34"/>
  <c r="J26" i="36"/>
  <c r="H28" i="36"/>
  <c r="J11" i="36"/>
  <c r="H11" i="36"/>
  <c r="U11" i="36" s="1"/>
  <c r="F11" i="36"/>
  <c r="H13" i="36"/>
  <c r="AB13" i="36" s="1"/>
  <c r="J13" i="36"/>
  <c r="W13" i="36" s="1"/>
  <c r="F13" i="36"/>
  <c r="S13" i="36" s="1"/>
  <c r="E89" i="37"/>
  <c r="F89" i="37" s="1"/>
  <c r="G89" i="37" s="1"/>
  <c r="H89" i="37" s="1"/>
  <c r="I89" i="37" s="1"/>
  <c r="J89" i="37" s="1"/>
  <c r="K89" i="37" s="1"/>
  <c r="L89" i="37" s="1"/>
  <c r="M89" i="37" s="1"/>
  <c r="J29" i="37"/>
  <c r="F29" i="37"/>
  <c r="F105" i="37"/>
  <c r="G105" i="37" s="1"/>
  <c r="H36" i="37"/>
  <c r="AB36" i="37" s="1"/>
  <c r="J37" i="37"/>
  <c r="AC37" i="37" s="1"/>
  <c r="H37" i="37"/>
  <c r="U37" i="37" s="1"/>
  <c r="H40" i="37"/>
  <c r="U40" i="37" s="1"/>
  <c r="J40" i="37"/>
  <c r="AC40" i="37" s="1"/>
  <c r="F40" i="37"/>
  <c r="AA40" i="37" s="1"/>
  <c r="W12" i="40"/>
  <c r="H14" i="33"/>
  <c r="F14" i="33"/>
  <c r="J14" i="33"/>
  <c r="AC14" i="33" s="1"/>
  <c r="H30" i="33"/>
  <c r="F30" i="33"/>
  <c r="AA30" i="33" s="1"/>
  <c r="J30" i="33"/>
  <c r="AC30" i="33" s="1"/>
  <c r="H44" i="33"/>
  <c r="AB44" i="33" s="1"/>
  <c r="J44" i="33"/>
  <c r="AC44" i="33" s="1"/>
  <c r="F44" i="33"/>
  <c r="S44" i="33" s="1"/>
  <c r="J46" i="33"/>
  <c r="AC46" i="33" s="1"/>
  <c r="F46" i="33"/>
  <c r="AA46" i="33" s="1"/>
  <c r="H46" i="33"/>
  <c r="AB46" i="33" s="1"/>
  <c r="H13" i="34"/>
  <c r="U13" i="34" s="1"/>
  <c r="J13" i="34"/>
  <c r="W13" i="34" s="1"/>
  <c r="F13" i="34"/>
  <c r="AA13" i="34" s="1"/>
  <c r="J29" i="34"/>
  <c r="W29" i="34" s="1"/>
  <c r="F29" i="34"/>
  <c r="H29" i="34"/>
  <c r="J31" i="34"/>
  <c r="H31" i="34"/>
  <c r="AB31" i="34" s="1"/>
  <c r="F31" i="34"/>
  <c r="S31" i="34" s="1"/>
  <c r="H45" i="34"/>
  <c r="U45" i="34" s="1"/>
  <c r="J45" i="34"/>
  <c r="W45" i="34" s="1"/>
  <c r="F45" i="34"/>
  <c r="AA45" i="34" s="1"/>
  <c r="H47" i="34"/>
  <c r="F47" i="34"/>
  <c r="S47" i="34" s="1"/>
  <c r="J47" i="34"/>
  <c r="F13" i="35"/>
  <c r="S13" i="35" s="1"/>
  <c r="J13" i="35"/>
  <c r="H13" i="35"/>
  <c r="U13" i="35" s="1"/>
  <c r="J25" i="35"/>
  <c r="W25" i="35" s="1"/>
  <c r="F25" i="35"/>
  <c r="S25" i="35" s="1"/>
  <c r="H25" i="35"/>
  <c r="J35" i="35"/>
  <c r="AC35" i="35" s="1"/>
  <c r="F35" i="35"/>
  <c r="AA35" i="35" s="1"/>
  <c r="H35" i="35"/>
  <c r="U35" i="35" s="1"/>
  <c r="J25" i="36"/>
  <c r="F25" i="36"/>
  <c r="AA25" i="36" s="1"/>
  <c r="H25" i="36"/>
  <c r="AB25" i="36" s="1"/>
  <c r="H13" i="37"/>
  <c r="AB13" i="37" s="1"/>
  <c r="H38" i="37"/>
  <c r="H43" i="39"/>
  <c r="AB43" i="39" s="1"/>
  <c r="F14" i="39"/>
  <c r="AA14" i="39" s="1"/>
  <c r="F12" i="40"/>
  <c r="H12" i="40"/>
  <c r="H30" i="40"/>
  <c r="F33" i="40"/>
  <c r="AA33" i="40" s="1"/>
  <c r="J35" i="40"/>
  <c r="AC35" i="40" s="1"/>
  <c r="J37" i="40"/>
  <c r="AC37" i="40" s="1"/>
  <c r="H13" i="40"/>
  <c r="U13" i="40" s="1"/>
  <c r="J13" i="40"/>
  <c r="W13" i="40"/>
  <c r="F13" i="40"/>
  <c r="AA13" i="40"/>
  <c r="F14" i="37"/>
  <c r="S14" i="37"/>
  <c r="F27" i="37"/>
  <c r="F13" i="39"/>
  <c r="H14" i="40"/>
  <c r="J14" i="40"/>
  <c r="W14" i="40" s="1"/>
  <c r="F14" i="40"/>
  <c r="J14" i="37"/>
  <c r="J27" i="37"/>
  <c r="J36" i="37"/>
  <c r="AC36" i="37" s="1"/>
  <c r="J10" i="36"/>
  <c r="AC10" i="36" s="1"/>
  <c r="AA14" i="37"/>
  <c r="AC13" i="36"/>
  <c r="AC28" i="21"/>
  <c r="H17" i="21"/>
  <c r="AB17" i="21" s="1"/>
  <c r="J41" i="39"/>
  <c r="W41" i="39" s="1"/>
  <c r="G544" i="3"/>
  <c r="G527" i="3"/>
  <c r="G584" i="3"/>
  <c r="G568" i="3"/>
  <c r="G564" i="3"/>
  <c r="G554" i="3"/>
  <c r="BL560" i="3"/>
  <c r="BL542" i="3"/>
  <c r="BL522" i="3"/>
  <c r="BL512" i="3"/>
  <c r="BL570" i="3"/>
  <c r="BL556" i="3"/>
  <c r="BL544" i="3"/>
  <c r="G493" i="3"/>
  <c r="BA580" i="3"/>
  <c r="BA576" i="3"/>
  <c r="BA572" i="3"/>
  <c r="BA568" i="3"/>
  <c r="BA564" i="3"/>
  <c r="BA562" i="3"/>
  <c r="BA556" i="3"/>
  <c r="AZ556" i="3" s="1"/>
  <c r="BA548" i="3"/>
  <c r="BA544" i="3"/>
  <c r="BA526" i="3"/>
  <c r="AZ526" i="3" s="1"/>
  <c r="BA522" i="3"/>
  <c r="BA514" i="3"/>
  <c r="BA506" i="3"/>
  <c r="AZ506" i="3" s="1"/>
  <c r="BA579" i="3"/>
  <c r="BA573" i="3"/>
  <c r="BA567" i="3"/>
  <c r="BA563" i="3"/>
  <c r="AZ563" i="3" s="1"/>
  <c r="BA559" i="3"/>
  <c r="BA547" i="3"/>
  <c r="BA543" i="3"/>
  <c r="BA527" i="3"/>
  <c r="BA513" i="3"/>
  <c r="BA503" i="3"/>
  <c r="BA499" i="3"/>
  <c r="G581" i="3"/>
  <c r="G569" i="3"/>
  <c r="G565" i="3"/>
  <c r="AC557" i="3"/>
  <c r="G557" i="3" s="1"/>
  <c r="BQ557" i="3"/>
  <c r="BQ583" i="3"/>
  <c r="BQ581" i="3"/>
  <c r="BQ579" i="3"/>
  <c r="BL579" i="3" s="1"/>
  <c r="BQ577" i="3"/>
  <c r="BQ575" i="3"/>
  <c r="BQ573" i="3"/>
  <c r="BQ571" i="3"/>
  <c r="BQ569" i="3"/>
  <c r="BQ567" i="3"/>
  <c r="BL567" i="3" s="1"/>
  <c r="BQ565" i="3"/>
  <c r="BL565" i="3" s="1"/>
  <c r="BQ563" i="3"/>
  <c r="BL563" i="3" s="1"/>
  <c r="BQ561" i="3"/>
  <c r="BQ559" i="3"/>
  <c r="G549" i="3"/>
  <c r="G545" i="3"/>
  <c r="G537" i="3"/>
  <c r="BQ555" i="3"/>
  <c r="BL555" i="3"/>
  <c r="BQ553" i="3"/>
  <c r="BQ551" i="3"/>
  <c r="BQ549" i="3"/>
  <c r="BQ547" i="3"/>
  <c r="BQ545" i="3"/>
  <c r="BL545" i="3" s="1"/>
  <c r="BQ543" i="3"/>
  <c r="BQ541" i="3"/>
  <c r="BQ539" i="3"/>
  <c r="BQ537" i="3"/>
  <c r="BQ535" i="3"/>
  <c r="BL535" i="3" s="1"/>
  <c r="BQ533" i="3"/>
  <c r="BQ531" i="3"/>
  <c r="BQ529" i="3"/>
  <c r="BQ527" i="3"/>
  <c r="BL527" i="3" s="1"/>
  <c r="AZ527" i="3" s="1"/>
  <c r="BQ525" i="3"/>
  <c r="BQ523" i="3"/>
  <c r="BL523" i="3" s="1"/>
  <c r="AC521" i="3"/>
  <c r="BQ521" i="3"/>
  <c r="BQ519" i="3"/>
  <c r="BQ517" i="3"/>
  <c r="BQ515" i="3"/>
  <c r="BQ513" i="3"/>
  <c r="BL513" i="3" s="1"/>
  <c r="AZ513" i="3" s="1"/>
  <c r="BQ511" i="3"/>
  <c r="AC509" i="3"/>
  <c r="BQ509" i="3"/>
  <c r="G505" i="3"/>
  <c r="BQ507" i="3"/>
  <c r="BL507" i="3" s="1"/>
  <c r="BQ505" i="3"/>
  <c r="BL505" i="3" s="1"/>
  <c r="BQ503" i="3"/>
  <c r="BQ501" i="3"/>
  <c r="BQ499" i="3"/>
  <c r="BL499" i="3" s="1"/>
  <c r="AZ499" i="3" s="1"/>
  <c r="BQ497" i="3"/>
  <c r="BQ495" i="3"/>
  <c r="BQ493" i="3"/>
  <c r="S505" i="31"/>
  <c r="S501" i="31"/>
  <c r="O27" i="31"/>
  <c r="O28" i="31"/>
  <c r="O26" i="31"/>
  <c r="M27" i="31"/>
  <c r="M28" i="31"/>
  <c r="M26" i="31"/>
  <c r="I26" i="31"/>
  <c r="I25" i="31"/>
  <c r="S25" i="31"/>
  <c r="Q26" i="31"/>
  <c r="K26" i="31"/>
  <c r="I27" i="31"/>
  <c r="Q27" i="31"/>
  <c r="K27" i="31"/>
  <c r="I28" i="31"/>
  <c r="Q28" i="31"/>
  <c r="K28" i="31"/>
  <c r="H25" i="21"/>
  <c r="F25" i="21"/>
  <c r="AA25" i="21" s="1"/>
  <c r="J25" i="21"/>
  <c r="W25" i="21" s="1"/>
  <c r="H17" i="37"/>
  <c r="U17" i="37"/>
  <c r="AB27" i="37"/>
  <c r="AA36" i="39"/>
  <c r="F39" i="33"/>
  <c r="AA39" i="33" s="1"/>
  <c r="H28" i="34"/>
  <c r="AB28" i="34"/>
  <c r="F14" i="36"/>
  <c r="F22" i="36"/>
  <c r="S22" i="36" s="1"/>
  <c r="F26" i="36"/>
  <c r="S26" i="36" s="1"/>
  <c r="H27" i="34"/>
  <c r="AB27" i="34" s="1"/>
  <c r="H35" i="34"/>
  <c r="F41" i="34"/>
  <c r="H41" i="34"/>
  <c r="U41" i="34" s="1"/>
  <c r="J41" i="34"/>
  <c r="AC41" i="34" s="1"/>
  <c r="F10" i="35"/>
  <c r="S10" i="35"/>
  <c r="F24" i="35"/>
  <c r="AA24" i="35" s="1"/>
  <c r="H24" i="35"/>
  <c r="H23" i="37"/>
  <c r="J32" i="37"/>
  <c r="W32" i="37" s="1"/>
  <c r="F36" i="37"/>
  <c r="AA36" i="37" s="1"/>
  <c r="F37" i="37"/>
  <c r="F31" i="40"/>
  <c r="J36" i="40"/>
  <c r="H19" i="37"/>
  <c r="AB19" i="37" s="1"/>
  <c r="S28" i="31"/>
  <c r="S27" i="31"/>
  <c r="S26" i="31"/>
  <c r="U33" i="37"/>
  <c r="U39" i="37"/>
  <c r="W26" i="37"/>
  <c r="AC8" i="37"/>
  <c r="U26" i="37"/>
  <c r="AB13" i="34"/>
  <c r="W44" i="33"/>
  <c r="W15" i="34"/>
  <c r="AC15" i="34"/>
  <c r="I107" i="37"/>
  <c r="J107" i="37" s="1"/>
  <c r="K107" i="37" s="1"/>
  <c r="L107" i="37" s="1"/>
  <c r="M107" i="37" s="1"/>
  <c r="H19" i="34"/>
  <c r="AB19" i="34" s="1"/>
  <c r="F36" i="35"/>
  <c r="S36" i="35" s="1"/>
  <c r="J9" i="37"/>
  <c r="W9" i="37" s="1"/>
  <c r="H9" i="37"/>
  <c r="AB9" i="37" s="1"/>
  <c r="F9" i="37"/>
  <c r="S9" i="37" s="1"/>
  <c r="J12" i="37"/>
  <c r="W12" i="37" s="1"/>
  <c r="F12" i="37"/>
  <c r="S12" i="37" s="1"/>
  <c r="F15" i="37"/>
  <c r="AA15" i="37" s="1"/>
  <c r="E94" i="37"/>
  <c r="F94" i="37" s="1"/>
  <c r="G94" i="37" s="1"/>
  <c r="H94" i="37" s="1"/>
  <c r="I94" i="37" s="1"/>
  <c r="J94" i="37" s="1"/>
  <c r="K94" i="37" s="1"/>
  <c r="L94" i="37" s="1"/>
  <c r="M94" i="37" s="1"/>
  <c r="F31" i="37"/>
  <c r="J42" i="39"/>
  <c r="AC42" i="39" s="1"/>
  <c r="H21" i="40"/>
  <c r="H31" i="37"/>
  <c r="U31" i="37" s="1"/>
  <c r="J15" i="37"/>
  <c r="W15" i="37" s="1"/>
  <c r="AT6" i="3"/>
  <c r="H19" i="40"/>
  <c r="U19" i="40" s="1"/>
  <c r="F19" i="40"/>
  <c r="S19" i="40" s="1"/>
  <c r="AC13" i="40"/>
  <c r="W23" i="39"/>
  <c r="H37" i="39"/>
  <c r="F15" i="39"/>
  <c r="AA15" i="39" s="1"/>
  <c r="H15" i="39"/>
  <c r="U15" i="39" s="1"/>
  <c r="J15" i="39"/>
  <c r="W15" i="39" s="1"/>
  <c r="H41" i="39"/>
  <c r="AB41" i="39" s="1"/>
  <c r="AB34" i="39"/>
  <c r="W9" i="39"/>
  <c r="J19" i="40"/>
  <c r="J50" i="40"/>
  <c r="B54" i="72"/>
  <c r="H103" i="9"/>
  <c r="D120" i="9" s="1"/>
  <c r="D6" i="52" s="1"/>
  <c r="B16" i="53"/>
  <c r="B33" i="72"/>
  <c r="C7" i="37"/>
  <c r="C7" i="34"/>
  <c r="C7" i="36"/>
  <c r="C46" i="36"/>
  <c r="D46" i="36" s="1"/>
  <c r="A12" i="52"/>
  <c r="B56" i="72"/>
  <c r="G4" i="4"/>
  <c r="I4" i="4"/>
  <c r="K5" i="4"/>
  <c r="B47" i="48"/>
  <c r="N2" i="43"/>
  <c r="F59" i="43"/>
  <c r="H66" i="43" s="1"/>
  <c r="AZ32" i="3"/>
  <c r="AZ522" i="3"/>
  <c r="G546" i="3"/>
  <c r="G524" i="3"/>
  <c r="G303" i="3"/>
  <c r="BL304" i="3"/>
  <c r="BL306" i="3"/>
  <c r="AZ306" i="3" s="1"/>
  <c r="BA309" i="3"/>
  <c r="AZ309" i="3" s="1"/>
  <c r="BL309" i="3"/>
  <c r="G310" i="3"/>
  <c r="BA311" i="3"/>
  <c r="G319" i="3"/>
  <c r="BL320" i="3"/>
  <c r="BL322" i="3"/>
  <c r="BA325" i="3"/>
  <c r="BL325" i="3"/>
  <c r="G326" i="3"/>
  <c r="BA327" i="3"/>
  <c r="G335" i="3"/>
  <c r="BL336" i="3"/>
  <c r="BL338" i="3"/>
  <c r="BA341" i="3"/>
  <c r="BL341" i="3"/>
  <c r="BA343" i="3"/>
  <c r="BA345" i="3"/>
  <c r="G356" i="3"/>
  <c r="BA359" i="3"/>
  <c r="BA360" i="3"/>
  <c r="AZ360" i="3" s="1"/>
  <c r="BL360" i="3"/>
  <c r="G361" i="3"/>
  <c r="BA362" i="3"/>
  <c r="BL371" i="3"/>
  <c r="G372" i="3"/>
  <c r="BA375" i="3"/>
  <c r="AZ375" i="3" s="1"/>
  <c r="BA376" i="3"/>
  <c r="BA378" i="3"/>
  <c r="BL378" i="3"/>
  <c r="G379" i="3"/>
  <c r="BA380" i="3"/>
  <c r="G388" i="3"/>
  <c r="BL389" i="3"/>
  <c r="G390" i="3"/>
  <c r="BL391" i="3"/>
  <c r="BA393" i="3"/>
  <c r="BA394" i="3"/>
  <c r="AZ394" i="3" s="1"/>
  <c r="BL394" i="3"/>
  <c r="G113" i="3"/>
  <c r="BA115" i="3"/>
  <c r="BA119" i="3"/>
  <c r="BL120" i="3"/>
  <c r="BA123" i="3"/>
  <c r="BL124" i="3"/>
  <c r="G125" i="3"/>
  <c r="BL128" i="3"/>
  <c r="AZ128" i="3" s="1"/>
  <c r="G129" i="3"/>
  <c r="BA131" i="3"/>
  <c r="BL132" i="3"/>
  <c r="AZ132" i="3" s="1"/>
  <c r="G133" i="3"/>
  <c r="BA135" i="3"/>
  <c r="AZ135" i="3" s="1"/>
  <c r="BL136" i="3"/>
  <c r="G137" i="3"/>
  <c r="BA139" i="3"/>
  <c r="BL140" i="3"/>
  <c r="G141" i="3"/>
  <c r="BA143" i="3"/>
  <c r="G145" i="3"/>
  <c r="BA151" i="3"/>
  <c r="AZ151" i="3" s="1"/>
  <c r="BL152" i="3"/>
  <c r="G153" i="3"/>
  <c r="BA155" i="3"/>
  <c r="AZ155" i="3" s="1"/>
  <c r="BL156" i="3"/>
  <c r="AZ156" i="3" s="1"/>
  <c r="G157" i="3"/>
  <c r="BA159" i="3"/>
  <c r="AZ159" i="3" s="1"/>
  <c r="BL160" i="3"/>
  <c r="G161" i="3"/>
  <c r="BA163" i="3"/>
  <c r="BL164" i="3"/>
  <c r="G165" i="3"/>
  <c r="BA167" i="3"/>
  <c r="BL168" i="3"/>
  <c r="AZ168" i="3" s="1"/>
  <c r="G169" i="3"/>
  <c r="BA171" i="3"/>
  <c r="BL172" i="3"/>
  <c r="AZ172" i="3" s="1"/>
  <c r="G173" i="3"/>
  <c r="BA175" i="3"/>
  <c r="BL176" i="3"/>
  <c r="G177" i="3"/>
  <c r="BA179" i="3"/>
  <c r="BL180" i="3"/>
  <c r="AZ180" i="3" s="1"/>
  <c r="G181" i="3"/>
  <c r="BA183" i="3"/>
  <c r="AZ183" i="3" s="1"/>
  <c r="BL184" i="3"/>
  <c r="G185" i="3"/>
  <c r="BA187" i="3"/>
  <c r="AZ187" i="3" s="1"/>
  <c r="BL188" i="3"/>
  <c r="G189" i="3"/>
  <c r="BA191" i="3"/>
  <c r="AZ191" i="3" s="1"/>
  <c r="BL192" i="3"/>
  <c r="AZ192" i="3" s="1"/>
  <c r="G193" i="3"/>
  <c r="BA195" i="3"/>
  <c r="BL196" i="3"/>
  <c r="G197" i="3"/>
  <c r="BA199" i="3"/>
  <c r="AZ199" i="3" s="1"/>
  <c r="BL200" i="3"/>
  <c r="G201" i="3"/>
  <c r="BA203" i="3"/>
  <c r="AZ203" i="3" s="1"/>
  <c r="BL204" i="3"/>
  <c r="AZ204" i="3" s="1"/>
  <c r="AZ39" i="3"/>
  <c r="AZ47" i="3"/>
  <c r="AZ67" i="3"/>
  <c r="AZ152" i="3"/>
  <c r="AZ160" i="3"/>
  <c r="AZ105" i="3"/>
  <c r="AZ109" i="3"/>
  <c r="G506" i="3"/>
  <c r="G16" i="3"/>
  <c r="BA304" i="3"/>
  <c r="AZ304" i="3" s="1"/>
  <c r="BA305" i="3"/>
  <c r="BL305" i="3"/>
  <c r="G309" i="3"/>
  <c r="BL310" i="3"/>
  <c r="BA312" i="3"/>
  <c r="BA313" i="3"/>
  <c r="G317" i="3"/>
  <c r="BL318" i="3"/>
  <c r="BA320" i="3"/>
  <c r="AZ320" i="3" s="1"/>
  <c r="BA321" i="3"/>
  <c r="BL321" i="3"/>
  <c r="G325" i="3"/>
  <c r="BL326" i="3"/>
  <c r="BA328" i="3"/>
  <c r="BA329" i="3"/>
  <c r="G333" i="3"/>
  <c r="BL334" i="3"/>
  <c r="BA336" i="3"/>
  <c r="AZ336" i="3" s="1"/>
  <c r="BA337" i="3"/>
  <c r="BL337" i="3"/>
  <c r="G341" i="3"/>
  <c r="BA342" i="3"/>
  <c r="BL342" i="3"/>
  <c r="BA344" i="3"/>
  <c r="AZ344" i="3" s="1"/>
  <c r="BL344" i="3"/>
  <c r="AZ346" i="3"/>
  <c r="BA347" i="3"/>
  <c r="AZ347" i="3" s="1"/>
  <c r="BL347" i="3"/>
  <c r="G350" i="3"/>
  <c r="BA351" i="3"/>
  <c r="BL351" i="3"/>
  <c r="AZ351" i="3" s="1"/>
  <c r="G352" i="3"/>
  <c r="G354" i="3"/>
  <c r="AZ355" i="3"/>
  <c r="BL356" i="3"/>
  <c r="AZ356" i="3" s="1"/>
  <c r="G360" i="3"/>
  <c r="BL361" i="3"/>
  <c r="BA363" i="3"/>
  <c r="BA364" i="3"/>
  <c r="G365" i="3"/>
  <c r="BL369" i="3"/>
  <c r="BA372" i="3"/>
  <c r="BL372" i="3"/>
  <c r="G376" i="3"/>
  <c r="BL379" i="3"/>
  <c r="BA381" i="3"/>
  <c r="AZ381" i="3" s="1"/>
  <c r="BL382" i="3"/>
  <c r="AZ382" i="3" s="1"/>
  <c r="G386" i="3"/>
  <c r="BL387" i="3"/>
  <c r="BA389" i="3"/>
  <c r="BA390" i="3"/>
  <c r="BL390" i="3"/>
  <c r="G391" i="3"/>
  <c r="G394" i="3"/>
  <c r="AZ150" i="3"/>
  <c r="AZ154" i="3"/>
  <c r="AZ158" i="3"/>
  <c r="AZ190" i="3"/>
  <c r="AZ202" i="3"/>
  <c r="BA16" i="3"/>
  <c r="BL303" i="3"/>
  <c r="G304" i="3"/>
  <c r="AZ307" i="3"/>
  <c r="BA310" i="3"/>
  <c r="BL311" i="3"/>
  <c r="G312" i="3"/>
  <c r="BL315" i="3"/>
  <c r="G316" i="3"/>
  <c r="BA318" i="3"/>
  <c r="AZ318" i="3" s="1"/>
  <c r="BL319" i="3"/>
  <c r="BA322" i="3"/>
  <c r="BL323" i="3"/>
  <c r="G324" i="3"/>
  <c r="BA326" i="3"/>
  <c r="AZ326" i="3"/>
  <c r="BL327" i="3"/>
  <c r="G328" i="3"/>
  <c r="BL331" i="3"/>
  <c r="AZ331" i="3" s="1"/>
  <c r="G332" i="3"/>
  <c r="BA334" i="3"/>
  <c r="AZ334" i="3" s="1"/>
  <c r="BL335" i="3"/>
  <c r="G336" i="3"/>
  <c r="BL343" i="3"/>
  <c r="G344" i="3"/>
  <c r="G348" i="3"/>
  <c r="AZ218" i="3"/>
  <c r="G342" i="3"/>
  <c r="BL345" i="3"/>
  <c r="G346" i="3"/>
  <c r="BL349" i="3"/>
  <c r="BL352" i="3"/>
  <c r="BA357" i="3"/>
  <c r="AZ357" i="3" s="1"/>
  <c r="BL358" i="3"/>
  <c r="G359" i="3"/>
  <c r="BA361" i="3"/>
  <c r="AZ361" i="3" s="1"/>
  <c r="BL362" i="3"/>
  <c r="AZ362" i="3" s="1"/>
  <c r="G363" i="3"/>
  <c r="BA365" i="3"/>
  <c r="BL366" i="3"/>
  <c r="G367" i="3"/>
  <c r="G371" i="3"/>
  <c r="BA377" i="3"/>
  <c r="AZ241" i="3"/>
  <c r="BA379" i="3"/>
  <c r="BL380" i="3"/>
  <c r="G381" i="3"/>
  <c r="BL384" i="3"/>
  <c r="AZ384" i="3" s="1"/>
  <c r="G385" i="3"/>
  <c r="BA387" i="3"/>
  <c r="AZ387" i="3" s="1"/>
  <c r="BL388" i="3"/>
  <c r="G389" i="3"/>
  <c r="BA391" i="3"/>
  <c r="BL392" i="3"/>
  <c r="G393" i="3"/>
  <c r="AZ279" i="3"/>
  <c r="AZ283" i="3"/>
  <c r="AZ341" i="3"/>
  <c r="G548" i="3"/>
  <c r="G17" i="3"/>
  <c r="BA17" i="3"/>
  <c r="BA15" i="3"/>
  <c r="N4" i="43"/>
  <c r="F36" i="43"/>
  <c r="F81" i="43"/>
  <c r="H113" i="43"/>
  <c r="F48" i="43"/>
  <c r="N7" i="43"/>
  <c r="F70" i="43"/>
  <c r="H73" i="43"/>
  <c r="M6" i="43"/>
  <c r="M11" i="43"/>
  <c r="E17" i="43"/>
  <c r="F39" i="43"/>
  <c r="I17" i="43"/>
  <c r="F35" i="43"/>
  <c r="J17" i="43"/>
  <c r="F6" i="1"/>
  <c r="G6" i="1" s="1"/>
  <c r="U17" i="39"/>
  <c r="U35" i="21"/>
  <c r="U10" i="21"/>
  <c r="F48" i="9"/>
  <c r="O52" i="9" s="1"/>
  <c r="S15" i="37"/>
  <c r="J37" i="33"/>
  <c r="AC17" i="34"/>
  <c r="J34" i="33"/>
  <c r="W34" i="33"/>
  <c r="F33" i="34"/>
  <c r="S33" i="34"/>
  <c r="H20" i="36"/>
  <c r="U20" i="36"/>
  <c r="J20" i="36"/>
  <c r="W20" i="36"/>
  <c r="J27" i="36"/>
  <c r="AC33" i="40"/>
  <c r="F111" i="40"/>
  <c r="G111" i="40"/>
  <c r="H111" i="40" s="1"/>
  <c r="I111" i="40" s="1"/>
  <c r="J111" i="40" s="1"/>
  <c r="K111" i="40" s="1"/>
  <c r="L111" i="40" s="1"/>
  <c r="M111" i="40" s="1"/>
  <c r="H35" i="40"/>
  <c r="AB35" i="40"/>
  <c r="H35" i="37"/>
  <c r="U35" i="37"/>
  <c r="H20" i="35"/>
  <c r="U20" i="35"/>
  <c r="F20" i="35"/>
  <c r="AA20" i="35"/>
  <c r="AB29" i="36"/>
  <c r="U29" i="36"/>
  <c r="H32" i="37"/>
  <c r="AB32" i="37" s="1"/>
  <c r="F96" i="37"/>
  <c r="G96" i="37" s="1"/>
  <c r="H96" i="37" s="1"/>
  <c r="I96" i="37" s="1"/>
  <c r="J96" i="37" s="1"/>
  <c r="K96" i="37" s="1"/>
  <c r="L96" i="37" s="1"/>
  <c r="M96" i="37" s="1"/>
  <c r="J30" i="40"/>
  <c r="AC30" i="40"/>
  <c r="F30" i="40"/>
  <c r="AA30" i="40"/>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J39" i="39"/>
  <c r="W39" i="39" s="1"/>
  <c r="F97" i="39"/>
  <c r="G97" i="39" s="1"/>
  <c r="AZ386" i="3"/>
  <c r="C40" i="11"/>
  <c r="AZ227" i="3"/>
  <c r="AZ280" i="3"/>
  <c r="AZ21" i="3"/>
  <c r="AZ45" i="3"/>
  <c r="AZ66" i="3"/>
  <c r="AZ69" i="3"/>
  <c r="H75" i="43"/>
  <c r="H74" i="43"/>
  <c r="H50" i="43"/>
  <c r="H48" i="43"/>
  <c r="I20" i="43"/>
  <c r="C20" i="43" s="1"/>
  <c r="F23" i="39"/>
  <c r="AA23" i="39" s="1"/>
  <c r="H27" i="36"/>
  <c r="U27" i="36" s="1"/>
  <c r="F27" i="36"/>
  <c r="AA27" i="36" s="1"/>
  <c r="H33" i="34"/>
  <c r="AB33" i="34" s="1"/>
  <c r="F32" i="37"/>
  <c r="AA32" i="37" s="1"/>
  <c r="F20" i="36"/>
  <c r="AA20" i="36" s="1"/>
  <c r="J33" i="34"/>
  <c r="AC33" i="34" s="1"/>
  <c r="H23" i="39"/>
  <c r="U23" i="39" s="1"/>
  <c r="D48" i="9"/>
  <c r="M52" i="9" s="1"/>
  <c r="H82" i="43"/>
  <c r="K9" i="1"/>
  <c r="M9" i="1" s="1"/>
  <c r="O9" i="1" s="1"/>
  <c r="AE9" i="1"/>
  <c r="D93" i="9"/>
  <c r="K6" i="1"/>
  <c r="M6" i="1" s="1"/>
  <c r="W27" i="34"/>
  <c r="AZ417" i="3"/>
  <c r="AC12" i="33"/>
  <c r="AA39" i="34"/>
  <c r="S19" i="39"/>
  <c r="F12" i="33"/>
  <c r="S12" i="33" s="1"/>
  <c r="F39" i="40"/>
  <c r="S39" i="40" s="1"/>
  <c r="AZ281" i="3"/>
  <c r="AZ149" i="3"/>
  <c r="AZ189" i="3"/>
  <c r="AZ197" i="3"/>
  <c r="AZ19" i="3"/>
  <c r="S12" i="1"/>
  <c r="T12" i="1" s="1"/>
  <c r="R12" i="1"/>
  <c r="B12" i="1"/>
  <c r="E12" i="1"/>
  <c r="S10" i="1"/>
  <c r="AQ10" i="1" s="1"/>
  <c r="R10" i="1"/>
  <c r="B10" i="1"/>
  <c r="E10" i="1" s="1"/>
  <c r="AZ107" i="3"/>
  <c r="AZ111" i="3"/>
  <c r="K12" i="1"/>
  <c r="M12" i="1" s="1"/>
  <c r="O12" i="1" s="1"/>
  <c r="S13" i="1"/>
  <c r="R13" i="1"/>
  <c r="S11" i="1"/>
  <c r="AQ11" i="1" s="1"/>
  <c r="R11" i="1"/>
  <c r="S9" i="1"/>
  <c r="AR9" i="1" s="1"/>
  <c r="R9" i="1"/>
  <c r="J51" i="67"/>
  <c r="C42" i="1"/>
  <c r="C77" i="9"/>
  <c r="C74" i="9" s="1"/>
  <c r="H100" i="43"/>
  <c r="C30" i="66"/>
  <c r="E26" i="66" s="1"/>
  <c r="AC34" i="33"/>
  <c r="B41" i="1"/>
  <c r="F32" i="15" s="1"/>
  <c r="F60" i="15" s="1"/>
  <c r="J100" i="43"/>
  <c r="AB37" i="40"/>
  <c r="S17" i="40"/>
  <c r="AC17" i="40"/>
  <c r="S30" i="40"/>
  <c r="AA19" i="40"/>
  <c r="AB19" i="40"/>
  <c r="F32" i="39"/>
  <c r="J21" i="39"/>
  <c r="W21" i="39" s="1"/>
  <c r="W19" i="39"/>
  <c r="U19" i="39"/>
  <c r="S17" i="39"/>
  <c r="U13" i="36"/>
  <c r="U26" i="36"/>
  <c r="AA26" i="36"/>
  <c r="S29" i="36"/>
  <c r="U22" i="36"/>
  <c r="AB20" i="36"/>
  <c r="U16" i="36"/>
  <c r="U10" i="36"/>
  <c r="AA25" i="35"/>
  <c r="W24" i="35"/>
  <c r="AB27" i="35"/>
  <c r="U32" i="35"/>
  <c r="S28" i="35"/>
  <c r="U22" i="35"/>
  <c r="U14" i="35"/>
  <c r="S8" i="35"/>
  <c r="F9" i="35"/>
  <c r="AA9" i="35" s="1"/>
  <c r="H9" i="35"/>
  <c r="U9" i="35" s="1"/>
  <c r="AC9" i="37"/>
  <c r="U29" i="37"/>
  <c r="S36" i="37"/>
  <c r="AC35" i="37"/>
  <c r="W39" i="37"/>
  <c r="S30" i="37"/>
  <c r="J17" i="37"/>
  <c r="W17" i="37" s="1"/>
  <c r="F17" i="37"/>
  <c r="AA17" i="37" s="1"/>
  <c r="AB17" i="37"/>
  <c r="F75" i="37"/>
  <c r="F19" i="37"/>
  <c r="F23" i="37"/>
  <c r="AA23" i="37" s="1"/>
  <c r="U15" i="37"/>
  <c r="U9" i="37"/>
  <c r="AA9" i="37"/>
  <c r="H10" i="37"/>
  <c r="H60" i="37"/>
  <c r="I60" i="37" s="1"/>
  <c r="F63" i="37"/>
  <c r="G63" i="37" s="1"/>
  <c r="H63" i="37" s="1"/>
  <c r="I63" i="37" s="1"/>
  <c r="F11" i="37"/>
  <c r="AA11" i="37" s="1"/>
  <c r="S27" i="34"/>
  <c r="W25" i="34"/>
  <c r="AA33" i="34"/>
  <c r="U44" i="34"/>
  <c r="AC39" i="34"/>
  <c r="AC42" i="34"/>
  <c r="U39" i="34"/>
  <c r="AB41" i="34"/>
  <c r="U28" i="34"/>
  <c r="S13" i="34"/>
  <c r="I67" i="34"/>
  <c r="H10" i="34"/>
  <c r="U10" i="34" s="1"/>
  <c r="F11" i="34"/>
  <c r="F70" i="34"/>
  <c r="G70" i="34" s="1"/>
  <c r="H41" i="33"/>
  <c r="U41" i="33" s="1"/>
  <c r="J35" i="33"/>
  <c r="AC35" i="33" s="1"/>
  <c r="S37" i="33"/>
  <c r="AA37" i="33"/>
  <c r="S39" i="33"/>
  <c r="F91" i="33"/>
  <c r="G91" i="33" s="1"/>
  <c r="H91" i="33" s="1"/>
  <c r="I91" i="33" s="1"/>
  <c r="J91" i="33" s="1"/>
  <c r="K91" i="33" s="1"/>
  <c r="L91" i="33" s="1"/>
  <c r="M91" i="33" s="1"/>
  <c r="H27" i="33"/>
  <c r="U27" i="33" s="1"/>
  <c r="M87" i="33"/>
  <c r="H25" i="33"/>
  <c r="F25" i="33"/>
  <c r="J23" i="33"/>
  <c r="H23" i="33"/>
  <c r="F19" i="33"/>
  <c r="S19" i="33" s="1"/>
  <c r="J17" i="33"/>
  <c r="AC17" i="33" s="1"/>
  <c r="J10" i="33"/>
  <c r="H10" i="33"/>
  <c r="J15" i="21"/>
  <c r="E85" i="21"/>
  <c r="F85" i="21" s="1"/>
  <c r="G85" i="21" s="1"/>
  <c r="S8" i="21"/>
  <c r="M3" i="43"/>
  <c r="N10" i="43"/>
  <c r="M1" i="43"/>
  <c r="M8" i="43"/>
  <c r="N8" i="43"/>
  <c r="N9" i="43"/>
  <c r="C18" i="9"/>
  <c r="D18" i="9" s="1"/>
  <c r="F34" i="67"/>
  <c r="F62" i="67" s="1"/>
  <c r="F34" i="15"/>
  <c r="F62" i="15" s="1"/>
  <c r="BA13" i="3"/>
  <c r="BL17" i="3"/>
  <c r="AZ17" i="3" s="1"/>
  <c r="J56" i="9"/>
  <c r="J57" i="9" s="1"/>
  <c r="J59" i="9" s="1"/>
  <c r="J61" i="9" s="1"/>
  <c r="E32" i="6"/>
  <c r="G1" i="68"/>
  <c r="K1" i="12"/>
  <c r="E19" i="69"/>
  <c r="E19" i="68"/>
  <c r="E19" i="11"/>
  <c r="E1" i="73"/>
  <c r="G41" i="69"/>
  <c r="G22" i="69"/>
  <c r="G41" i="68"/>
  <c r="G22" i="68"/>
  <c r="G27" i="12"/>
  <c r="G26" i="12"/>
  <c r="G41" i="11"/>
  <c r="G22" i="11"/>
  <c r="G25" i="12"/>
  <c r="C100" i="43"/>
  <c r="E11" i="43"/>
  <c r="E9" i="43"/>
  <c r="E81" i="43"/>
  <c r="B79" i="43" s="1"/>
  <c r="E70" i="43"/>
  <c r="B68" i="43" s="1"/>
  <c r="F100" i="43"/>
  <c r="H17" i="43"/>
  <c r="C16" i="43" s="1"/>
  <c r="H81" i="43"/>
  <c r="H88"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58" i="21" s="1"/>
  <c r="C7" i="40"/>
  <c r="C63" i="40" s="1"/>
  <c r="M47" i="9"/>
  <c r="G19" i="43"/>
  <c r="A19" i="51"/>
  <c r="B14" i="72" s="1"/>
  <c r="C59" i="34"/>
  <c r="D59" i="34" s="1"/>
  <c r="E59" i="34" s="1"/>
  <c r="F59" i="34" s="1"/>
  <c r="G59" i="34" s="1"/>
  <c r="H59" i="34" s="1"/>
  <c r="C52" i="37"/>
  <c r="C94" i="9"/>
  <c r="H64" i="43"/>
  <c r="H55" i="43"/>
  <c r="H56" i="43"/>
  <c r="H76" i="43"/>
  <c r="H72" i="43"/>
  <c r="H77" i="43"/>
  <c r="L20" i="6"/>
  <c r="B6" i="1"/>
  <c r="E6" i="1" s="1"/>
  <c r="K11" i="1"/>
  <c r="M11" i="1" s="1"/>
  <c r="O11" i="1" s="1"/>
  <c r="B9" i="1"/>
  <c r="E9" i="1"/>
  <c r="G1" i="69"/>
  <c r="W23" i="40"/>
  <c r="W37" i="40"/>
  <c r="S13" i="40"/>
  <c r="U15" i="40"/>
  <c r="U42" i="39"/>
  <c r="AB23" i="39"/>
  <c r="U41" i="39"/>
  <c r="S14" i="39"/>
  <c r="W17" i="39"/>
  <c r="S23" i="39"/>
  <c r="AB39" i="39"/>
  <c r="W34" i="39"/>
  <c r="U38" i="39"/>
  <c r="S20" i="36"/>
  <c r="W29" i="36"/>
  <c r="AC20" i="36"/>
  <c r="U25" i="36"/>
  <c r="AA13" i="36"/>
  <c r="W22" i="36"/>
  <c r="AB20" i="35"/>
  <c r="AC25" i="35"/>
  <c r="S24" i="35"/>
  <c r="S35" i="35"/>
  <c r="AA35" i="37"/>
  <c r="U36" i="37"/>
  <c r="S40" i="37"/>
  <c r="AB37" i="37"/>
  <c r="S33" i="37"/>
  <c r="AB35" i="37"/>
  <c r="U19" i="37"/>
  <c r="AA40" i="34"/>
  <c r="U19" i="34"/>
  <c r="W19" i="34"/>
  <c r="U25" i="34"/>
  <c r="AC29" i="34"/>
  <c r="S37" i="34"/>
  <c r="U38" i="34"/>
  <c r="AC40" i="34"/>
  <c r="AA36" i="34"/>
  <c r="AA8" i="34"/>
  <c r="AC35" i="34"/>
  <c r="W35" i="34"/>
  <c r="W46" i="33"/>
  <c r="U44" i="33"/>
  <c r="W30" i="33"/>
  <c r="U37" i="33"/>
  <c r="S28" i="33"/>
  <c r="F33" i="21"/>
  <c r="J33" i="21"/>
  <c r="H33" i="21"/>
  <c r="AB33" i="21" s="1"/>
  <c r="AA26" i="21"/>
  <c r="W8" i="21"/>
  <c r="W30" i="21"/>
  <c r="H45" i="21"/>
  <c r="U45" i="21" s="1"/>
  <c r="F13" i="21"/>
  <c r="AA13" i="21" s="1"/>
  <c r="H32" i="21"/>
  <c r="H9" i="21"/>
  <c r="AB9" i="21" s="1"/>
  <c r="J32" i="21"/>
  <c r="AC32" i="21"/>
  <c r="F32" i="21"/>
  <c r="AA32" i="21"/>
  <c r="S19" i="21"/>
  <c r="K141" i="21"/>
  <c r="K143" i="21"/>
  <c r="AA30" i="21"/>
  <c r="F10" i="21"/>
  <c r="AA10" i="21"/>
  <c r="AC26" i="21"/>
  <c r="W30" i="40"/>
  <c r="C15" i="40"/>
  <c r="C23" i="40"/>
  <c r="B54" i="43"/>
  <c r="B49" i="43"/>
  <c r="B56" i="43"/>
  <c r="D23" i="15"/>
  <c r="D22" i="15"/>
  <c r="AA12" i="33"/>
  <c r="J32" i="39"/>
  <c r="W32" i="39"/>
  <c r="H32" i="39"/>
  <c r="AB32" i="39" s="1"/>
  <c r="AB9" i="35"/>
  <c r="S17" i="37"/>
  <c r="J19" i="37"/>
  <c r="W19" i="37" s="1"/>
  <c r="G75" i="37"/>
  <c r="J23" i="37"/>
  <c r="AC23" i="37" s="1"/>
  <c r="J10" i="37"/>
  <c r="H11" i="37"/>
  <c r="U11" i="37" s="1"/>
  <c r="AB10" i="37"/>
  <c r="U10" i="37"/>
  <c r="H70" i="34"/>
  <c r="I70" i="34" s="1"/>
  <c r="J70" i="34" s="1"/>
  <c r="K70" i="34" s="1"/>
  <c r="L70" i="34" s="1"/>
  <c r="M70" i="34" s="1"/>
  <c r="H11" i="34"/>
  <c r="U11" i="34" s="1"/>
  <c r="AB10" i="34"/>
  <c r="J10" i="34"/>
  <c r="AC10" i="34" s="1"/>
  <c r="AB27" i="33"/>
  <c r="U25" i="33"/>
  <c r="AB25" i="33"/>
  <c r="J25" i="33"/>
  <c r="W25" i="33" s="1"/>
  <c r="F23" i="33"/>
  <c r="S23" i="33" s="1"/>
  <c r="H19" i="33"/>
  <c r="H17" i="33"/>
  <c r="F17" i="33"/>
  <c r="AP7" i="1"/>
  <c r="AC19" i="37"/>
  <c r="AB11" i="37"/>
  <c r="J63" i="37"/>
  <c r="K63" i="37" s="1"/>
  <c r="L63" i="37" s="1"/>
  <c r="M63" i="37" s="1"/>
  <c r="J11" i="37"/>
  <c r="AB11" i="34"/>
  <c r="J11" i="34"/>
  <c r="W11" i="34" s="1"/>
  <c r="AC25" i="33"/>
  <c r="Q52" i="15"/>
  <c r="Q52" i="67"/>
  <c r="AC11" i="34"/>
  <c r="AG6" i="1"/>
  <c r="H109" i="9"/>
  <c r="H110" i="9" s="1"/>
  <c r="D18" i="53" s="1"/>
  <c r="B35" i="72" s="1"/>
  <c r="H112" i="9"/>
  <c r="D21" i="53" s="1"/>
  <c r="B39" i="72" s="1"/>
  <c r="H111" i="9"/>
  <c r="D59" i="9"/>
  <c r="M55" i="9" s="1"/>
  <c r="AD3" i="71"/>
  <c r="P23" i="43" s="1"/>
  <c r="B71" i="39" s="1"/>
  <c r="AE6" i="1"/>
  <c r="F31" i="67"/>
  <c r="F31" i="15"/>
  <c r="C40" i="69"/>
  <c r="AA41" i="39"/>
  <c r="AC41" i="39"/>
  <c r="W42" i="39"/>
  <c r="S42" i="39"/>
  <c r="U32" i="39"/>
  <c r="AC32" i="39"/>
  <c r="AB15" i="39"/>
  <c r="U9" i="39"/>
  <c r="W8" i="39"/>
  <c r="A24" i="51"/>
  <c r="B18" i="72" s="1"/>
  <c r="AA30" i="35"/>
  <c r="S20" i="35"/>
  <c r="AB16" i="35"/>
  <c r="AA10" i="35"/>
  <c r="AB10" i="35"/>
  <c r="J32" i="33"/>
  <c r="W32" i="33" s="1"/>
  <c r="F42" i="33"/>
  <c r="H111" i="33"/>
  <c r="I111" i="33" s="1"/>
  <c r="J111" i="33" s="1"/>
  <c r="K111" i="33" s="1"/>
  <c r="L111" i="33" s="1"/>
  <c r="M111" i="33" s="1"/>
  <c r="J36" i="33"/>
  <c r="AC36" i="33" s="1"/>
  <c r="AB34" i="33"/>
  <c r="AA19" i="33"/>
  <c r="AC21" i="33"/>
  <c r="U11" i="33"/>
  <c r="AA10" i="33"/>
  <c r="S8" i="33"/>
  <c r="F42" i="21"/>
  <c r="AA42" i="21" s="1"/>
  <c r="J42" i="21"/>
  <c r="W42" i="21" s="1"/>
  <c r="AC38" i="21"/>
  <c r="AB38" i="21"/>
  <c r="W36" i="21"/>
  <c r="S39" i="21"/>
  <c r="AB36" i="21"/>
  <c r="W32" i="21"/>
  <c r="S32" i="21"/>
  <c r="U19" i="21"/>
  <c r="AC19" i="21"/>
  <c r="S10" i="21"/>
  <c r="M20" i="67"/>
  <c r="F30" i="69"/>
  <c r="C24" i="12"/>
  <c r="F28" i="67"/>
  <c r="C28" i="67" s="1"/>
  <c r="F31" i="12"/>
  <c r="D23" i="67"/>
  <c r="G101" i="43"/>
  <c r="G107" i="43" s="1"/>
  <c r="AI11" i="43"/>
  <c r="AI13" i="43" s="1"/>
  <c r="G10" i="1"/>
  <c r="A118" i="9"/>
  <c r="A2" i="9"/>
  <c r="A4" i="52"/>
  <c r="B41" i="72" s="1"/>
  <c r="S23" i="37"/>
  <c r="U33" i="34"/>
  <c r="AC19" i="40"/>
  <c r="W19" i="40"/>
  <c r="AA37" i="37"/>
  <c r="S37" i="37"/>
  <c r="AC32" i="37"/>
  <c r="AB24" i="35"/>
  <c r="U24" i="35"/>
  <c r="U35" i="34"/>
  <c r="AB35" i="34"/>
  <c r="AA14" i="36"/>
  <c r="S14" i="36"/>
  <c r="S25" i="21"/>
  <c r="W10" i="36"/>
  <c r="AA27" i="37"/>
  <c r="S27" i="37"/>
  <c r="AB13" i="40"/>
  <c r="W35" i="40"/>
  <c r="S33" i="40"/>
  <c r="S25" i="36"/>
  <c r="AB35" i="35"/>
  <c r="W35" i="35"/>
  <c r="AA13" i="35"/>
  <c r="S45" i="34"/>
  <c r="AB45" i="34"/>
  <c r="AB30" i="33"/>
  <c r="U30" i="33"/>
  <c r="AB29" i="21"/>
  <c r="AC14" i="36"/>
  <c r="W14" i="36"/>
  <c r="S46" i="21"/>
  <c r="AB46" i="21"/>
  <c r="U44" i="21"/>
  <c r="AB44" i="21"/>
  <c r="AB30" i="21"/>
  <c r="AC14" i="21"/>
  <c r="W28" i="34"/>
  <c r="AC28" i="34"/>
  <c r="U23" i="34"/>
  <c r="AB23" i="34"/>
  <c r="AC15" i="40"/>
  <c r="U32" i="33"/>
  <c r="AB11" i="40"/>
  <c r="AB36" i="39"/>
  <c r="U36" i="39"/>
  <c r="U26" i="21"/>
  <c r="AA35" i="21"/>
  <c r="S35" i="21"/>
  <c r="AC34" i="21"/>
  <c r="AC40" i="21"/>
  <c r="S34" i="21"/>
  <c r="H22" i="43"/>
  <c r="W33" i="33"/>
  <c r="U38" i="33"/>
  <c r="J34" i="35"/>
  <c r="AC34" i="35" s="1"/>
  <c r="H34" i="35"/>
  <c r="F34" i="35"/>
  <c r="AA34" i="35" s="1"/>
  <c r="AC22" i="35"/>
  <c r="AA8" i="36"/>
  <c r="S8" i="36"/>
  <c r="AC8" i="36"/>
  <c r="W8" i="36"/>
  <c r="AC28" i="36"/>
  <c r="W28" i="36"/>
  <c r="W16" i="36"/>
  <c r="F32" i="36"/>
  <c r="S32" i="36" s="1"/>
  <c r="H32" i="36"/>
  <c r="U32" i="36" s="1"/>
  <c r="J32" i="36"/>
  <c r="W32" i="36" s="1"/>
  <c r="F25" i="37"/>
  <c r="S25" i="37" s="1"/>
  <c r="S9" i="39"/>
  <c r="AA44" i="39"/>
  <c r="J13" i="39"/>
  <c r="W13" i="39" s="1"/>
  <c r="H13" i="39"/>
  <c r="AB13" i="39" s="1"/>
  <c r="AA8" i="40"/>
  <c r="S8" i="40"/>
  <c r="AB9" i="40"/>
  <c r="U9" i="40"/>
  <c r="AB38" i="40"/>
  <c r="H27" i="40"/>
  <c r="U27" i="40" s="1"/>
  <c r="F27" i="40"/>
  <c r="AA27" i="40" s="1"/>
  <c r="AC28" i="40"/>
  <c r="W28" i="40"/>
  <c r="U41" i="21"/>
  <c r="AB41" i="21"/>
  <c r="BA549" i="3"/>
  <c r="BA537" i="3"/>
  <c r="BL536" i="3"/>
  <c r="BA536" i="3"/>
  <c r="AZ536" i="3" s="1"/>
  <c r="BL534" i="3"/>
  <c r="BA534" i="3"/>
  <c r="BA533" i="3"/>
  <c r="BL526" i="3"/>
  <c r="BL524" i="3"/>
  <c r="BA515" i="3"/>
  <c r="BL514" i="3"/>
  <c r="AZ514" i="3" s="1"/>
  <c r="BA512" i="3"/>
  <c r="AZ512" i="3" s="1"/>
  <c r="BL508" i="3"/>
  <c r="BL506" i="3"/>
  <c r="BA505" i="3"/>
  <c r="AZ505" i="3" s="1"/>
  <c r="BL504" i="3"/>
  <c r="AZ504" i="3" s="1"/>
  <c r="BA504" i="3"/>
  <c r="BL503" i="3"/>
  <c r="AZ503" i="3" s="1"/>
  <c r="BL498" i="3"/>
  <c r="S13" i="21"/>
  <c r="S9" i="35"/>
  <c r="S11" i="37"/>
  <c r="AC15" i="37"/>
  <c r="U32" i="37"/>
  <c r="AB31" i="37"/>
  <c r="U35" i="40"/>
  <c r="F52" i="9"/>
  <c r="F54" i="9"/>
  <c r="S32" i="37"/>
  <c r="S27" i="36"/>
  <c r="W27" i="36"/>
  <c r="AC27" i="36"/>
  <c r="H52" i="43"/>
  <c r="H49" i="43"/>
  <c r="H53" i="43"/>
  <c r="H51" i="43"/>
  <c r="AZ327" i="3"/>
  <c r="H61" i="43"/>
  <c r="H59" i="43"/>
  <c r="D8" i="53"/>
  <c r="D9" i="53" s="1"/>
  <c r="B25" i="72" s="1"/>
  <c r="W41" i="34"/>
  <c r="AC25" i="21"/>
  <c r="AZ579" i="3"/>
  <c r="U31" i="34"/>
  <c r="AA14" i="40"/>
  <c r="S14" i="40"/>
  <c r="AB30" i="40"/>
  <c r="U30" i="40"/>
  <c r="S12" i="40"/>
  <c r="AA12" i="40"/>
  <c r="W25" i="36"/>
  <c r="AC25" i="36"/>
  <c r="AB25" i="35"/>
  <c r="U25" i="35"/>
  <c r="AC13" i="35"/>
  <c r="W13" i="35"/>
  <c r="AC47" i="34"/>
  <c r="W47" i="34"/>
  <c r="AA31" i="34"/>
  <c r="AC31" i="34"/>
  <c r="W31" i="34"/>
  <c r="AA45" i="21"/>
  <c r="AC13" i="21"/>
  <c r="AA44" i="21"/>
  <c r="S44" i="21"/>
  <c r="U28" i="21"/>
  <c r="U23" i="40"/>
  <c r="AA17" i="34"/>
  <c r="S41" i="33"/>
  <c r="S25" i="34"/>
  <c r="AA25" i="34"/>
  <c r="AA28" i="34"/>
  <c r="S28" i="34"/>
  <c r="AB33" i="35"/>
  <c r="U33" i="35"/>
  <c r="W34" i="36"/>
  <c r="AC34" i="36"/>
  <c r="W11" i="40"/>
  <c r="AC11" i="40"/>
  <c r="U17" i="40"/>
  <c r="AB17" i="40"/>
  <c r="AA35" i="40"/>
  <c r="S35" i="40"/>
  <c r="AA11" i="40"/>
  <c r="S11" i="40"/>
  <c r="S39" i="37"/>
  <c r="AA39" i="37"/>
  <c r="AC36" i="39"/>
  <c r="W36" i="39"/>
  <c r="U8" i="21"/>
  <c r="AB8" i="21"/>
  <c r="S38" i="21"/>
  <c r="AA38" i="21"/>
  <c r="J12" i="21"/>
  <c r="AC12" i="21" s="1"/>
  <c r="W45" i="21"/>
  <c r="AC45" i="21"/>
  <c r="AB8" i="33"/>
  <c r="U8" i="33"/>
  <c r="AB12" i="33"/>
  <c r="AB35" i="33"/>
  <c r="U35" i="33"/>
  <c r="AC38" i="33"/>
  <c r="W38" i="33"/>
  <c r="AC8" i="34"/>
  <c r="W8" i="34"/>
  <c r="F13" i="33"/>
  <c r="AA13" i="33" s="1"/>
  <c r="J29" i="33"/>
  <c r="W29" i="33" s="1"/>
  <c r="H29" i="33"/>
  <c r="AB29" i="33" s="1"/>
  <c r="F29" i="33"/>
  <c r="AA29" i="33" s="1"/>
  <c r="J31" i="33"/>
  <c r="W31" i="33" s="1"/>
  <c r="H31" i="33"/>
  <c r="U31" i="33" s="1"/>
  <c r="J45" i="33"/>
  <c r="AC45" i="33" s="1"/>
  <c r="F12" i="34"/>
  <c r="J12" i="34"/>
  <c r="AC12" i="34" s="1"/>
  <c r="J14" i="34"/>
  <c r="F14" i="34"/>
  <c r="S14" i="34" s="1"/>
  <c r="H14" i="34"/>
  <c r="F30" i="34"/>
  <c r="AA30" i="34" s="1"/>
  <c r="J30" i="34"/>
  <c r="H32" i="34"/>
  <c r="U32" i="34" s="1"/>
  <c r="J32" i="34"/>
  <c r="H46" i="34"/>
  <c r="U46" i="34" s="1"/>
  <c r="F46" i="34"/>
  <c r="J12" i="35"/>
  <c r="AC12" i="35" s="1"/>
  <c r="F12" i="35"/>
  <c r="AA12" i="35" s="1"/>
  <c r="H11" i="35"/>
  <c r="U11" i="35" s="1"/>
  <c r="J11" i="35"/>
  <c r="AC11" i="35" s="1"/>
  <c r="F11" i="35"/>
  <c r="AA11" i="35" s="1"/>
  <c r="AA26" i="37"/>
  <c r="S26" i="37"/>
  <c r="AC30" i="37"/>
  <c r="AB31" i="35"/>
  <c r="U31" i="35"/>
  <c r="C79" i="35"/>
  <c r="F26" i="35" s="1"/>
  <c r="BL577" i="3"/>
  <c r="AZ577" i="3" s="1"/>
  <c r="BA577" i="3"/>
  <c r="BA565" i="3"/>
  <c r="AZ565" i="3" s="1"/>
  <c r="BL564" i="3"/>
  <c r="AZ564" i="3"/>
  <c r="BA561" i="3"/>
  <c r="BL559" i="3"/>
  <c r="AZ559" i="3" s="1"/>
  <c r="BL558" i="3"/>
  <c r="BA558" i="3"/>
  <c r="AZ415" i="3"/>
  <c r="AZ463" i="3"/>
  <c r="AZ468" i="3"/>
  <c r="AZ479" i="3"/>
  <c r="H36" i="35"/>
  <c r="AB36" i="35" s="1"/>
  <c r="J36" i="35"/>
  <c r="AC36" i="35" s="1"/>
  <c r="W31" i="35"/>
  <c r="G551" i="3"/>
  <c r="BL548" i="3"/>
  <c r="AZ424" i="3"/>
  <c r="AZ145" i="3"/>
  <c r="AZ34" i="3"/>
  <c r="F3" i="35"/>
  <c r="AB21" i="33"/>
  <c r="D25" i="71"/>
  <c r="C26" i="71"/>
  <c r="C27" i="71" s="1"/>
  <c r="T27" i="71" s="1"/>
  <c r="C30" i="71"/>
  <c r="D30" i="71" s="1"/>
  <c r="D29" i="71"/>
  <c r="C34" i="71"/>
  <c r="C35" i="71" s="1"/>
  <c r="D35" i="71" s="1"/>
  <c r="D33" i="71"/>
  <c r="C38" i="71"/>
  <c r="C39" i="71" s="1"/>
  <c r="D37" i="71"/>
  <c r="C42" i="71"/>
  <c r="C43" i="71" s="1"/>
  <c r="D43" i="71" s="1"/>
  <c r="D41" i="71"/>
  <c r="F13" i="71"/>
  <c r="F14" i="71" s="1"/>
  <c r="F15" i="71" s="1"/>
  <c r="V15" i="71" s="1"/>
  <c r="AC12" i="43"/>
  <c r="AC10" i="43"/>
  <c r="AG12" i="43"/>
  <c r="AG10" i="43"/>
  <c r="AB7" i="71"/>
  <c r="AA7" i="71"/>
  <c r="AA6" i="71"/>
  <c r="X6" i="71"/>
  <c r="AA5" i="71"/>
  <c r="X5" i="71"/>
  <c r="V11" i="71"/>
  <c r="AB11" i="71"/>
  <c r="AB9" i="71"/>
  <c r="AA14" i="71"/>
  <c r="F50" i="71"/>
  <c r="F49" i="71" s="1"/>
  <c r="Q49" i="71" s="1"/>
  <c r="Z12" i="43"/>
  <c r="Z10" i="43"/>
  <c r="AD12" i="43"/>
  <c r="AD10" i="43"/>
  <c r="AH12" i="43"/>
  <c r="AH10" i="43"/>
  <c r="Y5" i="71"/>
  <c r="Z5" i="71" s="1"/>
  <c r="AB6" i="71"/>
  <c r="AB5" i="71"/>
  <c r="P74" i="67"/>
  <c r="X7" i="71"/>
  <c r="Y7" i="71"/>
  <c r="Z7" i="71" s="1"/>
  <c r="V7" i="71"/>
  <c r="B7" i="71"/>
  <c r="B6" i="71" s="1"/>
  <c r="B5" i="71" s="1"/>
  <c r="C7" i="71"/>
  <c r="C6" i="71" s="1"/>
  <c r="Y6" i="71"/>
  <c r="Z6" i="71" s="1"/>
  <c r="M17" i="67"/>
  <c r="F59" i="15"/>
  <c r="F59" i="67"/>
  <c r="M17" i="15"/>
  <c r="W36" i="33"/>
  <c r="AC42" i="21"/>
  <c r="S4" i="43"/>
  <c r="G109" i="43"/>
  <c r="T7" i="71"/>
  <c r="Q50" i="71"/>
  <c r="D26" i="71"/>
  <c r="W36" i="35"/>
  <c r="S11" i="35"/>
  <c r="W12" i="35"/>
  <c r="AB32" i="34"/>
  <c r="AA14" i="34"/>
  <c r="AC31" i="33"/>
  <c r="S13" i="33"/>
  <c r="B24" i="72"/>
  <c r="AB27" i="40"/>
  <c r="AB32" i="36"/>
  <c r="S7" i="71"/>
  <c r="D42" i="71"/>
  <c r="D38" i="71"/>
  <c r="D34" i="71"/>
  <c r="U36" i="35"/>
  <c r="W11" i="35"/>
  <c r="S12" i="35"/>
  <c r="AA46" i="34"/>
  <c r="S46" i="34"/>
  <c r="AC32" i="34"/>
  <c r="W32" i="34"/>
  <c r="W30" i="34"/>
  <c r="AC30" i="34"/>
  <c r="AB14" i="34"/>
  <c r="U14" i="34"/>
  <c r="AC14" i="34"/>
  <c r="W14" i="34"/>
  <c r="S12" i="34"/>
  <c r="AA12" i="34"/>
  <c r="W45" i="33"/>
  <c r="AB31" i="33"/>
  <c r="S29" i="33"/>
  <c r="AC29" i="33"/>
  <c r="AC27" i="40"/>
  <c r="W27" i="40"/>
  <c r="U13" i="39"/>
  <c r="AA25" i="37"/>
  <c r="AA32" i="36"/>
  <c r="AB34" i="35"/>
  <c r="U34" i="35"/>
  <c r="D3" i="21"/>
  <c r="D3" i="33"/>
  <c r="C19" i="68"/>
  <c r="F50" i="11"/>
  <c r="F50" i="68"/>
  <c r="F50" i="69"/>
  <c r="D2" i="37"/>
  <c r="AO12" i="1"/>
  <c r="D2" i="35"/>
  <c r="E8" i="76"/>
  <c r="D7" i="73"/>
  <c r="E2" i="69"/>
  <c r="B10" i="76"/>
  <c r="F4" i="73"/>
  <c r="D2" i="36"/>
  <c r="B11" i="76"/>
  <c r="AO9" i="1"/>
  <c r="D2" i="34"/>
  <c r="B8" i="76"/>
  <c r="B9" i="76"/>
  <c r="B12" i="76"/>
  <c r="E7" i="76"/>
  <c r="AO11" i="1"/>
  <c r="E2" i="68"/>
  <c r="E11" i="76"/>
  <c r="F6" i="73"/>
  <c r="D3" i="73"/>
  <c r="D5" i="73"/>
  <c r="D2" i="33"/>
  <c r="AO6" i="1"/>
  <c r="E10" i="76"/>
  <c r="F7" i="73"/>
  <c r="AO10" i="1"/>
  <c r="B13" i="76"/>
  <c r="E13" i="76"/>
  <c r="F20" i="31"/>
  <c r="F5" i="73"/>
  <c r="D2" i="21"/>
  <c r="D4" i="73"/>
  <c r="B7" i="76"/>
  <c r="D6" i="73"/>
  <c r="F3" i="73"/>
  <c r="E12" i="76"/>
  <c r="E9" i="76"/>
  <c r="AO13" i="1"/>
  <c r="S34" i="35" l="1"/>
  <c r="AC30" i="35"/>
  <c r="S27" i="35"/>
  <c r="F45" i="33"/>
  <c r="AA44" i="33"/>
  <c r="AB13" i="33"/>
  <c r="U13" i="33"/>
  <c r="W13" i="33"/>
  <c r="W14" i="33"/>
  <c r="AC11" i="33"/>
  <c r="W12" i="21"/>
  <c r="U40" i="39"/>
  <c r="F12" i="39"/>
  <c r="AA12" i="39" s="1"/>
  <c r="U9" i="34"/>
  <c r="AB9" i="34"/>
  <c r="AB12" i="37"/>
  <c r="U12" i="37"/>
  <c r="S28" i="37"/>
  <c r="AA28" i="37"/>
  <c r="U25" i="37"/>
  <c r="AB25" i="37"/>
  <c r="F101" i="39"/>
  <c r="G101" i="39" s="1"/>
  <c r="J27" i="39"/>
  <c r="F27" i="39"/>
  <c r="H27" i="39"/>
  <c r="AZ574" i="3"/>
  <c r="J26" i="33"/>
  <c r="F26" i="33"/>
  <c r="H26" i="33"/>
  <c r="E66" i="35"/>
  <c r="F66" i="35" s="1"/>
  <c r="G66" i="35" s="1"/>
  <c r="J16" i="35"/>
  <c r="F16" i="35"/>
  <c r="AA10" i="37"/>
  <c r="S10" i="37"/>
  <c r="U8" i="39"/>
  <c r="AB8" i="39"/>
  <c r="AA30" i="36"/>
  <c r="S30" i="36"/>
  <c r="BA583" i="3"/>
  <c r="AC32" i="36"/>
  <c r="W34" i="35"/>
  <c r="AC13" i="39"/>
  <c r="S27" i="40"/>
  <c r="U29" i="33"/>
  <c r="AB45" i="33"/>
  <c r="W12" i="34"/>
  <c r="S30" i="34"/>
  <c r="AB46" i="34"/>
  <c r="AB11" i="35"/>
  <c r="J26" i="35"/>
  <c r="S3" i="43"/>
  <c r="AC32" i="33"/>
  <c r="AZ548" i="3"/>
  <c r="J25" i="37"/>
  <c r="U27" i="34"/>
  <c r="H67" i="43"/>
  <c r="H60" i="43"/>
  <c r="H62" i="43"/>
  <c r="F28" i="15"/>
  <c r="C28" i="15" s="1"/>
  <c r="AZ534" i="3"/>
  <c r="AB12" i="36"/>
  <c r="AC34" i="37"/>
  <c r="AA47" i="34"/>
  <c r="AB13" i="35"/>
  <c r="U13" i="37"/>
  <c r="AC14" i="40"/>
  <c r="AC39" i="39"/>
  <c r="Y11" i="43"/>
  <c r="Y13" i="43" s="1"/>
  <c r="U34" i="21"/>
  <c r="U33" i="21"/>
  <c r="W17" i="33"/>
  <c r="AA23" i="33"/>
  <c r="AA34" i="33"/>
  <c r="W35" i="33"/>
  <c r="S31" i="35"/>
  <c r="S15" i="39"/>
  <c r="AC15" i="39"/>
  <c r="U9" i="21"/>
  <c r="AB41" i="33"/>
  <c r="AC17" i="37"/>
  <c r="AA39" i="40"/>
  <c r="J9" i="21"/>
  <c r="W39" i="21"/>
  <c r="U40" i="21"/>
  <c r="W8" i="33"/>
  <c r="S30" i="33"/>
  <c r="S33" i="33"/>
  <c r="AC43" i="34"/>
  <c r="W33" i="34"/>
  <c r="AC45" i="34"/>
  <c r="AA8" i="37"/>
  <c r="W36" i="37"/>
  <c r="W9" i="36"/>
  <c r="U43" i="39"/>
  <c r="W34" i="40"/>
  <c r="W41" i="21"/>
  <c r="S46" i="33"/>
  <c r="AA35" i="33"/>
  <c r="S23" i="34"/>
  <c r="W34" i="34"/>
  <c r="S43" i="34"/>
  <c r="AB8" i="34"/>
  <c r="AA12" i="37"/>
  <c r="AB40" i="37"/>
  <c r="AA36" i="35"/>
  <c r="AA22" i="36"/>
  <c r="H21" i="39"/>
  <c r="F21" i="39"/>
  <c r="H12" i="39"/>
  <c r="AB12" i="39" s="1"/>
  <c r="AC13" i="34"/>
  <c r="AC12" i="39"/>
  <c r="W37" i="37"/>
  <c r="AZ391" i="3"/>
  <c r="AZ389" i="3"/>
  <c r="AZ325" i="3"/>
  <c r="W43" i="39"/>
  <c r="W44" i="21"/>
  <c r="AC36" i="34"/>
  <c r="H31" i="40"/>
  <c r="BL525" i="3"/>
  <c r="AZ525" i="3" s="1"/>
  <c r="BL581" i="3"/>
  <c r="AZ581" i="3" s="1"/>
  <c r="AZ544" i="3"/>
  <c r="AB11" i="36"/>
  <c r="U46" i="33"/>
  <c r="H33" i="40"/>
  <c r="H14" i="39"/>
  <c r="F43" i="39"/>
  <c r="H28" i="37"/>
  <c r="J28" i="37"/>
  <c r="H28" i="33"/>
  <c r="S34" i="37"/>
  <c r="U34" i="37"/>
  <c r="J19" i="33"/>
  <c r="S40" i="39"/>
  <c r="S34" i="34"/>
  <c r="AC28" i="35"/>
  <c r="W28" i="35"/>
  <c r="E64" i="35"/>
  <c r="F14" i="35"/>
  <c r="E70" i="35"/>
  <c r="F70" i="35" s="1"/>
  <c r="G70" i="35" s="1"/>
  <c r="J20" i="35"/>
  <c r="H9" i="36"/>
  <c r="F9" i="36"/>
  <c r="H34" i="36"/>
  <c r="F34" i="36"/>
  <c r="AC40" i="39"/>
  <c r="W40" i="39"/>
  <c r="F31" i="39"/>
  <c r="J31" i="39"/>
  <c r="W31" i="39" s="1"/>
  <c r="AA34" i="39"/>
  <c r="S34" i="39"/>
  <c r="J37" i="39"/>
  <c r="F37" i="39"/>
  <c r="AC8" i="40"/>
  <c r="W8" i="40"/>
  <c r="BL562" i="3"/>
  <c r="BA560" i="3"/>
  <c r="BL557" i="3"/>
  <c r="BA557" i="3"/>
  <c r="BA555" i="3"/>
  <c r="AZ555" i="3" s="1"/>
  <c r="BL552" i="3"/>
  <c r="BL547" i="3"/>
  <c r="AZ547" i="3" s="1"/>
  <c r="BL546" i="3"/>
  <c r="BA546" i="3"/>
  <c r="BA545" i="3"/>
  <c r="AZ545" i="3" s="1"/>
  <c r="BL543" i="3"/>
  <c r="AZ543" i="3" s="1"/>
  <c r="BA542" i="3"/>
  <c r="AZ542" i="3" s="1"/>
  <c r="BL537" i="3"/>
  <c r="AZ537" i="3" s="1"/>
  <c r="BA535" i="3"/>
  <c r="AZ535" i="3" s="1"/>
  <c r="G523" i="3"/>
  <c r="BA507" i="3"/>
  <c r="AZ507" i="3" s="1"/>
  <c r="AZ313" i="3"/>
  <c r="AZ572" i="3"/>
  <c r="AA15" i="34"/>
  <c r="S15" i="34"/>
  <c r="W9" i="40"/>
  <c r="AC9" i="40"/>
  <c r="J39" i="40"/>
  <c r="H39" i="40"/>
  <c r="S38" i="34"/>
  <c r="AA38" i="34"/>
  <c r="BL584" i="3"/>
  <c r="BA584" i="3"/>
  <c r="BL583" i="3"/>
  <c r="BL582" i="3"/>
  <c r="AZ582" i="3" s="1"/>
  <c r="BA398" i="3"/>
  <c r="AZ398" i="3" s="1"/>
  <c r="BL400" i="3"/>
  <c r="G401" i="3"/>
  <c r="BA402" i="3"/>
  <c r="BL402" i="3"/>
  <c r="BA403" i="3"/>
  <c r="AZ403" i="3" s="1"/>
  <c r="BA405" i="3"/>
  <c r="AZ405" i="3" s="1"/>
  <c r="BL405" i="3"/>
  <c r="BL406" i="3"/>
  <c r="G407" i="3"/>
  <c r="BL408" i="3"/>
  <c r="G409" i="3"/>
  <c r="G411" i="3"/>
  <c r="BL412" i="3"/>
  <c r="G413" i="3"/>
  <c r="G417" i="3"/>
  <c r="BA419" i="3"/>
  <c r="BL419" i="3"/>
  <c r="BL421" i="3"/>
  <c r="G422" i="3"/>
  <c r="G426" i="3"/>
  <c r="BA427" i="3"/>
  <c r="BL427" i="3"/>
  <c r="BA429" i="3"/>
  <c r="BL429" i="3"/>
  <c r="BA430" i="3"/>
  <c r="AZ430" i="3" s="1"/>
  <c r="BL432" i="3"/>
  <c r="G433" i="3"/>
  <c r="BA434" i="3"/>
  <c r="AZ434" i="3" s="1"/>
  <c r="BL434" i="3"/>
  <c r="BA435" i="3"/>
  <c r="AZ435" i="3" s="1"/>
  <c r="BA437" i="3"/>
  <c r="BL437" i="3"/>
  <c r="BL438" i="3"/>
  <c r="G439" i="3"/>
  <c r="BA440" i="3"/>
  <c r="BL440" i="3"/>
  <c r="BL442" i="3"/>
  <c r="G443" i="3"/>
  <c r="G446" i="3"/>
  <c r="BA447" i="3"/>
  <c r="AZ447" i="3" s="1"/>
  <c r="BL447" i="3"/>
  <c r="BA448" i="3"/>
  <c r="AZ448" i="3" s="1"/>
  <c r="BL450" i="3"/>
  <c r="G451" i="3"/>
  <c r="G454" i="3"/>
  <c r="BA455" i="3"/>
  <c r="AZ455" i="3" s="1"/>
  <c r="BL455" i="3"/>
  <c r="BA456" i="3"/>
  <c r="AZ456" i="3" s="1"/>
  <c r="BA457" i="3"/>
  <c r="AZ457" i="3" s="1"/>
  <c r="BL459" i="3"/>
  <c r="G460" i="3"/>
  <c r="G462" i="3"/>
  <c r="G465" i="3"/>
  <c r="G468" i="3"/>
  <c r="BL470" i="3"/>
  <c r="G471" i="3"/>
  <c r="BL473" i="3"/>
  <c r="G474" i="3"/>
  <c r="BA476" i="3"/>
  <c r="G477" i="3"/>
  <c r="G479" i="3"/>
  <c r="G482" i="3"/>
  <c r="BA483" i="3"/>
  <c r="BL483" i="3"/>
  <c r="BA484" i="3"/>
  <c r="AZ484" i="3" s="1"/>
  <c r="BA485" i="3"/>
  <c r="AZ485" i="3" s="1"/>
  <c r="BL487" i="3"/>
  <c r="G488" i="3"/>
  <c r="G311" i="3"/>
  <c r="BL312" i="3"/>
  <c r="AZ312" i="3" s="1"/>
  <c r="BL313" i="3"/>
  <c r="G314" i="3"/>
  <c r="BA314" i="3"/>
  <c r="BA315" i="3"/>
  <c r="AZ315" i="3" s="1"/>
  <c r="BA317" i="3"/>
  <c r="BL317" i="3"/>
  <c r="G323" i="3"/>
  <c r="BL324" i="3"/>
  <c r="G334" i="3"/>
  <c r="BA335" i="3"/>
  <c r="G337" i="3"/>
  <c r="G338" i="3"/>
  <c r="BA338" i="3"/>
  <c r="AZ338" i="3" s="1"/>
  <c r="BA339" i="3"/>
  <c r="AZ339" i="3" s="1"/>
  <c r="BL339" i="3"/>
  <c r="G340" i="3"/>
  <c r="BA340" i="3"/>
  <c r="BA348" i="3"/>
  <c r="BL348" i="3"/>
  <c r="BL353" i="3"/>
  <c r="G362" i="3"/>
  <c r="BL363" i="3"/>
  <c r="AZ363" i="3" s="1"/>
  <c r="BL364" i="3"/>
  <c r="AZ364" i="3" s="1"/>
  <c r="BA366" i="3"/>
  <c r="AZ366" i="3" s="1"/>
  <c r="BL368" i="3"/>
  <c r="G369" i="3"/>
  <c r="BA369" i="3"/>
  <c r="AZ369" i="3" s="1"/>
  <c r="G370" i="3"/>
  <c r="BL370" i="3"/>
  <c r="AZ370" i="3" s="1"/>
  <c r="BA371" i="3"/>
  <c r="G373" i="3"/>
  <c r="BA373" i="3"/>
  <c r="AZ373" i="3" s="1"/>
  <c r="BL373" i="3"/>
  <c r="BL374" i="3"/>
  <c r="AZ374" i="3" s="1"/>
  <c r="G375" i="3"/>
  <c r="BL376" i="3"/>
  <c r="AZ376" i="3" s="1"/>
  <c r="G377" i="3"/>
  <c r="BL377" i="3"/>
  <c r="AZ377" i="3" s="1"/>
  <c r="BL383" i="3"/>
  <c r="G384" i="3"/>
  <c r="BA385" i="3"/>
  <c r="BL385" i="3"/>
  <c r="G392" i="3"/>
  <c r="BL393" i="3"/>
  <c r="AZ393" i="3" s="1"/>
  <c r="BA395" i="3"/>
  <c r="AZ395" i="3" s="1"/>
  <c r="BA396" i="3"/>
  <c r="AZ396" i="3" s="1"/>
  <c r="BL396" i="3"/>
  <c r="G397" i="3"/>
  <c r="BA209" i="3"/>
  <c r="BL209" i="3"/>
  <c r="G210" i="3"/>
  <c r="BL211" i="3"/>
  <c r="G212" i="3"/>
  <c r="G214" i="3"/>
  <c r="G216" i="3"/>
  <c r="G218" i="3"/>
  <c r="G220" i="3"/>
  <c r="G222" i="3"/>
  <c r="G224" i="3"/>
  <c r="G227" i="3"/>
  <c r="BL229" i="3"/>
  <c r="G230" i="3"/>
  <c r="BL232" i="3"/>
  <c r="G233" i="3"/>
  <c r="BL234" i="3"/>
  <c r="G235" i="3"/>
  <c r="BL236" i="3"/>
  <c r="G237" i="3"/>
  <c r="BL238" i="3"/>
  <c r="G239" i="3"/>
  <c r="G241" i="3"/>
  <c r="BL243" i="3"/>
  <c r="G244" i="3"/>
  <c r="G246" i="3"/>
  <c r="BA247" i="3"/>
  <c r="BL247" i="3"/>
  <c r="BA249" i="3"/>
  <c r="BL249" i="3"/>
  <c r="BA251" i="3"/>
  <c r="BL251" i="3"/>
  <c r="G582" i="3"/>
  <c r="G579" i="3"/>
  <c r="G577" i="3"/>
  <c r="G574" i="3"/>
  <c r="G572" i="3"/>
  <c r="G571" i="3"/>
  <c r="G567" i="3"/>
  <c r="G519" i="3"/>
  <c r="G518" i="3"/>
  <c r="G517" i="3"/>
  <c r="G516" i="3"/>
  <c r="G500" i="3"/>
  <c r="BA253" i="3"/>
  <c r="BL253" i="3"/>
  <c r="BA255" i="3"/>
  <c r="AZ255" i="3" s="1"/>
  <c r="BA256" i="3"/>
  <c r="AZ256" i="3" s="1"/>
  <c r="BA257" i="3"/>
  <c r="AZ257" i="3" s="1"/>
  <c r="BA259" i="3"/>
  <c r="AZ259" i="3" s="1"/>
  <c r="BL259" i="3"/>
  <c r="BA260" i="3"/>
  <c r="AZ260" i="3" s="1"/>
  <c r="BA261" i="3"/>
  <c r="AZ261" i="3" s="1"/>
  <c r="BA262" i="3"/>
  <c r="AZ262" i="3" s="1"/>
  <c r="BA263" i="3"/>
  <c r="AZ263" i="3" s="1"/>
  <c r="BA265" i="3"/>
  <c r="AZ265" i="3" s="1"/>
  <c r="BL265" i="3"/>
  <c r="BA267" i="3"/>
  <c r="AZ267" i="3" s="1"/>
  <c r="BL267" i="3"/>
  <c r="BA269" i="3"/>
  <c r="AZ269" i="3" s="1"/>
  <c r="BL269" i="3"/>
  <c r="BL270" i="3"/>
  <c r="G271" i="3"/>
  <c r="BL272" i="3"/>
  <c r="G273" i="3"/>
  <c r="BA274" i="3"/>
  <c r="BL274" i="3"/>
  <c r="BL276" i="3"/>
  <c r="G277" i="3"/>
  <c r="G283" i="3"/>
  <c r="G285" i="3"/>
  <c r="BL286" i="3"/>
  <c r="G287" i="3"/>
  <c r="BL288" i="3"/>
  <c r="G289" i="3"/>
  <c r="BA290" i="3"/>
  <c r="AZ290" i="3" s="1"/>
  <c r="BL290" i="3"/>
  <c r="BA292" i="3"/>
  <c r="AZ292" i="3" s="1"/>
  <c r="BL292" i="3"/>
  <c r="BA293" i="3"/>
  <c r="AZ293" i="3" s="1"/>
  <c r="BA294" i="3"/>
  <c r="AZ294" i="3" s="1"/>
  <c r="BA295" i="3"/>
  <c r="AZ295" i="3" s="1"/>
  <c r="BA296" i="3"/>
  <c r="AZ296" i="3" s="1"/>
  <c r="BA297" i="3"/>
  <c r="AZ297" i="3" s="1"/>
  <c r="BA299" i="3"/>
  <c r="BL299" i="3"/>
  <c r="BL300" i="3"/>
  <c r="G301" i="3"/>
  <c r="BL113" i="3"/>
  <c r="G114" i="3"/>
  <c r="G116" i="3"/>
  <c r="BA117" i="3"/>
  <c r="AZ117" i="3" s="1"/>
  <c r="BL117" i="3"/>
  <c r="BL119" i="3"/>
  <c r="AZ119" i="3" s="1"/>
  <c r="G120" i="3"/>
  <c r="BA121" i="3"/>
  <c r="AZ121" i="3" s="1"/>
  <c r="BL123" i="3"/>
  <c r="AZ123" i="3" s="1"/>
  <c r="G124" i="3"/>
  <c r="BA126" i="3"/>
  <c r="AZ126" i="3" s="1"/>
  <c r="BL127" i="3"/>
  <c r="BA129" i="3"/>
  <c r="AZ129" i="3" s="1"/>
  <c r="BA130" i="3"/>
  <c r="AZ130" i="3" s="1"/>
  <c r="BL131" i="3"/>
  <c r="AZ131" i="3" s="1"/>
  <c r="BA134" i="3"/>
  <c r="AZ134" i="3" s="1"/>
  <c r="BL134" i="3"/>
  <c r="BA136" i="3"/>
  <c r="AZ136" i="3" s="1"/>
  <c r="BL138" i="3"/>
  <c r="G139" i="3"/>
  <c r="BA140" i="3"/>
  <c r="AZ140" i="3" s="1"/>
  <c r="BL142" i="3"/>
  <c r="G143" i="3"/>
  <c r="BA144" i="3"/>
  <c r="G147" i="3"/>
  <c r="G158" i="3"/>
  <c r="BA161" i="3"/>
  <c r="BL161" i="3"/>
  <c r="BL163" i="3"/>
  <c r="AZ163" i="3" s="1"/>
  <c r="G164" i="3"/>
  <c r="BA165" i="3"/>
  <c r="AZ165" i="3" s="1"/>
  <c r="BA166" i="3"/>
  <c r="AZ166" i="3" s="1"/>
  <c r="BL167" i="3"/>
  <c r="AZ167" i="3" s="1"/>
  <c r="BL169" i="3"/>
  <c r="G170" i="3"/>
  <c r="G172" i="3"/>
  <c r="BA173" i="3"/>
  <c r="BL173" i="3"/>
  <c r="BL175" i="3"/>
  <c r="AZ175" i="3" s="1"/>
  <c r="G176" i="3"/>
  <c r="BA177" i="3"/>
  <c r="AZ177" i="3" s="1"/>
  <c r="BA178" i="3"/>
  <c r="AZ178" i="3" s="1"/>
  <c r="BL179" i="3"/>
  <c r="AZ179" i="3" s="1"/>
  <c r="BA182" i="3"/>
  <c r="AZ182" i="3" s="1"/>
  <c r="BL182" i="3"/>
  <c r="BA184" i="3"/>
  <c r="AZ184" i="3" s="1"/>
  <c r="G187" i="3"/>
  <c r="BL194" i="3"/>
  <c r="G195" i="3"/>
  <c r="BA196" i="3"/>
  <c r="AZ196" i="3" s="1"/>
  <c r="G199" i="3"/>
  <c r="G202" i="3"/>
  <c r="BL206" i="3"/>
  <c r="G207" i="3"/>
  <c r="G19" i="3"/>
  <c r="G21" i="3"/>
  <c r="BA23" i="3"/>
  <c r="BL23" i="3"/>
  <c r="BL25" i="3"/>
  <c r="G26" i="3"/>
  <c r="BL27" i="3"/>
  <c r="G28" i="3"/>
  <c r="BL29" i="3"/>
  <c r="G30" i="3"/>
  <c r="G32" i="3"/>
  <c r="G34" i="3"/>
  <c r="G36" i="3"/>
  <c r="G38" i="3"/>
  <c r="G41" i="3"/>
  <c r="G43" i="3"/>
  <c r="G47" i="3"/>
  <c r="BA49" i="3"/>
  <c r="BL49" i="3"/>
  <c r="BA51" i="3"/>
  <c r="AZ51" i="3" s="1"/>
  <c r="BL51" i="3"/>
  <c r="BL52" i="3"/>
  <c r="G53" i="3"/>
  <c r="BA54" i="3"/>
  <c r="BL54" i="3"/>
  <c r="BA56" i="3"/>
  <c r="AZ56" i="3" s="1"/>
  <c r="BL56" i="3"/>
  <c r="BL57" i="3"/>
  <c r="G58" i="3"/>
  <c r="BL59" i="3"/>
  <c r="G60" i="3"/>
  <c r="G62" i="3"/>
  <c r="BL63" i="3"/>
  <c r="G64" i="3"/>
  <c r="G69" i="3"/>
  <c r="BL71" i="3"/>
  <c r="G72" i="3"/>
  <c r="BL73" i="3"/>
  <c r="G74" i="3"/>
  <c r="BL75" i="3"/>
  <c r="G76" i="3"/>
  <c r="G78" i="3"/>
  <c r="BL79" i="3"/>
  <c r="G80" i="3"/>
  <c r="BA81" i="3"/>
  <c r="BL81" i="3"/>
  <c r="BA83" i="3"/>
  <c r="BL83" i="3"/>
  <c r="BA85" i="3"/>
  <c r="BL85" i="3"/>
  <c r="BA87" i="3"/>
  <c r="AZ87" i="3" s="1"/>
  <c r="BA88" i="3"/>
  <c r="AZ88" i="3" s="1"/>
  <c r="BA89" i="3"/>
  <c r="AZ89" i="3" s="1"/>
  <c r="BA91" i="3"/>
  <c r="AZ91" i="3" s="1"/>
  <c r="BA93" i="3"/>
  <c r="BL93" i="3"/>
  <c r="BA95" i="3"/>
  <c r="AZ95" i="3" s="1"/>
  <c r="BA97" i="3"/>
  <c r="AZ97" i="3" s="1"/>
  <c r="BL97" i="3"/>
  <c r="BA98" i="3"/>
  <c r="AZ98" i="3" s="1"/>
  <c r="BL100" i="3"/>
  <c r="G101" i="3"/>
  <c r="BL102" i="3"/>
  <c r="G103" i="3"/>
  <c r="G107" i="3"/>
  <c r="G109" i="3"/>
  <c r="G111" i="3"/>
  <c r="E68" i="35"/>
  <c r="F68" i="35" s="1"/>
  <c r="G68" i="35" s="1"/>
  <c r="H18" i="35"/>
  <c r="AB18" i="35" s="1"/>
  <c r="P49" i="71"/>
  <c r="P48" i="71"/>
  <c r="X10" i="71"/>
  <c r="B11" i="71"/>
  <c r="B10" i="71" s="1"/>
  <c r="B9" i="71" s="1"/>
  <c r="X11" i="71"/>
  <c r="T51" i="71"/>
  <c r="D51" i="71"/>
  <c r="V51" i="71"/>
  <c r="Q51" i="71"/>
  <c r="K108" i="43"/>
  <c r="K100" i="43"/>
  <c r="AA21" i="37"/>
  <c r="S21" i="37"/>
  <c r="W18" i="35"/>
  <c r="AC18" i="35"/>
  <c r="F21" i="21"/>
  <c r="AA21" i="21" s="1"/>
  <c r="H21" i="21"/>
  <c r="E83" i="33"/>
  <c r="F83" i="33" s="1"/>
  <c r="G83" i="33" s="1"/>
  <c r="F21" i="33"/>
  <c r="AC29" i="39"/>
  <c r="W29" i="39"/>
  <c r="AA11" i="71"/>
  <c r="D62" i="71"/>
  <c r="C61" i="71"/>
  <c r="D61" i="71" s="1"/>
  <c r="C49" i="71"/>
  <c r="D50" i="71"/>
  <c r="AB3" i="71"/>
  <c r="F11" i="71"/>
  <c r="F10" i="71" s="1"/>
  <c r="F9" i="71" s="1"/>
  <c r="D13" i="71"/>
  <c r="B21" i="71"/>
  <c r="B22" i="71" s="1"/>
  <c r="B23" i="71" s="1"/>
  <c r="S23" i="71" s="1"/>
  <c r="AB15" i="71"/>
  <c r="X16" i="71"/>
  <c r="B17" i="71"/>
  <c r="B18" i="71" s="1"/>
  <c r="B19" i="71" s="1"/>
  <c r="S19" i="71" s="1"/>
  <c r="AA16" i="71"/>
  <c r="E17" i="71"/>
  <c r="E18" i="71" s="1"/>
  <c r="E19" i="71" s="1"/>
  <c r="U19" i="71" s="1"/>
  <c r="X17" i="71"/>
  <c r="X19" i="71"/>
  <c r="AA9" i="71"/>
  <c r="C66" i="71"/>
  <c r="E62" i="71"/>
  <c r="E61" i="71" s="1"/>
  <c r="D59" i="71"/>
  <c r="C58" i="71"/>
  <c r="E54" i="71"/>
  <c r="E53" i="71" s="1"/>
  <c r="C23" i="71"/>
  <c r="AB13" i="71"/>
  <c r="Y14" i="71"/>
  <c r="Z14" i="71" s="1"/>
  <c r="AB14" i="71"/>
  <c r="Y15" i="71"/>
  <c r="Z15" i="71" s="1"/>
  <c r="F18" i="71"/>
  <c r="F19" i="71" s="1"/>
  <c r="V19" i="71" s="1"/>
  <c r="Y17" i="71"/>
  <c r="Z17" i="71" s="1"/>
  <c r="Y18" i="71"/>
  <c r="Z18" i="71" s="1"/>
  <c r="AB18" i="71"/>
  <c r="Y19" i="71"/>
  <c r="Z19" i="71" s="1"/>
  <c r="Y20" i="71"/>
  <c r="Z20" i="71" s="1"/>
  <c r="F22" i="71"/>
  <c r="F23" i="71" s="1"/>
  <c r="V23" i="71" s="1"/>
  <c r="Y21" i="71"/>
  <c r="Z21" i="71" s="1"/>
  <c r="B26" i="71"/>
  <c r="B27" i="71" s="1"/>
  <c r="S27" i="71" s="1"/>
  <c r="E26" i="71"/>
  <c r="E27" i="71" s="1"/>
  <c r="U27" i="71" s="1"/>
  <c r="B42" i="71"/>
  <c r="B43" i="71" s="1"/>
  <c r="S43" i="71" s="1"/>
  <c r="AJ10" i="43"/>
  <c r="U17" i="21"/>
  <c r="AC21" i="39"/>
  <c r="AC31" i="39"/>
  <c r="U31" i="39"/>
  <c r="AA26" i="35"/>
  <c r="S26" i="35"/>
  <c r="C5" i="71"/>
  <c r="D5" i="71" s="1"/>
  <c r="D6" i="71"/>
  <c r="D39" i="71"/>
  <c r="T39" i="71"/>
  <c r="I59" i="34"/>
  <c r="J59" i="34" s="1"/>
  <c r="AB9" i="36"/>
  <c r="U9" i="36"/>
  <c r="AA24" i="36"/>
  <c r="S24" i="36"/>
  <c r="AZ584" i="3"/>
  <c r="AZ583" i="3"/>
  <c r="AZ557" i="3"/>
  <c r="AZ546" i="3"/>
  <c r="AZ343" i="3"/>
  <c r="AZ310" i="3"/>
  <c r="AZ390" i="3"/>
  <c r="AZ379" i="3"/>
  <c r="AZ342" i="3"/>
  <c r="AZ337" i="3"/>
  <c r="AZ321" i="3"/>
  <c r="AZ305" i="3"/>
  <c r="AZ562" i="3"/>
  <c r="BL585" i="3"/>
  <c r="H23" i="35"/>
  <c r="J23" i="35"/>
  <c r="H44" i="39"/>
  <c r="J44" i="39"/>
  <c r="H35" i="39"/>
  <c r="F35" i="39"/>
  <c r="Q48" i="71"/>
  <c r="H26" i="35"/>
  <c r="D7" i="71"/>
  <c r="U7" i="71" s="1"/>
  <c r="S42" i="21"/>
  <c r="AZ558" i="3"/>
  <c r="AB45" i="21"/>
  <c r="D124" i="9"/>
  <c r="D16" i="53"/>
  <c r="W23" i="37"/>
  <c r="AB27" i="36"/>
  <c r="AZ380" i="3"/>
  <c r="AC12" i="37"/>
  <c r="W40" i="37"/>
  <c r="AB37" i="34"/>
  <c r="S21" i="40"/>
  <c r="BL549" i="3"/>
  <c r="AZ549" i="3" s="1"/>
  <c r="J46" i="21"/>
  <c r="H15" i="33"/>
  <c r="U15" i="33" s="1"/>
  <c r="AB42" i="34"/>
  <c r="J15" i="33"/>
  <c r="F32" i="33"/>
  <c r="F23" i="35"/>
  <c r="S10" i="36"/>
  <c r="W30" i="36"/>
  <c r="S40" i="21"/>
  <c r="S38" i="39"/>
  <c r="W31" i="40"/>
  <c r="AC40" i="40"/>
  <c r="J35" i="39"/>
  <c r="F15" i="33"/>
  <c r="AC41" i="33"/>
  <c r="J9" i="33"/>
  <c r="F9" i="33"/>
  <c r="AB31" i="36"/>
  <c r="U31" i="36"/>
  <c r="AC31" i="37"/>
  <c r="W31" i="37"/>
  <c r="AB14" i="37"/>
  <c r="U14" i="37"/>
  <c r="G559" i="3"/>
  <c r="G532" i="3"/>
  <c r="G502" i="3"/>
  <c r="G15" i="3"/>
  <c r="BL13" i="3"/>
  <c r="AZ13" i="3" s="1"/>
  <c r="A15" i="62"/>
  <c r="B61" i="72" s="1"/>
  <c r="AZ437" i="3"/>
  <c r="G566" i="3"/>
  <c r="G560" i="3"/>
  <c r="BA550" i="3"/>
  <c r="G539" i="3"/>
  <c r="G534" i="3"/>
  <c r="G533" i="3"/>
  <c r="G531" i="3"/>
  <c r="G530" i="3"/>
  <c r="G529" i="3"/>
  <c r="G522" i="3"/>
  <c r="BL521" i="3"/>
  <c r="G521" i="3"/>
  <c r="BL520" i="3"/>
  <c r="G520" i="3"/>
  <c r="G515" i="3"/>
  <c r="G511" i="3"/>
  <c r="BA510" i="3"/>
  <c r="G510" i="3"/>
  <c r="G509" i="3"/>
  <c r="G503" i="3"/>
  <c r="G501" i="3"/>
  <c r="G498" i="3"/>
  <c r="G497" i="3"/>
  <c r="G496" i="3"/>
  <c r="G494" i="3"/>
  <c r="BD5" i="3"/>
  <c r="BS5" i="3"/>
  <c r="G398" i="3"/>
  <c r="G399" i="3"/>
  <c r="BL399" i="3"/>
  <c r="AZ399" i="3" s="1"/>
  <c r="BA400" i="3"/>
  <c r="AZ400" i="3" s="1"/>
  <c r="BA401" i="3"/>
  <c r="AZ401" i="3" s="1"/>
  <c r="G404" i="3"/>
  <c r="BL404" i="3"/>
  <c r="AZ404" i="3" s="1"/>
  <c r="BA406" i="3"/>
  <c r="AZ406" i="3" s="1"/>
  <c r="BA407" i="3"/>
  <c r="AZ407" i="3" s="1"/>
  <c r="BA408" i="3"/>
  <c r="AZ408" i="3" s="1"/>
  <c r="BL410" i="3"/>
  <c r="AZ410" i="3" s="1"/>
  <c r="BA411" i="3"/>
  <c r="AZ411" i="3" s="1"/>
  <c r="BA412" i="3"/>
  <c r="AZ412" i="3" s="1"/>
  <c r="G415" i="3"/>
  <c r="G416" i="3"/>
  <c r="BL416" i="3"/>
  <c r="AZ416" i="3" s="1"/>
  <c r="BA418" i="3"/>
  <c r="AZ418" i="3" s="1"/>
  <c r="BL420" i="3"/>
  <c r="AZ420" i="3" s="1"/>
  <c r="BA421" i="3"/>
  <c r="AZ421" i="3" s="1"/>
  <c r="G424" i="3"/>
  <c r="G425" i="3"/>
  <c r="BL425" i="3"/>
  <c r="AZ425" i="3" s="1"/>
  <c r="BA426" i="3"/>
  <c r="AZ426" i="3" s="1"/>
  <c r="BL428" i="3"/>
  <c r="AZ428" i="3" s="1"/>
  <c r="G431" i="3"/>
  <c r="BL431" i="3"/>
  <c r="AZ431" i="3" s="1"/>
  <c r="BA432" i="3"/>
  <c r="AZ432" i="3" s="1"/>
  <c r="BA433" i="3"/>
  <c r="AZ433" i="3" s="1"/>
  <c r="G436" i="3"/>
  <c r="BL436" i="3"/>
  <c r="AZ436" i="3" s="1"/>
  <c r="BA438" i="3"/>
  <c r="AZ438" i="3" s="1"/>
  <c r="BA439" i="3"/>
  <c r="AZ439" i="3" s="1"/>
  <c r="BL441" i="3"/>
  <c r="AZ441" i="3" s="1"/>
  <c r="BA442" i="3"/>
  <c r="AZ442" i="3" s="1"/>
  <c r="G445" i="3"/>
  <c r="BL445" i="3"/>
  <c r="AZ445" i="3" s="1"/>
  <c r="BA446" i="3"/>
  <c r="AZ446" i="3" s="1"/>
  <c r="G449" i="3"/>
  <c r="BL449" i="3"/>
  <c r="AZ449" i="3" s="1"/>
  <c r="BA450" i="3"/>
  <c r="AZ450" i="3" s="1"/>
  <c r="G453" i="3"/>
  <c r="BL453" i="3"/>
  <c r="AZ453" i="3" s="1"/>
  <c r="BA454" i="3"/>
  <c r="AZ454" i="3" s="1"/>
  <c r="G457" i="3"/>
  <c r="G458" i="3"/>
  <c r="BL458" i="3"/>
  <c r="AZ458" i="3" s="1"/>
  <c r="BA459" i="3"/>
  <c r="AZ459" i="3" s="1"/>
  <c r="BL461" i="3"/>
  <c r="AZ461" i="3" s="1"/>
  <c r="G463" i="3"/>
  <c r="G464" i="3"/>
  <c r="BL464" i="3"/>
  <c r="G467" i="3"/>
  <c r="BL467" i="3"/>
  <c r="AZ467" i="3" s="1"/>
  <c r="BA469" i="3"/>
  <c r="AZ469" i="3" s="1"/>
  <c r="BA470" i="3"/>
  <c r="AZ470" i="3" s="1"/>
  <c r="BA472" i="3"/>
  <c r="AZ472" i="3" s="1"/>
  <c r="BA473" i="3"/>
  <c r="AZ473" i="3" s="1"/>
  <c r="BA475" i="3"/>
  <c r="AZ475" i="3" s="1"/>
  <c r="BL476" i="3"/>
  <c r="G478" i="3"/>
  <c r="BL478" i="3"/>
  <c r="G481" i="3"/>
  <c r="BL481" i="3"/>
  <c r="AZ481" i="3" s="1"/>
  <c r="BA482" i="3"/>
  <c r="AZ482" i="3" s="1"/>
  <c r="G485" i="3"/>
  <c r="G486" i="3"/>
  <c r="BL486" i="3"/>
  <c r="AZ486" i="3" s="1"/>
  <c r="BA487" i="3"/>
  <c r="AZ487" i="3" s="1"/>
  <c r="G490" i="3"/>
  <c r="G491" i="3"/>
  <c r="G492" i="3"/>
  <c r="BL492" i="3"/>
  <c r="G307" i="3"/>
  <c r="BL308" i="3"/>
  <c r="AZ308" i="3" s="1"/>
  <c r="BL314" i="3"/>
  <c r="AZ314" i="3" s="1"/>
  <c r="BA316" i="3"/>
  <c r="AZ316" i="3" s="1"/>
  <c r="BA319" i="3"/>
  <c r="AZ319" i="3" s="1"/>
  <c r="G320" i="3"/>
  <c r="G321" i="3"/>
  <c r="G322" i="3"/>
  <c r="BA323" i="3"/>
  <c r="BA324" i="3"/>
  <c r="AZ324" i="3" s="1"/>
  <c r="BL328" i="3"/>
  <c r="AZ328" i="3" s="1"/>
  <c r="BL329" i="3"/>
  <c r="AZ329" i="3" s="1"/>
  <c r="G330" i="3"/>
  <c r="BA330" i="3"/>
  <c r="AZ330" i="3" s="1"/>
  <c r="BL333" i="3"/>
  <c r="AZ333" i="3" s="1"/>
  <c r="G339" i="3"/>
  <c r="BL340" i="3"/>
  <c r="AZ340" i="3" s="1"/>
  <c r="G347" i="3"/>
  <c r="BL350" i="3"/>
  <c r="AZ350" i="3" s="1"/>
  <c r="BA353" i="3"/>
  <c r="AZ353" i="3" s="1"/>
  <c r="G358" i="3"/>
  <c r="BL359" i="3"/>
  <c r="AZ359" i="3" s="1"/>
  <c r="BL365" i="3"/>
  <c r="AZ365" i="3" s="1"/>
  <c r="BA368" i="3"/>
  <c r="AZ368" i="3" s="1"/>
  <c r="BL208" i="3"/>
  <c r="AZ208" i="3" s="1"/>
  <c r="AZ492" i="3"/>
  <c r="AZ348" i="3"/>
  <c r="AZ354" i="3"/>
  <c r="AZ367" i="3"/>
  <c r="BA383" i="3"/>
  <c r="AZ383" i="3" s="1"/>
  <c r="BA388" i="3"/>
  <c r="AZ388" i="3" s="1"/>
  <c r="BA392" i="3"/>
  <c r="AZ392" i="3" s="1"/>
  <c r="G395" i="3"/>
  <c r="G396" i="3"/>
  <c r="BA210" i="3"/>
  <c r="AZ210" i="3" s="1"/>
  <c r="BA211" i="3"/>
  <c r="AZ211" i="3" s="1"/>
  <c r="BL213" i="3"/>
  <c r="AZ213" i="3" s="1"/>
  <c r="BL215" i="3"/>
  <c r="AZ215" i="3" s="1"/>
  <c r="G217" i="3"/>
  <c r="BL217" i="3"/>
  <c r="BL219" i="3"/>
  <c r="AZ219" i="3" s="1"/>
  <c r="G221" i="3"/>
  <c r="BL221" i="3"/>
  <c r="BL223" i="3"/>
  <c r="AZ223" i="3" s="1"/>
  <c r="G226" i="3"/>
  <c r="BL226" i="3"/>
  <c r="AZ226" i="3" s="1"/>
  <c r="BA228" i="3"/>
  <c r="AZ228" i="3" s="1"/>
  <c r="BA229" i="3"/>
  <c r="AZ229" i="3" s="1"/>
  <c r="BA231" i="3"/>
  <c r="AZ231" i="3" s="1"/>
  <c r="BA232" i="3"/>
  <c r="AZ232" i="3" s="1"/>
  <c r="BA233" i="3"/>
  <c r="AZ233" i="3" s="1"/>
  <c r="BA234" i="3"/>
  <c r="AZ234" i="3" s="1"/>
  <c r="BA235" i="3"/>
  <c r="AZ235" i="3" s="1"/>
  <c r="BA236" i="3"/>
  <c r="AZ236" i="3" s="1"/>
  <c r="BA237" i="3"/>
  <c r="AZ237" i="3" s="1"/>
  <c r="BA238" i="3"/>
  <c r="AZ238" i="3" s="1"/>
  <c r="BL240" i="3"/>
  <c r="AZ240" i="3" s="1"/>
  <c r="BA242" i="3"/>
  <c r="AZ242" i="3" s="1"/>
  <c r="BA243" i="3"/>
  <c r="AZ243" i="3" s="1"/>
  <c r="BL245" i="3"/>
  <c r="AZ245" i="3" s="1"/>
  <c r="BA246" i="3"/>
  <c r="AZ246" i="3" s="1"/>
  <c r="BL248" i="3"/>
  <c r="AZ248" i="3" s="1"/>
  <c r="BL250" i="3"/>
  <c r="AZ250" i="3" s="1"/>
  <c r="BL252" i="3"/>
  <c r="AZ252" i="3" s="1"/>
  <c r="BL254" i="3"/>
  <c r="AZ254" i="3" s="1"/>
  <c r="G256" i="3"/>
  <c r="G257" i="3"/>
  <c r="G258" i="3"/>
  <c r="BL258" i="3"/>
  <c r="G261" i="3"/>
  <c r="G262" i="3"/>
  <c r="G263" i="3"/>
  <c r="G264" i="3"/>
  <c r="BL264" i="3"/>
  <c r="AZ264" i="3" s="1"/>
  <c r="BL266" i="3"/>
  <c r="AZ266" i="3" s="1"/>
  <c r="BL268" i="3"/>
  <c r="AZ268" i="3" s="1"/>
  <c r="BA270" i="3"/>
  <c r="AZ270" i="3" s="1"/>
  <c r="BA271" i="3"/>
  <c r="AZ271" i="3" s="1"/>
  <c r="BA272" i="3"/>
  <c r="AZ272" i="3" s="1"/>
  <c r="BA273" i="3"/>
  <c r="AZ273" i="3" s="1"/>
  <c r="BL275" i="3"/>
  <c r="AZ275" i="3" s="1"/>
  <c r="BA276" i="3"/>
  <c r="AZ276" i="3" s="1"/>
  <c r="G279" i="3"/>
  <c r="G280" i="3"/>
  <c r="G281" i="3"/>
  <c r="G282" i="3"/>
  <c r="BL282" i="3"/>
  <c r="AZ282" i="3" s="1"/>
  <c r="BL284" i="3"/>
  <c r="AZ284" i="3" s="1"/>
  <c r="BA285" i="3"/>
  <c r="AZ285" i="3" s="1"/>
  <c r="BA286" i="3"/>
  <c r="AZ286" i="3" s="1"/>
  <c r="BA287" i="3"/>
  <c r="AZ287" i="3" s="1"/>
  <c r="BA288" i="3"/>
  <c r="AZ288" i="3" s="1"/>
  <c r="BA289" i="3"/>
  <c r="AZ289" i="3" s="1"/>
  <c r="BL291" i="3"/>
  <c r="AZ291" i="3" s="1"/>
  <c r="G294" i="3"/>
  <c r="G295" i="3"/>
  <c r="G296" i="3"/>
  <c r="G297" i="3"/>
  <c r="G298" i="3"/>
  <c r="BL298" i="3"/>
  <c r="AZ298" i="3" s="1"/>
  <c r="BA300" i="3"/>
  <c r="AZ300" i="3" s="1"/>
  <c r="BA302" i="3"/>
  <c r="AZ302" i="3" s="1"/>
  <c r="BA113" i="3"/>
  <c r="AZ113" i="3" s="1"/>
  <c r="BA114" i="3"/>
  <c r="AZ114" i="3" s="1"/>
  <c r="BL115" i="3"/>
  <c r="AZ115" i="3" s="1"/>
  <c r="BL116" i="3"/>
  <c r="AZ116" i="3" s="1"/>
  <c r="G117" i="3"/>
  <c r="BL118" i="3"/>
  <c r="AZ118" i="3" s="1"/>
  <c r="BA120" i="3"/>
  <c r="AZ120" i="3" s="1"/>
  <c r="G121" i="3"/>
  <c r="G122" i="3"/>
  <c r="BL122" i="3"/>
  <c r="BA124" i="3"/>
  <c r="BL125" i="3"/>
  <c r="G127" i="3"/>
  <c r="BA127" i="3"/>
  <c r="AZ127" i="3" s="1"/>
  <c r="G130" i="3"/>
  <c r="G131" i="3"/>
  <c r="BL133" i="3"/>
  <c r="AZ133" i="3" s="1"/>
  <c r="G136" i="3"/>
  <c r="BA137" i="3"/>
  <c r="AZ137" i="3" s="1"/>
  <c r="BA138" i="3"/>
  <c r="AZ138" i="3" s="1"/>
  <c r="BL139" i="3"/>
  <c r="AZ139" i="3" s="1"/>
  <c r="BA141" i="3"/>
  <c r="AZ141" i="3" s="1"/>
  <c r="BA142" i="3"/>
  <c r="AZ142" i="3" s="1"/>
  <c r="BL143" i="3"/>
  <c r="AZ143" i="3" s="1"/>
  <c r="BL144" i="3"/>
  <c r="AZ144" i="3" s="1"/>
  <c r="BL146" i="3"/>
  <c r="AZ146" i="3" s="1"/>
  <c r="BA147" i="3"/>
  <c r="AZ147" i="3" s="1"/>
  <c r="BA148" i="3"/>
  <c r="BL148" i="3"/>
  <c r="G149" i="3"/>
  <c r="G150" i="3"/>
  <c r="G151" i="3"/>
  <c r="C40" i="68"/>
  <c r="AC21" i="37"/>
  <c r="W21" i="34"/>
  <c r="AC21" i="34"/>
  <c r="W25" i="40"/>
  <c r="C25" i="40"/>
  <c r="B75" i="43"/>
  <c r="B66" i="43"/>
  <c r="C29" i="39"/>
  <c r="E103" i="39"/>
  <c r="F103" i="39" s="1"/>
  <c r="G103" i="39" s="1"/>
  <c r="F29" i="39"/>
  <c r="AA29" i="39" s="1"/>
  <c r="H29" i="39"/>
  <c r="U29" i="39" s="1"/>
  <c r="D49" i="71"/>
  <c r="O48" i="71"/>
  <c r="O49" i="71"/>
  <c r="G154" i="3"/>
  <c r="G155" i="3"/>
  <c r="BL157" i="3"/>
  <c r="AZ157" i="3" s="1"/>
  <c r="G160" i="3"/>
  <c r="BL162" i="3"/>
  <c r="AZ162" i="3" s="1"/>
  <c r="BA164" i="3"/>
  <c r="AZ164" i="3" s="1"/>
  <c r="G166" i="3"/>
  <c r="G167" i="3"/>
  <c r="BA169" i="3"/>
  <c r="AZ169" i="3" s="1"/>
  <c r="BA170" i="3"/>
  <c r="AZ170" i="3" s="1"/>
  <c r="BL171" i="3"/>
  <c r="AZ171" i="3" s="1"/>
  <c r="BL174" i="3"/>
  <c r="AZ174" i="3" s="1"/>
  <c r="BA176" i="3"/>
  <c r="AZ176" i="3" s="1"/>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AZ201" i="3" s="1"/>
  <c r="G204" i="3"/>
  <c r="BA205" i="3"/>
  <c r="AZ205" i="3" s="1"/>
  <c r="BA206" i="3"/>
  <c r="AZ206" i="3" s="1"/>
  <c r="BL18" i="3"/>
  <c r="AZ18" i="3" s="1"/>
  <c r="BL20" i="3"/>
  <c r="AZ20" i="3" s="1"/>
  <c r="BA22" i="3"/>
  <c r="AZ22" i="3" s="1"/>
  <c r="BL24" i="3"/>
  <c r="AZ24" i="3" s="1"/>
  <c r="BA26" i="3"/>
  <c r="AZ26" i="3" s="1"/>
  <c r="BA27" i="3"/>
  <c r="AZ27" i="3" s="1"/>
  <c r="BA28" i="3"/>
  <c r="AZ28" i="3" s="1"/>
  <c r="BA29" i="3"/>
  <c r="AZ29" i="3" s="1"/>
  <c r="BL31" i="3"/>
  <c r="AZ31" i="3" s="1"/>
  <c r="BL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A73" i="3"/>
  <c r="AZ73" i="3" s="1"/>
  <c r="BA74" i="3"/>
  <c r="AZ74" i="3" s="1"/>
  <c r="BA75" i="3"/>
  <c r="AZ75" i="3" s="1"/>
  <c r="BL77" i="3"/>
  <c r="AZ77" i="3" s="1"/>
  <c r="BA78" i="3"/>
  <c r="AZ78" i="3" s="1"/>
  <c r="BA79" i="3"/>
  <c r="AZ79" i="3" s="1"/>
  <c r="BA80" i="3"/>
  <c r="AZ80" i="3" s="1"/>
  <c r="BL82" i="3"/>
  <c r="AZ82" i="3" s="1"/>
  <c r="BL84" i="3"/>
  <c r="AZ84" i="3" s="1"/>
  <c r="G8" i="1"/>
  <c r="D58" i="79"/>
  <c r="E58" i="79" s="1"/>
  <c r="F58" i="79" s="1"/>
  <c r="G58" i="79" s="1"/>
  <c r="H58" i="79" s="1"/>
  <c r="I58" i="79" s="1"/>
  <c r="J58" i="79" s="1"/>
  <c r="K58" i="79" s="1"/>
  <c r="L58" i="79" s="1"/>
  <c r="M58" i="79" s="1"/>
  <c r="N58" i="79" s="1"/>
  <c r="O58" i="79" s="1"/>
  <c r="D24" i="67"/>
  <c r="D22" i="67"/>
  <c r="AB21" i="34"/>
  <c r="U21" i="34"/>
  <c r="O50" i="71"/>
  <c r="AB10" i="71"/>
  <c r="S11" i="71"/>
  <c r="B14" i="71"/>
  <c r="B15" i="71" s="1"/>
  <c r="S15" i="71" s="1"/>
  <c r="X12" i="71"/>
  <c r="AB12" i="71"/>
  <c r="Y13" i="71"/>
  <c r="Z13" i="71" s="1"/>
  <c r="AA17" i="71"/>
  <c r="B38" i="71"/>
  <c r="B39" i="71" s="1"/>
  <c r="S39" i="71" s="1"/>
  <c r="AF10" i="43"/>
  <c r="AI10" i="43"/>
  <c r="AA10" i="43"/>
  <c r="BL86" i="3"/>
  <c r="AZ86" i="3" s="1"/>
  <c r="G88" i="3"/>
  <c r="G89" i="3"/>
  <c r="G90" i="3"/>
  <c r="BL90" i="3"/>
  <c r="G92" i="3"/>
  <c r="BL92" i="3"/>
  <c r="BL94" i="3"/>
  <c r="AZ94" i="3" s="1"/>
  <c r="G96" i="3"/>
  <c r="BL96" i="3"/>
  <c r="G99" i="3"/>
  <c r="BL99" i="3"/>
  <c r="AZ99" i="3" s="1"/>
  <c r="BA100" i="3"/>
  <c r="AZ100" i="3" s="1"/>
  <c r="BA101" i="3"/>
  <c r="AZ101" i="3" s="1"/>
  <c r="BA102" i="3"/>
  <c r="AZ102" i="3" s="1"/>
  <c r="G105" i="3"/>
  <c r="G106" i="3"/>
  <c r="BL106" i="3"/>
  <c r="AZ106" i="3" s="1"/>
  <c r="BL108" i="3"/>
  <c r="AZ108" i="3" s="1"/>
  <c r="BL110" i="3"/>
  <c r="AZ110" i="3" s="1"/>
  <c r="BA112" i="3"/>
  <c r="AZ112" i="3" s="1"/>
  <c r="E48" i="43"/>
  <c r="B46" i="43" s="1"/>
  <c r="E59" i="43"/>
  <c r="B57" i="43" s="1"/>
  <c r="I20" i="66"/>
  <c r="D1" i="66" s="1"/>
  <c r="E10" i="66" s="1"/>
  <c r="T11" i="1"/>
  <c r="AQ9" i="1"/>
  <c r="AR11" i="1"/>
  <c r="BA14" i="3"/>
  <c r="BL14" i="3"/>
  <c r="AR10" i="1"/>
  <c r="G14" i="3"/>
  <c r="G104" i="43"/>
  <c r="G103" i="43"/>
  <c r="T9" i="1"/>
  <c r="O6" i="1"/>
  <c r="P6" i="1" s="1"/>
  <c r="C13" i="12" s="1"/>
  <c r="G106" i="43"/>
  <c r="S7" i="43"/>
  <c r="P12" i="1"/>
  <c r="E101" i="43"/>
  <c r="E102" i="43" s="1"/>
  <c r="K101" i="43"/>
  <c r="K109" i="43" s="1"/>
  <c r="AA11" i="43"/>
  <c r="AA13" i="43" s="1"/>
  <c r="C101" i="43"/>
  <c r="C103" i="43" s="1"/>
  <c r="P11" i="1"/>
  <c r="T10" i="1"/>
  <c r="AP6" i="1"/>
  <c r="C36" i="69" s="1"/>
  <c r="BI5" i="3"/>
  <c r="BT5" i="3"/>
  <c r="S29" i="39"/>
  <c r="K1" i="73"/>
  <c r="E6" i="49"/>
  <c r="B7" i="49"/>
  <c r="C4" i="4" s="1"/>
  <c r="B4" i="62" s="1"/>
  <c r="B71" i="72" s="1"/>
  <c r="AC21" i="21"/>
  <c r="S18" i="35"/>
  <c r="E9" i="49"/>
  <c r="B4" i="49"/>
  <c r="B16" i="49"/>
  <c r="B11" i="49"/>
  <c r="B8" i="49"/>
  <c r="E16" i="49"/>
  <c r="E8" i="49"/>
  <c r="E5" i="49"/>
  <c r="B5" i="49"/>
  <c r="B10" i="49"/>
  <c r="E7" i="49"/>
  <c r="B13" i="49"/>
  <c r="E21" i="49"/>
  <c r="B6" i="49"/>
  <c r="E11" i="49"/>
  <c r="E22" i="49"/>
  <c r="E10" i="49"/>
  <c r="B14" i="49"/>
  <c r="E4" i="49"/>
  <c r="B22" i="49"/>
  <c r="E4" i="4" s="1"/>
  <c r="B5" i="62" s="1"/>
  <c r="B73" i="72" s="1"/>
  <c r="B9" i="49"/>
  <c r="B6" i="70"/>
  <c r="B13" i="70"/>
  <c r="I1" i="73"/>
  <c r="B39" i="1" s="1"/>
  <c r="E20" i="43"/>
  <c r="B10" i="70"/>
  <c r="B9" i="70"/>
  <c r="B11" i="70"/>
  <c r="B12" i="70"/>
  <c r="D121" i="9"/>
  <c r="D7" i="52" s="1"/>
  <c r="K120" i="9"/>
  <c r="A18" i="62" s="1"/>
  <c r="B64" i="72" s="1"/>
  <c r="L106" i="43"/>
  <c r="L105" i="43"/>
  <c r="L103" i="43"/>
  <c r="L102" i="43"/>
  <c r="AA42" i="33"/>
  <c r="S42" i="33"/>
  <c r="AB19" i="33"/>
  <c r="U19" i="33"/>
  <c r="AC10" i="37"/>
  <c r="W10" i="37"/>
  <c r="E46" i="36"/>
  <c r="F46" i="36" s="1"/>
  <c r="G46" i="36" s="1"/>
  <c r="H46" i="36" s="1"/>
  <c r="I46" i="36" s="1"/>
  <c r="J46" i="36" s="1"/>
  <c r="K46" i="36" s="1"/>
  <c r="L46" i="36" s="1"/>
  <c r="M46" i="36" s="1"/>
  <c r="N46" i="36" s="1"/>
  <c r="O46" i="36" s="1"/>
  <c r="H7" i="36"/>
  <c r="E48" i="35"/>
  <c r="F48" i="35" s="1"/>
  <c r="G48" i="35" s="1"/>
  <c r="H48" i="35" s="1"/>
  <c r="I48" i="35" s="1"/>
  <c r="J48" i="35" s="1"/>
  <c r="K48" i="35" s="1"/>
  <c r="L48" i="35" s="1"/>
  <c r="M48" i="35" s="1"/>
  <c r="N48" i="35" s="1"/>
  <c r="O48" i="35" s="1"/>
  <c r="D68" i="39"/>
  <c r="C70" i="39"/>
  <c r="W15" i="21"/>
  <c r="AC15" i="21"/>
  <c r="W36" i="40"/>
  <c r="AC36" i="40"/>
  <c r="W28" i="33"/>
  <c r="AC28" i="33"/>
  <c r="U28" i="33"/>
  <c r="AB28" i="33"/>
  <c r="W10" i="35"/>
  <c r="AC10" i="35"/>
  <c r="J32" i="40"/>
  <c r="H32" i="40"/>
  <c r="F32" i="40"/>
  <c r="G81" i="39"/>
  <c r="J11" i="39"/>
  <c r="BL540" i="3"/>
  <c r="BA540" i="3"/>
  <c r="AZ540" i="3" s="1"/>
  <c r="BL538" i="3"/>
  <c r="BA538" i="3"/>
  <c r="AZ538" i="3" s="1"/>
  <c r="BL532" i="3"/>
  <c r="BA532" i="3"/>
  <c r="AZ532" i="3" s="1"/>
  <c r="BL531" i="3"/>
  <c r="BA531" i="3"/>
  <c r="AZ531" i="3" s="1"/>
  <c r="BL529" i="3"/>
  <c r="BA529" i="3"/>
  <c r="AZ529" i="3" s="1"/>
  <c r="BA520" i="3"/>
  <c r="AZ520" i="3" s="1"/>
  <c r="BL518" i="3"/>
  <c r="BA518" i="3"/>
  <c r="BL516" i="3"/>
  <c r="BA516" i="3"/>
  <c r="BL511" i="3"/>
  <c r="BA511" i="3"/>
  <c r="BL509" i="3"/>
  <c r="BA509" i="3"/>
  <c r="BL502" i="3"/>
  <c r="BA502" i="3"/>
  <c r="BL501" i="3"/>
  <c r="BA501" i="3"/>
  <c r="BL500" i="3"/>
  <c r="BA500" i="3"/>
  <c r="BL496" i="3"/>
  <c r="BA496" i="3"/>
  <c r="BP5" i="3"/>
  <c r="BL494" i="3"/>
  <c r="BG5" i="3"/>
  <c r="BO5" i="3"/>
  <c r="BH5" i="3"/>
  <c r="D126" i="9"/>
  <c r="D19" i="53"/>
  <c r="S17" i="33"/>
  <c r="AA17" i="33"/>
  <c r="D52" i="37"/>
  <c r="O19" i="43"/>
  <c r="P22" i="43"/>
  <c r="P21" i="43"/>
  <c r="P24" i="43"/>
  <c r="B66" i="40" s="1"/>
  <c r="P25" i="43"/>
  <c r="D63" i="40"/>
  <c r="C65" i="40"/>
  <c r="D58" i="21"/>
  <c r="E58" i="21" s="1"/>
  <c r="F58" i="21" s="1"/>
  <c r="G58" i="21" s="1"/>
  <c r="H58" i="21" s="1"/>
  <c r="I58" i="21" s="1"/>
  <c r="J58" i="21" s="1"/>
  <c r="K58" i="21" s="1"/>
  <c r="L58" i="21" s="1"/>
  <c r="M58" i="21" s="1"/>
  <c r="N58" i="21" s="1"/>
  <c r="O58" i="21" s="1"/>
  <c r="J7" i="21"/>
  <c r="F7" i="21"/>
  <c r="W10" i="33"/>
  <c r="AC10" i="33"/>
  <c r="U23" i="33"/>
  <c r="AB23" i="33"/>
  <c r="AA25" i="33"/>
  <c r="S25" i="33"/>
  <c r="AC43" i="33"/>
  <c r="W43" i="33"/>
  <c r="AC33" i="35"/>
  <c r="W33" i="35"/>
  <c r="AC44" i="34"/>
  <c r="W44" i="34"/>
  <c r="AC37" i="34"/>
  <c r="W37" i="34"/>
  <c r="AB15" i="33"/>
  <c r="S41" i="21"/>
  <c r="AA41" i="21"/>
  <c r="BL550" i="3"/>
  <c r="AZ550" i="3" s="1"/>
  <c r="BL541" i="3"/>
  <c r="BA541" i="3"/>
  <c r="BL539" i="3"/>
  <c r="BA539" i="3"/>
  <c r="BL533" i="3"/>
  <c r="AZ533" i="3" s="1"/>
  <c r="BL530" i="3"/>
  <c r="BA530" i="3"/>
  <c r="BL528" i="3"/>
  <c r="BA528" i="3"/>
  <c r="BA521" i="3"/>
  <c r="AZ521" i="3" s="1"/>
  <c r="BL519" i="3"/>
  <c r="BA519" i="3"/>
  <c r="BL517" i="3"/>
  <c r="BA517" i="3"/>
  <c r="BL515" i="3"/>
  <c r="AZ515" i="3" s="1"/>
  <c r="BL510" i="3"/>
  <c r="AZ510" i="3" s="1"/>
  <c r="BA508" i="3"/>
  <c r="AZ508" i="3" s="1"/>
  <c r="BL497" i="3"/>
  <c r="BA497" i="3"/>
  <c r="BL495" i="3"/>
  <c r="BA495" i="3"/>
  <c r="BE5" i="3"/>
  <c r="BA494" i="3"/>
  <c r="AZ494" i="3" s="1"/>
  <c r="BL493" i="3"/>
  <c r="BJ5" i="3"/>
  <c r="S22" i="31"/>
  <c r="D27" i="71"/>
  <c r="T43" i="71"/>
  <c r="T35" i="71"/>
  <c r="H7" i="21"/>
  <c r="L104" i="43"/>
  <c r="L107" i="43"/>
  <c r="P9" i="1"/>
  <c r="J7" i="35"/>
  <c r="K104" i="43"/>
  <c r="S28" i="40"/>
  <c r="L109" i="43"/>
  <c r="W10" i="34"/>
  <c r="AB32" i="21"/>
  <c r="U32" i="21"/>
  <c r="S11" i="34"/>
  <c r="AA11" i="34"/>
  <c r="AB37" i="39"/>
  <c r="U37" i="39"/>
  <c r="AB38" i="37"/>
  <c r="U38" i="37"/>
  <c r="W29" i="37"/>
  <c r="AC29" i="37"/>
  <c r="F27" i="33"/>
  <c r="J27" i="33"/>
  <c r="J42" i="33"/>
  <c r="H42" i="33"/>
  <c r="G123" i="33"/>
  <c r="H123" i="33" s="1"/>
  <c r="I123" i="33" s="1"/>
  <c r="J123" i="33" s="1"/>
  <c r="K123" i="33" s="1"/>
  <c r="L123" i="33" s="1"/>
  <c r="M123" i="33" s="1"/>
  <c r="H43" i="33"/>
  <c r="E125" i="33"/>
  <c r="F125" i="33" s="1"/>
  <c r="G125" i="33" s="1"/>
  <c r="F43" i="33"/>
  <c r="U12" i="34"/>
  <c r="AB12" i="34"/>
  <c r="C106" i="43"/>
  <c r="G102" i="43"/>
  <c r="G105" i="43"/>
  <c r="C48" i="69"/>
  <c r="C30" i="69"/>
  <c r="AC11" i="37"/>
  <c r="W11" i="37"/>
  <c r="AC33" i="21"/>
  <c r="W33" i="21"/>
  <c r="E58" i="33"/>
  <c r="S19" i="37"/>
  <c r="AA19" i="37"/>
  <c r="F30" i="11"/>
  <c r="F30" i="68"/>
  <c r="M18" i="15"/>
  <c r="D68" i="9"/>
  <c r="F32" i="67"/>
  <c r="F60" i="67" s="1"/>
  <c r="F53" i="9"/>
  <c r="M18" i="67"/>
  <c r="AR13" i="1"/>
  <c r="T13" i="1"/>
  <c r="AQ13" i="1"/>
  <c r="U12" i="39"/>
  <c r="AZ322" i="3"/>
  <c r="AB21" i="40"/>
  <c r="U21" i="40"/>
  <c r="S12" i="39"/>
  <c r="U31" i="40"/>
  <c r="AB31" i="40"/>
  <c r="AB23" i="37"/>
  <c r="U23" i="37"/>
  <c r="S41" i="34"/>
  <c r="AA41" i="34"/>
  <c r="AZ575" i="3"/>
  <c r="AZ560" i="3"/>
  <c r="AA11" i="36"/>
  <c r="S11" i="36"/>
  <c r="AC11" i="36"/>
  <c r="W11" i="36"/>
  <c r="W26" i="36"/>
  <c r="AC26" i="36"/>
  <c r="AA32" i="34"/>
  <c r="S32" i="34"/>
  <c r="AA31" i="33"/>
  <c r="S31" i="33"/>
  <c r="U14" i="36"/>
  <c r="AB14" i="36"/>
  <c r="S15" i="40"/>
  <c r="AA15" i="40"/>
  <c r="U28" i="40"/>
  <c r="AB28" i="40"/>
  <c r="AA37" i="40"/>
  <c r="S37" i="40"/>
  <c r="AA11" i="33"/>
  <c r="S11" i="33"/>
  <c r="AB15" i="34"/>
  <c r="U15" i="34"/>
  <c r="AA19" i="34"/>
  <c r="S19" i="34"/>
  <c r="U36" i="34"/>
  <c r="AB36" i="34"/>
  <c r="U40" i="34"/>
  <c r="AB40" i="34"/>
  <c r="AB36" i="40"/>
  <c r="U36" i="40"/>
  <c r="AA16" i="36"/>
  <c r="S16" i="36"/>
  <c r="AA35" i="39"/>
  <c r="S35" i="39"/>
  <c r="AJ11" i="43"/>
  <c r="AJ13" i="43" s="1"/>
  <c r="AF11" i="43"/>
  <c r="AF13" i="43" s="1"/>
  <c r="AB11" i="43"/>
  <c r="AB13" i="43" s="1"/>
  <c r="Z7" i="43"/>
  <c r="AC11" i="43"/>
  <c r="AC13" i="43" s="1"/>
  <c r="H101" i="43"/>
  <c r="AH11" i="43"/>
  <c r="AH13" i="43" s="1"/>
  <c r="Z11" i="43"/>
  <c r="Z13" i="43" s="1"/>
  <c r="S2" i="43"/>
  <c r="F22" i="43"/>
  <c r="F101" i="43"/>
  <c r="E22" i="43"/>
  <c r="D101" i="43"/>
  <c r="I101" i="43"/>
  <c r="S5" i="43"/>
  <c r="J101" i="43"/>
  <c r="G22" i="43"/>
  <c r="AG11" i="43"/>
  <c r="AG13" i="43" s="1"/>
  <c r="B113" i="43"/>
  <c r="N104" i="46"/>
  <c r="AD11" i="43"/>
  <c r="AD13" i="43" s="1"/>
  <c r="AE11" i="43"/>
  <c r="AE13" i="43" s="1"/>
  <c r="N101" i="43"/>
  <c r="M101" i="43"/>
  <c r="J22" i="43"/>
  <c r="C23" i="43"/>
  <c r="C21" i="43" s="1"/>
  <c r="S6" i="43"/>
  <c r="BL587" i="3"/>
  <c r="AZ587" i="3" s="1"/>
  <c r="W35" i="21"/>
  <c r="AC35" i="21"/>
  <c r="F12" i="21"/>
  <c r="H12" i="21"/>
  <c r="G69" i="21"/>
  <c r="J11" i="21"/>
  <c r="E125" i="21"/>
  <c r="F125" i="21" s="1"/>
  <c r="G125" i="21" s="1"/>
  <c r="J43" i="21"/>
  <c r="F43" i="21"/>
  <c r="H43" i="21"/>
  <c r="B70" i="43"/>
  <c r="C15" i="39"/>
  <c r="B59" i="43"/>
  <c r="C19" i="39"/>
  <c r="B77" i="43"/>
  <c r="C25" i="39"/>
  <c r="B67" i="43"/>
  <c r="B73" i="43"/>
  <c r="B52" i="43"/>
  <c r="B63" i="43"/>
  <c r="B82" i="43"/>
  <c r="C17" i="40"/>
  <c r="B88" i="43"/>
  <c r="C21" i="40"/>
  <c r="AC40" i="33"/>
  <c r="W40" i="33"/>
  <c r="AB17" i="33"/>
  <c r="U17" i="33"/>
  <c r="S33" i="21"/>
  <c r="AA33" i="21"/>
  <c r="F7" i="35"/>
  <c r="C5" i="43"/>
  <c r="AB10" i="33"/>
  <c r="U10" i="33"/>
  <c r="AC23" i="33"/>
  <c r="W23" i="33"/>
  <c r="U21" i="39"/>
  <c r="AB21" i="39"/>
  <c r="S32" i="39"/>
  <c r="AA32" i="39"/>
  <c r="AR12" i="1"/>
  <c r="AQ12" i="1"/>
  <c r="S39" i="39"/>
  <c r="AA39" i="39"/>
  <c r="W37" i="33"/>
  <c r="AC37" i="33"/>
  <c r="H83" i="43"/>
  <c r="H86" i="43"/>
  <c r="H87" i="43"/>
  <c r="H85" i="43"/>
  <c r="H84" i="43"/>
  <c r="AZ372" i="3"/>
  <c r="AZ378" i="3"/>
  <c r="AZ345" i="3"/>
  <c r="AZ311" i="3"/>
  <c r="H65" i="43"/>
  <c r="H63" i="43"/>
  <c r="F7" i="36"/>
  <c r="S31" i="37"/>
  <c r="AA31" i="37"/>
  <c r="AA31" i="40"/>
  <c r="S31" i="40"/>
  <c r="U25" i="21"/>
  <c r="AB25" i="21"/>
  <c r="AC27" i="37"/>
  <c r="W27" i="37"/>
  <c r="AB14" i="40"/>
  <c r="U14" i="40"/>
  <c r="AC14" i="39"/>
  <c r="W14" i="39"/>
  <c r="U47" i="34"/>
  <c r="AB47" i="34"/>
  <c r="S29" i="34"/>
  <c r="AA29" i="34"/>
  <c r="S14" i="33"/>
  <c r="AA14" i="33"/>
  <c r="W46" i="21"/>
  <c r="AC46" i="21"/>
  <c r="AC32" i="35"/>
  <c r="W32" i="35"/>
  <c r="AB30" i="35"/>
  <c r="U30" i="35"/>
  <c r="S27" i="39"/>
  <c r="AA27" i="39"/>
  <c r="AA26" i="33"/>
  <c r="S26" i="33"/>
  <c r="AC10" i="21"/>
  <c r="W10" i="21"/>
  <c r="S36" i="21"/>
  <c r="AA36" i="21"/>
  <c r="J29" i="21"/>
  <c r="F29" i="21"/>
  <c r="E77" i="21"/>
  <c r="F77" i="21" s="1"/>
  <c r="G77" i="21" s="1"/>
  <c r="F15" i="21"/>
  <c r="H15" i="21"/>
  <c r="H37" i="21"/>
  <c r="F37" i="21"/>
  <c r="J37" i="21"/>
  <c r="H113" i="21"/>
  <c r="G123" i="21"/>
  <c r="H123" i="21" s="1"/>
  <c r="I123" i="21" s="1"/>
  <c r="J123" i="21" s="1"/>
  <c r="K123" i="21" s="1"/>
  <c r="L123" i="21" s="1"/>
  <c r="M123" i="21" s="1"/>
  <c r="H42" i="21"/>
  <c r="AB28" i="35"/>
  <c r="U28" i="35"/>
  <c r="AA32" i="35"/>
  <c r="S32" i="35"/>
  <c r="F64" i="35"/>
  <c r="G64" i="35" s="1"/>
  <c r="J14" i="35"/>
  <c r="U23" i="35"/>
  <c r="AB23" i="35"/>
  <c r="F38" i="37"/>
  <c r="J38" i="37"/>
  <c r="AA8" i="39"/>
  <c r="S8" i="39"/>
  <c r="H45" i="39"/>
  <c r="F45" i="39"/>
  <c r="J45" i="39"/>
  <c r="AB40" i="40"/>
  <c r="U40" i="40"/>
  <c r="BM5" i="3"/>
  <c r="F29" i="6" s="1"/>
  <c r="C5" i="11"/>
  <c r="H5" i="3"/>
  <c r="K144" i="21"/>
  <c r="K145" i="21"/>
  <c r="AZ303" i="3"/>
  <c r="AZ335" i="3"/>
  <c r="AZ349" i="3"/>
  <c r="AZ352" i="3"/>
  <c r="AZ358" i="3"/>
  <c r="AZ371" i="3"/>
  <c r="AZ124" i="3"/>
  <c r="BA25" i="3"/>
  <c r="AZ25" i="3" s="1"/>
  <c r="BB5" i="3"/>
  <c r="BF5" i="3"/>
  <c r="BC5" i="3"/>
  <c r="BK5" i="3"/>
  <c r="AC5" i="3"/>
  <c r="K8" i="1"/>
  <c r="M8" i="1" s="1"/>
  <c r="B8" i="1"/>
  <c r="E8" i="1" s="1"/>
  <c r="G1" i="15"/>
  <c r="G1" i="67"/>
  <c r="AZ523" i="3"/>
  <c r="AZ567" i="3"/>
  <c r="AZ573" i="3"/>
  <c r="AZ524" i="3"/>
  <c r="AZ570" i="3"/>
  <c r="AC14" i="37"/>
  <c r="W14" i="37"/>
  <c r="S13" i="39"/>
  <c r="AA13" i="39"/>
  <c r="AB12" i="40"/>
  <c r="U12" i="40"/>
  <c r="AB29" i="34"/>
  <c r="U29" i="34"/>
  <c r="U14" i="33"/>
  <c r="AB14" i="33"/>
  <c r="S29" i="37"/>
  <c r="AA29" i="37"/>
  <c r="U28" i="36"/>
  <c r="AB28" i="36"/>
  <c r="AC46" i="34"/>
  <c r="W46" i="34"/>
  <c r="AB30" i="34"/>
  <c r="U30" i="34"/>
  <c r="S31" i="21"/>
  <c r="AA31" i="21"/>
  <c r="AA27" i="21"/>
  <c r="S27" i="21"/>
  <c r="AA28" i="36"/>
  <c r="S28" i="36"/>
  <c r="S33" i="35"/>
  <c r="AA33" i="35"/>
  <c r="AA28" i="21"/>
  <c r="S28" i="21"/>
  <c r="AA44" i="34"/>
  <c r="S44" i="34"/>
  <c r="AA23" i="40"/>
  <c r="S23" i="40"/>
  <c r="AA36" i="40"/>
  <c r="S36" i="40"/>
  <c r="AA32" i="33"/>
  <c r="S32" i="33"/>
  <c r="W23" i="34"/>
  <c r="AC23" i="34"/>
  <c r="S16" i="35"/>
  <c r="AA16" i="35"/>
  <c r="AC16" i="35"/>
  <c r="W16" i="35"/>
  <c r="AA33" i="36"/>
  <c r="S33" i="36"/>
  <c r="AA22" i="35"/>
  <c r="S22" i="35"/>
  <c r="AC27" i="39"/>
  <c r="W27" i="39"/>
  <c r="AA31" i="39"/>
  <c r="S31" i="39"/>
  <c r="AB39" i="33"/>
  <c r="U39" i="33"/>
  <c r="U39" i="21"/>
  <c r="AB39" i="21"/>
  <c r="G587" i="3"/>
  <c r="G585" i="3"/>
  <c r="BL586" i="3"/>
  <c r="AZ586" i="3" s="1"/>
  <c r="BA585" i="3"/>
  <c r="AZ585" i="3" s="1"/>
  <c r="AB13" i="21"/>
  <c r="U13" i="21"/>
  <c r="F14" i="21"/>
  <c r="H14" i="21"/>
  <c r="J27" i="21"/>
  <c r="H27" i="21"/>
  <c r="H31" i="21"/>
  <c r="J31" i="21"/>
  <c r="F23" i="21"/>
  <c r="J23" i="21"/>
  <c r="H23" i="21"/>
  <c r="E79" i="21"/>
  <c r="F17" i="21"/>
  <c r="B71" i="43"/>
  <c r="C21" i="39"/>
  <c r="B60" i="43"/>
  <c r="B74" i="43"/>
  <c r="B65" i="43"/>
  <c r="AA9" i="21"/>
  <c r="S9" i="21"/>
  <c r="AB9" i="33"/>
  <c r="U9" i="33"/>
  <c r="AA15" i="33"/>
  <c r="S15" i="33"/>
  <c r="AA38" i="33"/>
  <c r="S38" i="33"/>
  <c r="AA10" i="34"/>
  <c r="S10" i="34"/>
  <c r="J9" i="34"/>
  <c r="F9" i="34"/>
  <c r="AB43" i="34"/>
  <c r="U43" i="34"/>
  <c r="W9" i="35"/>
  <c r="AC9" i="35"/>
  <c r="J12" i="36"/>
  <c r="F12" i="36"/>
  <c r="H23" i="36"/>
  <c r="F23" i="36"/>
  <c r="J23" i="36"/>
  <c r="H33" i="36"/>
  <c r="J33" i="36"/>
  <c r="W31" i="36"/>
  <c r="AC31" i="36"/>
  <c r="AB8" i="37"/>
  <c r="U8" i="37"/>
  <c r="F13" i="37"/>
  <c r="J13" i="37"/>
  <c r="E99" i="39"/>
  <c r="J25" i="39"/>
  <c r="H25" i="39"/>
  <c r="AB8" i="40"/>
  <c r="U8" i="40"/>
  <c r="S9" i="40"/>
  <c r="AA9" i="40"/>
  <c r="F38" i="40"/>
  <c r="J38" i="40"/>
  <c r="F36" i="33"/>
  <c r="H36" i="33"/>
  <c r="H87" i="35"/>
  <c r="F29" i="35" s="1"/>
  <c r="BL578" i="3"/>
  <c r="AZ578" i="3" s="1"/>
  <c r="BL576" i="3"/>
  <c r="AZ576" i="3" s="1"/>
  <c r="BL571" i="3"/>
  <c r="BA571" i="3"/>
  <c r="BL569" i="3"/>
  <c r="BA569" i="3"/>
  <c r="BL568" i="3"/>
  <c r="AZ568" i="3" s="1"/>
  <c r="BL566" i="3"/>
  <c r="BA566" i="3"/>
  <c r="BL561" i="3"/>
  <c r="AZ561" i="3" s="1"/>
  <c r="BL554" i="3"/>
  <c r="BA554" i="3"/>
  <c r="BL553" i="3"/>
  <c r="BA553" i="3"/>
  <c r="BA552" i="3"/>
  <c r="AZ552" i="3" s="1"/>
  <c r="BL551" i="3"/>
  <c r="BA551" i="3"/>
  <c r="D7" i="12"/>
  <c r="K7" i="1"/>
  <c r="BL16" i="3"/>
  <c r="AZ16" i="3" s="1"/>
  <c r="BN5" i="3"/>
  <c r="G29" i="6" s="1"/>
  <c r="O10" i="1"/>
  <c r="P10" i="1" s="1"/>
  <c r="E10" i="43"/>
  <c r="E8" i="43"/>
  <c r="AZ323" i="3"/>
  <c r="T47" i="71"/>
  <c r="D47" i="71"/>
  <c r="C15" i="71"/>
  <c r="D14" i="71"/>
  <c r="T11" i="71"/>
  <c r="C10" i="71"/>
  <c r="D11" i="71"/>
  <c r="U11" i="71" s="1"/>
  <c r="J24" i="36"/>
  <c r="H24" i="36"/>
  <c r="G575" i="3"/>
  <c r="G550" i="3"/>
  <c r="G528" i="3"/>
  <c r="BA493" i="3"/>
  <c r="AZ493" i="3" s="1"/>
  <c r="BL15" i="3"/>
  <c r="AZ409" i="3"/>
  <c r="AZ419" i="3"/>
  <c r="AZ440" i="3"/>
  <c r="AZ464" i="3"/>
  <c r="AZ471" i="3"/>
  <c r="AZ474" i="3"/>
  <c r="AZ476" i="3"/>
  <c r="AZ478" i="3"/>
  <c r="BQ5" i="3"/>
  <c r="F28" i="6" s="1"/>
  <c r="AZ217" i="3"/>
  <c r="AZ221" i="3"/>
  <c r="AZ230" i="3"/>
  <c r="AZ239" i="3"/>
  <c r="AZ244" i="3"/>
  <c r="AZ258" i="3"/>
  <c r="AZ274" i="3"/>
  <c r="AZ301" i="3"/>
  <c r="AZ122" i="3"/>
  <c r="AZ125" i="3"/>
  <c r="AZ161" i="3"/>
  <c r="AZ185" i="3"/>
  <c r="AZ207" i="3"/>
  <c r="AZ23" i="3"/>
  <c r="AZ40" i="3"/>
  <c r="AZ49" i="3"/>
  <c r="AZ54" i="3"/>
  <c r="AZ60" i="3"/>
  <c r="AZ76" i="3"/>
  <c r="AZ90" i="3"/>
  <c r="AZ92" i="3"/>
  <c r="AZ96" i="3"/>
  <c r="P13" i="1"/>
  <c r="BR5" i="3"/>
  <c r="G28" i="6" s="1"/>
  <c r="T23" i="71"/>
  <c r="D23" i="71"/>
  <c r="C18" i="71"/>
  <c r="D17" i="71"/>
  <c r="M100" i="43"/>
  <c r="I100" i="43"/>
  <c r="E100" i="43"/>
  <c r="D100" i="43"/>
  <c r="U18" i="35"/>
  <c r="W18" i="36"/>
  <c r="AB29" i="39"/>
  <c r="S21" i="21"/>
  <c r="S21" i="34"/>
  <c r="S18" i="36"/>
  <c r="S25" i="40"/>
  <c r="D22" i="71"/>
  <c r="C69" i="71"/>
  <c r="D69" i="71" s="1"/>
  <c r="AA10" i="71"/>
  <c r="AA8" i="71"/>
  <c r="AB8" i="71"/>
  <c r="X3" i="71"/>
  <c r="X9" i="71"/>
  <c r="Y11" i="71"/>
  <c r="Z11" i="71" s="1"/>
  <c r="Y10" i="71"/>
  <c r="Z10" i="71" s="1"/>
  <c r="Y9" i="71"/>
  <c r="Z9" i="71" s="1"/>
  <c r="Y8" i="71"/>
  <c r="Z8" i="71" s="1"/>
  <c r="Y3" i="71"/>
  <c r="Z3" i="71" s="1"/>
  <c r="AB20" i="71"/>
  <c r="AA18" i="71"/>
  <c r="AB16" i="71"/>
  <c r="Y16" i="71"/>
  <c r="Z16" i="71" s="1"/>
  <c r="M56" i="9"/>
  <c r="N56" i="9"/>
  <c r="G1" i="73"/>
  <c r="S45" i="33" l="1"/>
  <c r="AA45" i="33"/>
  <c r="D66" i="71"/>
  <c r="C65" i="71"/>
  <c r="D65" i="71" s="1"/>
  <c r="S21" i="33"/>
  <c r="AA21" i="33"/>
  <c r="U21" i="21"/>
  <c r="AB21" i="21"/>
  <c r="AC39" i="40"/>
  <c r="W39" i="40"/>
  <c r="AA37" i="39"/>
  <c r="S37" i="39"/>
  <c r="S34" i="36"/>
  <c r="AA34" i="36"/>
  <c r="AA9" i="36"/>
  <c r="S9" i="36"/>
  <c r="W20" i="35"/>
  <c r="AC20" i="35"/>
  <c r="AA14" i="35"/>
  <c r="S14" i="35"/>
  <c r="AC19" i="33"/>
  <c r="W19" i="33"/>
  <c r="W28" i="37"/>
  <c r="AC28" i="37"/>
  <c r="AA43" i="39"/>
  <c r="S43" i="39"/>
  <c r="U33" i="40"/>
  <c r="AB33" i="40"/>
  <c r="U26" i="33"/>
  <c r="AB26" i="33"/>
  <c r="AC26" i="33"/>
  <c r="W26" i="33"/>
  <c r="U27" i="39"/>
  <c r="AB27" i="39"/>
  <c r="AZ517" i="3"/>
  <c r="AZ519" i="3"/>
  <c r="J7" i="36"/>
  <c r="J7" i="79"/>
  <c r="W7" i="79" s="1"/>
  <c r="AZ148" i="3"/>
  <c r="D58" i="71"/>
  <c r="C57" i="71"/>
  <c r="D57" i="71" s="1"/>
  <c r="AZ93" i="3"/>
  <c r="AZ85" i="3"/>
  <c r="AZ83" i="3"/>
  <c r="AZ81" i="3"/>
  <c r="AZ173" i="3"/>
  <c r="AZ299" i="3"/>
  <c r="AZ253" i="3"/>
  <c r="AZ251" i="3"/>
  <c r="AZ249" i="3"/>
  <c r="AZ247" i="3"/>
  <c r="AZ209" i="3"/>
  <c r="AZ385" i="3"/>
  <c r="AZ317" i="3"/>
  <c r="AZ483" i="3"/>
  <c r="AZ429" i="3"/>
  <c r="AZ427" i="3"/>
  <c r="AZ402" i="3"/>
  <c r="U39" i="40"/>
  <c r="AB39" i="40"/>
  <c r="W37" i="39"/>
  <c r="AC37" i="39"/>
  <c r="U34" i="36"/>
  <c r="AB34" i="36"/>
  <c r="U28" i="37"/>
  <c r="AB28" i="37"/>
  <c r="AB14" i="39"/>
  <c r="U14" i="39"/>
  <c r="S21" i="39"/>
  <c r="AA21" i="39"/>
  <c r="AC9" i="21"/>
  <c r="W9" i="21"/>
  <c r="AC25" i="37"/>
  <c r="W25" i="37"/>
  <c r="W26" i="35"/>
  <c r="AC26" i="35"/>
  <c r="F99" i="39"/>
  <c r="G99" i="39" s="1"/>
  <c r="F25" i="39"/>
  <c r="AC7" i="79"/>
  <c r="V48" i="79" s="1"/>
  <c r="I48" i="79" s="1"/>
  <c r="AZ495" i="3"/>
  <c r="AZ528" i="3"/>
  <c r="AZ530" i="3"/>
  <c r="AZ496" i="3"/>
  <c r="AZ511" i="3"/>
  <c r="H7" i="35"/>
  <c r="U7" i="35" s="1"/>
  <c r="AZ14" i="3"/>
  <c r="F7" i="79"/>
  <c r="H7" i="79"/>
  <c r="S9" i="33"/>
  <c r="AA9" i="33"/>
  <c r="AC35" i="39"/>
  <c r="W35" i="39"/>
  <c r="D125" i="9"/>
  <c r="D11" i="52" s="1"/>
  <c r="H14" i="74"/>
  <c r="B7" i="74" s="1"/>
  <c r="D10" i="52"/>
  <c r="AC44" i="39"/>
  <c r="W44" i="39"/>
  <c r="AC23" i="35"/>
  <c r="W23" i="35"/>
  <c r="AZ553" i="3"/>
  <c r="AZ554" i="3"/>
  <c r="AZ569" i="3"/>
  <c r="AZ571" i="3"/>
  <c r="H29" i="35"/>
  <c r="U29" i="35" s="1"/>
  <c r="AC9" i="33"/>
  <c r="W9" i="33"/>
  <c r="AA23" i="35"/>
  <c r="S23" i="35"/>
  <c r="AC15" i="33"/>
  <c r="W15" i="33"/>
  <c r="D17" i="53"/>
  <c r="B36" i="72" s="1"/>
  <c r="B34" i="72"/>
  <c r="U26" i="35"/>
  <c r="AB26" i="35"/>
  <c r="AB35" i="39"/>
  <c r="U35" i="39"/>
  <c r="AB44" i="39"/>
  <c r="U44" i="39"/>
  <c r="K59" i="34"/>
  <c r="C104" i="43"/>
  <c r="K102" i="43"/>
  <c r="C105" i="43"/>
  <c r="E107" i="43"/>
  <c r="E103" i="43"/>
  <c r="E105" i="43"/>
  <c r="D22" i="43"/>
  <c r="E106" i="43"/>
  <c r="E109" i="43"/>
  <c r="E104" i="43"/>
  <c r="G30" i="6"/>
  <c r="G31" i="6" s="1"/>
  <c r="C102" i="43"/>
  <c r="C109" i="43"/>
  <c r="C107" i="43"/>
  <c r="K106" i="43"/>
  <c r="K105" i="43"/>
  <c r="K107" i="43"/>
  <c r="K103" i="43"/>
  <c r="K4" i="4"/>
  <c r="B46" i="48" s="1"/>
  <c r="B4" i="72" s="1"/>
  <c r="B40" i="1"/>
  <c r="F25" i="12" s="1"/>
  <c r="C26" i="12" s="1"/>
  <c r="D25" i="12" s="1"/>
  <c r="I52" i="79"/>
  <c r="J52" i="79" s="1"/>
  <c r="S29" i="35"/>
  <c r="AA29" i="35"/>
  <c r="E28" i="6"/>
  <c r="F30" i="6"/>
  <c r="AB24" i="36"/>
  <c r="U24" i="36"/>
  <c r="D15" i="71"/>
  <c r="T15" i="71"/>
  <c r="C7" i="43"/>
  <c r="H16" i="1"/>
  <c r="M7" i="1"/>
  <c r="Q16" i="1"/>
  <c r="F27" i="68" s="1"/>
  <c r="AZ551" i="3"/>
  <c r="AZ566" i="3"/>
  <c r="AB36" i="33"/>
  <c r="U36" i="33"/>
  <c r="AC38" i="40"/>
  <c r="W38" i="40"/>
  <c r="AB25" i="39"/>
  <c r="U25" i="39"/>
  <c r="S13" i="37"/>
  <c r="AA13" i="37"/>
  <c r="AB33" i="36"/>
  <c r="U33" i="36"/>
  <c r="AA23" i="36"/>
  <c r="S23" i="36"/>
  <c r="AA12" i="36"/>
  <c r="S12" i="36"/>
  <c r="AA9" i="34"/>
  <c r="S9" i="34"/>
  <c r="J17" i="21"/>
  <c r="F79" i="21"/>
  <c r="G79" i="21" s="1"/>
  <c r="AC23" i="21"/>
  <c r="W23" i="21"/>
  <c r="W31" i="21"/>
  <c r="AC31" i="21"/>
  <c r="AB27" i="21"/>
  <c r="U27" i="21"/>
  <c r="U14" i="21"/>
  <c r="AB14" i="21"/>
  <c r="E29" i="6"/>
  <c r="S45" i="39"/>
  <c r="AA45" i="39"/>
  <c r="W38" i="37"/>
  <c r="AC38" i="37"/>
  <c r="AC14" i="35"/>
  <c r="W14" i="35"/>
  <c r="U42" i="21"/>
  <c r="AB42" i="21"/>
  <c r="S37" i="21"/>
  <c r="AA37" i="21"/>
  <c r="AB15" i="21"/>
  <c r="U15" i="21"/>
  <c r="AC29" i="21"/>
  <c r="W29" i="21"/>
  <c r="S7" i="35"/>
  <c r="AA7" i="35"/>
  <c r="S43" i="21"/>
  <c r="AA43" i="21"/>
  <c r="H69" i="21"/>
  <c r="F11" i="21"/>
  <c r="AA12" i="21"/>
  <c r="S12" i="21"/>
  <c r="N103" i="43"/>
  <c r="N107" i="43"/>
  <c r="N104" i="43"/>
  <c r="N105" i="43"/>
  <c r="N109" i="43"/>
  <c r="N106" i="43"/>
  <c r="N102" i="43"/>
  <c r="D117" i="43"/>
  <c r="E117" i="43" s="1"/>
  <c r="F117" i="43" s="1"/>
  <c r="G117" i="43" s="1"/>
  <c r="H117" i="43" s="1"/>
  <c r="B118" i="43"/>
  <c r="C118" i="43" s="1"/>
  <c r="I118" i="43"/>
  <c r="J118" i="43" s="1"/>
  <c r="K118" i="43" s="1"/>
  <c r="L118" i="43" s="1"/>
  <c r="M118" i="43" s="1"/>
  <c r="D116" i="43"/>
  <c r="E116" i="43" s="1"/>
  <c r="F116" i="43" s="1"/>
  <c r="G116" i="43" s="1"/>
  <c r="H116" i="43" s="1"/>
  <c r="B115" i="43"/>
  <c r="G118" i="43"/>
  <c r="H118" i="43" s="1"/>
  <c r="B117" i="43"/>
  <c r="C117" i="43" s="1"/>
  <c r="D118" i="43"/>
  <c r="E118" i="43" s="1"/>
  <c r="F118" i="43" s="1"/>
  <c r="B116" i="43"/>
  <c r="C116" i="43" s="1"/>
  <c r="I116" i="43"/>
  <c r="J116" i="43" s="1"/>
  <c r="K116" i="43" s="1"/>
  <c r="L116" i="43" s="1"/>
  <c r="M116" i="43" s="1"/>
  <c r="I115" i="43"/>
  <c r="J115" i="43" s="1"/>
  <c r="K115" i="43" s="1"/>
  <c r="L115" i="43" s="1"/>
  <c r="M115" i="43" s="1"/>
  <c r="I117" i="43"/>
  <c r="J117" i="43" s="1"/>
  <c r="K117" i="43" s="1"/>
  <c r="L117" i="43" s="1"/>
  <c r="M117" i="43" s="1"/>
  <c r="D115" i="43"/>
  <c r="E115" i="43" s="1"/>
  <c r="F115" i="43" s="1"/>
  <c r="G115" i="43" s="1"/>
  <c r="H115" i="43" s="1"/>
  <c r="D106" i="43"/>
  <c r="D103" i="43"/>
  <c r="D104" i="43"/>
  <c r="D105" i="43"/>
  <c r="D107" i="43"/>
  <c r="D102" i="43"/>
  <c r="D109" i="43"/>
  <c r="F107" i="43"/>
  <c r="F103" i="43"/>
  <c r="F104" i="43"/>
  <c r="F105" i="43"/>
  <c r="F106" i="43"/>
  <c r="F102" i="43"/>
  <c r="F109" i="43"/>
  <c r="C30" i="68"/>
  <c r="C48" i="68"/>
  <c r="W42" i="33"/>
  <c r="AC42" i="33"/>
  <c r="AA27" i="33"/>
  <c r="S27" i="33"/>
  <c r="W7" i="35"/>
  <c r="AC7" i="35"/>
  <c r="AB7" i="21"/>
  <c r="U7" i="21"/>
  <c r="R22" i="31"/>
  <c r="B21" i="31" s="1"/>
  <c r="B20" i="31"/>
  <c r="AZ497" i="3"/>
  <c r="AZ539" i="3"/>
  <c r="AZ541" i="3"/>
  <c r="AA7" i="21"/>
  <c r="S7" i="21"/>
  <c r="D65" i="40"/>
  <c r="E63" i="40"/>
  <c r="E52" i="37"/>
  <c r="I14" i="74"/>
  <c r="B8" i="74" s="1"/>
  <c r="D12" i="52"/>
  <c r="D127" i="9"/>
  <c r="D13" i="52" s="1"/>
  <c r="W11" i="39"/>
  <c r="AC11" i="39"/>
  <c r="H81" i="39"/>
  <c r="I81" i="39" s="1"/>
  <c r="J81" i="39" s="1"/>
  <c r="K81" i="39" s="1"/>
  <c r="L81" i="39" s="1"/>
  <c r="M81" i="39" s="1"/>
  <c r="H11" i="39"/>
  <c r="U32" i="40"/>
  <c r="AB32" i="40"/>
  <c r="AB7" i="35"/>
  <c r="U7" i="36"/>
  <c r="AB7" i="36"/>
  <c r="T36" i="36" s="1"/>
  <c r="G36" i="36" s="1"/>
  <c r="F11" i="67"/>
  <c r="F11" i="15"/>
  <c r="M11" i="15"/>
  <c r="M11" i="67"/>
  <c r="J10" i="67" s="1"/>
  <c r="C19" i="71"/>
  <c r="D18" i="71"/>
  <c r="AZ15" i="3"/>
  <c r="BL5" i="3"/>
  <c r="AC24" i="36"/>
  <c r="W24" i="36"/>
  <c r="C9" i="71"/>
  <c r="D10" i="71"/>
  <c r="AB29" i="35"/>
  <c r="J29" i="35"/>
  <c r="I87" i="35"/>
  <c r="J87" i="35" s="1"/>
  <c r="K87" i="35" s="1"/>
  <c r="L87" i="35" s="1"/>
  <c r="M87" i="35" s="1"/>
  <c r="AA36" i="33"/>
  <c r="S36" i="33"/>
  <c r="AA38" i="40"/>
  <c r="S38" i="40"/>
  <c r="AC25" i="39"/>
  <c r="W25" i="39"/>
  <c r="AC13" i="37"/>
  <c r="W13" i="37"/>
  <c r="W33" i="36"/>
  <c r="AC33" i="36"/>
  <c r="AC23" i="36"/>
  <c r="W23" i="36"/>
  <c r="U23" i="36"/>
  <c r="AB23" i="36"/>
  <c r="W12" i="36"/>
  <c r="AC12" i="36"/>
  <c r="AC9" i="34"/>
  <c r="W9" i="34"/>
  <c r="AA17" i="21"/>
  <c r="S17" i="21"/>
  <c r="AB23" i="21"/>
  <c r="U23" i="21"/>
  <c r="S23" i="21"/>
  <c r="AA23" i="21"/>
  <c r="AB31" i="21"/>
  <c r="U31" i="21"/>
  <c r="W27" i="21"/>
  <c r="AC27" i="21"/>
  <c r="AA14" i="21"/>
  <c r="S14" i="21"/>
  <c r="O8" i="1"/>
  <c r="P8" i="1" s="1"/>
  <c r="E5" i="6"/>
  <c r="D9" i="68" s="1"/>
  <c r="C9" i="68" s="1"/>
  <c r="E8" i="6"/>
  <c r="E12" i="6"/>
  <c r="E14" i="6"/>
  <c r="E13" i="6"/>
  <c r="E11" i="6"/>
  <c r="E15" i="6"/>
  <c r="E10" i="6"/>
  <c r="W45" i="39"/>
  <c r="AC45" i="39"/>
  <c r="U45" i="39"/>
  <c r="AB45" i="39"/>
  <c r="S38" i="37"/>
  <c r="AA38" i="37"/>
  <c r="AC37" i="21"/>
  <c r="W37" i="21"/>
  <c r="U37" i="21"/>
  <c r="AB37" i="21"/>
  <c r="AA15" i="21"/>
  <c r="S15" i="21"/>
  <c r="AA29" i="21"/>
  <c r="S29" i="21"/>
  <c r="S7" i="36"/>
  <c r="AA7" i="36"/>
  <c r="R36" i="36" s="1"/>
  <c r="AB43" i="21"/>
  <c r="U43" i="21"/>
  <c r="AC43" i="21"/>
  <c r="W43" i="21"/>
  <c r="W11" i="21"/>
  <c r="AC11" i="21"/>
  <c r="U12" i="21"/>
  <c r="AB12" i="21"/>
  <c r="M106" i="43"/>
  <c r="M109" i="43"/>
  <c r="M104" i="43"/>
  <c r="M103" i="43"/>
  <c r="M105" i="43"/>
  <c r="M102" i="43"/>
  <c r="M107" i="43"/>
  <c r="J105" i="43"/>
  <c r="J103" i="43"/>
  <c r="J109" i="43"/>
  <c r="J102" i="43"/>
  <c r="J104" i="43"/>
  <c r="J106" i="43"/>
  <c r="J107" i="43"/>
  <c r="I104" i="43"/>
  <c r="I105" i="43"/>
  <c r="I102" i="43"/>
  <c r="I109" i="43"/>
  <c r="I106" i="43"/>
  <c r="I107" i="43"/>
  <c r="I103" i="43"/>
  <c r="H103" i="43"/>
  <c r="H104" i="43"/>
  <c r="H107" i="43"/>
  <c r="H106" i="43"/>
  <c r="H102" i="43"/>
  <c r="H105" i="43"/>
  <c r="H109" i="43"/>
  <c r="C30" i="11"/>
  <c r="C48" i="11"/>
  <c r="F58" i="33"/>
  <c r="G58" i="33" s="1"/>
  <c r="H58" i="33" s="1"/>
  <c r="I58" i="33" s="1"/>
  <c r="J58" i="33" s="1"/>
  <c r="K58" i="33" s="1"/>
  <c r="L58" i="33" s="1"/>
  <c r="M58" i="33" s="1"/>
  <c r="N58" i="33" s="1"/>
  <c r="O58" i="33" s="1"/>
  <c r="H7" i="33"/>
  <c r="AA43" i="33"/>
  <c r="S43" i="33"/>
  <c r="AB43" i="33"/>
  <c r="U43" i="33"/>
  <c r="U42" i="33"/>
  <c r="AB42" i="33"/>
  <c r="W27" i="33"/>
  <c r="AC27" i="33"/>
  <c r="G5" i="3"/>
  <c r="B3" i="3" s="1"/>
  <c r="E575" i="3" s="1"/>
  <c r="BA5" i="3"/>
  <c r="W7" i="21"/>
  <c r="AC7" i="21"/>
  <c r="B38" i="72"/>
  <c r="D20" i="53"/>
  <c r="B40" i="72" s="1"/>
  <c r="AZ500" i="3"/>
  <c r="AZ501" i="3"/>
  <c r="AZ502" i="3"/>
  <c r="AZ509" i="3"/>
  <c r="AZ516" i="3"/>
  <c r="AZ518" i="3"/>
  <c r="F11" i="39"/>
  <c r="S32" i="40"/>
  <c r="AA32" i="40"/>
  <c r="AC32" i="40"/>
  <c r="W32" i="40"/>
  <c r="D70" i="39"/>
  <c r="E68" i="39"/>
  <c r="AC7" i="36"/>
  <c r="V36" i="36" s="1"/>
  <c r="I36" i="36" s="1"/>
  <c r="W7" i="36"/>
  <c r="G16" i="1"/>
  <c r="O17" i="43"/>
  <c r="N17" i="43"/>
  <c r="P17" i="43"/>
  <c r="M17" i="43"/>
  <c r="F40" i="15"/>
  <c r="M23" i="15"/>
  <c r="M9" i="67"/>
  <c r="F37" i="15"/>
  <c r="F7" i="15"/>
  <c r="F36" i="15"/>
  <c r="F37" i="67"/>
  <c r="M28" i="15"/>
  <c r="F13" i="67"/>
  <c r="F9" i="15"/>
  <c r="L47" i="67"/>
  <c r="F8" i="67"/>
  <c r="M23" i="67"/>
  <c r="F13" i="15"/>
  <c r="M26" i="15"/>
  <c r="F38" i="15"/>
  <c r="M21" i="67"/>
  <c r="F8" i="15"/>
  <c r="F26" i="67"/>
  <c r="F38" i="67"/>
  <c r="M6" i="67"/>
  <c r="M22" i="15"/>
  <c r="L48" i="15"/>
  <c r="M6" i="15"/>
  <c r="F42" i="15"/>
  <c r="M27" i="15"/>
  <c r="F36" i="67"/>
  <c r="M29" i="67"/>
  <c r="F9" i="67"/>
  <c r="F26" i="15"/>
  <c r="F41" i="67"/>
  <c r="F40" i="67"/>
  <c r="M8" i="67"/>
  <c r="F6" i="15"/>
  <c r="M21" i="15"/>
  <c r="F35" i="67"/>
  <c r="J15" i="15"/>
  <c r="M8" i="15"/>
  <c r="J15" i="67"/>
  <c r="F7" i="67"/>
  <c r="F41" i="15"/>
  <c r="M29" i="15"/>
  <c r="M26" i="67"/>
  <c r="M27" i="67"/>
  <c r="M24" i="15"/>
  <c r="L47" i="15"/>
  <c r="F42" i="67"/>
  <c r="F43" i="15"/>
  <c r="L48" i="67"/>
  <c r="F6" i="67"/>
  <c r="C76" i="15"/>
  <c r="F35" i="15"/>
  <c r="F16" i="15"/>
  <c r="F16" i="67"/>
  <c r="M22" i="67"/>
  <c r="F43" i="67"/>
  <c r="M28" i="67"/>
  <c r="C76" i="67"/>
  <c r="C14" i="15"/>
  <c r="M24" i="67"/>
  <c r="M9" i="15"/>
  <c r="S25" i="39" l="1"/>
  <c r="AA25" i="39"/>
  <c r="C47" i="68"/>
  <c r="D45" i="68" s="1"/>
  <c r="C29" i="68"/>
  <c r="D27" i="68" s="1"/>
  <c r="L59" i="34"/>
  <c r="M59" i="34" s="1"/>
  <c r="N59" i="34" s="1"/>
  <c r="O59" i="34" s="1"/>
  <c r="AA7" i="79"/>
  <c r="R48" i="79" s="1"/>
  <c r="S7" i="79"/>
  <c r="R38" i="35"/>
  <c r="F7" i="34"/>
  <c r="U7" i="79"/>
  <c r="AB7" i="79"/>
  <c r="T48" i="79" s="1"/>
  <c r="G48" i="79" s="1"/>
  <c r="F22" i="68"/>
  <c r="C44" i="68" s="1"/>
  <c r="D41" i="68" s="1"/>
  <c r="F24" i="67"/>
  <c r="C24" i="67" s="1"/>
  <c r="F24" i="15"/>
  <c r="C24" i="15" s="1"/>
  <c r="F22" i="11"/>
  <c r="C26" i="11" s="1"/>
  <c r="D22" i="11" s="1"/>
  <c r="F22" i="69"/>
  <c r="C44" i="69" s="1"/>
  <c r="D41" i="69" s="1"/>
  <c r="C6" i="15"/>
  <c r="C27" i="15"/>
  <c r="L56" i="15"/>
  <c r="J57" i="15"/>
  <c r="J55" i="15" s="1"/>
  <c r="J58" i="15" s="1"/>
  <c r="Q50" i="15" s="1"/>
  <c r="I54" i="15"/>
  <c r="F65" i="15"/>
  <c r="F63" i="15"/>
  <c r="C62" i="15" s="1"/>
  <c r="C34" i="15"/>
  <c r="J20" i="15"/>
  <c r="F71" i="15"/>
  <c r="F68" i="15"/>
  <c r="F51" i="15"/>
  <c r="F50" i="15"/>
  <c r="M7" i="15"/>
  <c r="J6" i="15" s="1"/>
  <c r="Q71" i="67"/>
  <c r="F71" i="67"/>
  <c r="C6" i="67"/>
  <c r="N59" i="67"/>
  <c r="L58" i="67"/>
  <c r="L59" i="67"/>
  <c r="M59" i="67"/>
  <c r="C27" i="67"/>
  <c r="F69" i="67"/>
  <c r="C18" i="15"/>
  <c r="C15" i="15"/>
  <c r="F66" i="15"/>
  <c r="Q71" i="15"/>
  <c r="F69" i="15"/>
  <c r="F64" i="15"/>
  <c r="L58" i="15"/>
  <c r="N59" i="15"/>
  <c r="L59" i="15"/>
  <c r="M59" i="15"/>
  <c r="M7" i="67"/>
  <c r="J6" i="67" s="1"/>
  <c r="J5" i="67" s="1"/>
  <c r="F50" i="67"/>
  <c r="J20" i="67"/>
  <c r="F64" i="67"/>
  <c r="F68" i="67"/>
  <c r="F66" i="67"/>
  <c r="F65" i="67"/>
  <c r="F51" i="67"/>
  <c r="C49" i="67" s="1"/>
  <c r="L56" i="67"/>
  <c r="I54" i="67"/>
  <c r="J57" i="67"/>
  <c r="J55" i="67" s="1"/>
  <c r="J58" i="67" s="1"/>
  <c r="Q50" i="67" s="1"/>
  <c r="F63" i="67"/>
  <c r="C62" i="67" s="1"/>
  <c r="C34" i="67"/>
  <c r="F70" i="67"/>
  <c r="C26" i="69"/>
  <c r="D22" i="69" s="1"/>
  <c r="E70" i="39"/>
  <c r="F68" i="39"/>
  <c r="AA11" i="39"/>
  <c r="S11" i="39"/>
  <c r="U7" i="33"/>
  <c r="AB7" i="33"/>
  <c r="T48" i="33" s="1"/>
  <c r="G48" i="33" s="1"/>
  <c r="R37" i="36"/>
  <c r="E36" i="36"/>
  <c r="E56" i="40"/>
  <c r="E61" i="39"/>
  <c r="E59" i="40"/>
  <c r="E64" i="39"/>
  <c r="F27" i="6"/>
  <c r="F31" i="6" s="1"/>
  <c r="E56" i="39"/>
  <c r="E51" i="40"/>
  <c r="E16" i="6"/>
  <c r="C53" i="15"/>
  <c r="C10" i="15"/>
  <c r="U11" i="39"/>
  <c r="AB11" i="39"/>
  <c r="F52" i="37"/>
  <c r="G52" i="37" s="1"/>
  <c r="H52" i="37" s="1"/>
  <c r="I52" i="37" s="1"/>
  <c r="J52" i="37" s="1"/>
  <c r="K52" i="37" s="1"/>
  <c r="L52" i="37" s="1"/>
  <c r="M52" i="37" s="1"/>
  <c r="N52" i="37" s="1"/>
  <c r="O52" i="37" s="1"/>
  <c r="F7" i="37"/>
  <c r="C115" i="43"/>
  <c r="D113" i="43" s="1"/>
  <c r="S11" i="21"/>
  <c r="AA11" i="21"/>
  <c r="R48" i="21" s="1"/>
  <c r="E38" i="35"/>
  <c r="L19" i="6"/>
  <c r="L27" i="6" s="1"/>
  <c r="K15" i="1"/>
  <c r="F27" i="11"/>
  <c r="F28" i="12"/>
  <c r="C29" i="12" s="1"/>
  <c r="D28" i="12" s="1"/>
  <c r="F27" i="69"/>
  <c r="F7" i="33"/>
  <c r="H10" i="39"/>
  <c r="F10" i="40"/>
  <c r="J10" i="39"/>
  <c r="F10" i="39"/>
  <c r="H10" i="40"/>
  <c r="J10" i="40"/>
  <c r="I40" i="36"/>
  <c r="J40" i="36" s="1"/>
  <c r="E237" i="3"/>
  <c r="E261" i="3"/>
  <c r="E395" i="3"/>
  <c r="E172" i="3"/>
  <c r="E260" i="3"/>
  <c r="E17" i="3"/>
  <c r="E329" i="3"/>
  <c r="E583" i="3"/>
  <c r="X6" i="3"/>
  <c r="E461" i="3"/>
  <c r="E352" i="3"/>
  <c r="E227" i="3"/>
  <c r="E205" i="3"/>
  <c r="E293" i="3"/>
  <c r="E270" i="3"/>
  <c r="E390" i="3"/>
  <c r="AR6" i="3"/>
  <c r="V6" i="3"/>
  <c r="E418" i="3"/>
  <c r="E439" i="3"/>
  <c r="E380" i="3"/>
  <c r="E321" i="3"/>
  <c r="E231" i="3"/>
  <c r="E298" i="3"/>
  <c r="E216" i="3"/>
  <c r="E130" i="3"/>
  <c r="E61" i="3"/>
  <c r="E135" i="3"/>
  <c r="E290" i="3"/>
  <c r="E161" i="3"/>
  <c r="E207" i="3"/>
  <c r="E252" i="3"/>
  <c r="E271" i="3"/>
  <c r="E204" i="3"/>
  <c r="E145" i="3"/>
  <c r="E164" i="3"/>
  <c r="E107" i="3"/>
  <c r="E369" i="3"/>
  <c r="E543" i="3"/>
  <c r="E437" i="3"/>
  <c r="E458" i="3"/>
  <c r="E175" i="3"/>
  <c r="E343" i="3"/>
  <c r="E305" i="3"/>
  <c r="E508" i="3"/>
  <c r="E388" i="3"/>
  <c r="E555" i="3"/>
  <c r="E410" i="3"/>
  <c r="E337" i="3"/>
  <c r="E143" i="3"/>
  <c r="E397" i="3"/>
  <c r="I6" i="3"/>
  <c r="E536" i="3"/>
  <c r="E549" i="3"/>
  <c r="E453" i="3"/>
  <c r="E368" i="3"/>
  <c r="E244" i="3"/>
  <c r="E196" i="3"/>
  <c r="E156" i="3"/>
  <c r="E148" i="3"/>
  <c r="E122" i="3"/>
  <c r="E140" i="3"/>
  <c r="E223" i="3"/>
  <c r="E197" i="3"/>
  <c r="E327" i="3"/>
  <c r="E576" i="3"/>
  <c r="Z6" i="3"/>
  <c r="AG6" i="3"/>
  <c r="AO6" i="3"/>
  <c r="E448" i="3"/>
  <c r="E478" i="3"/>
  <c r="E485" i="3"/>
  <c r="E548" i="3"/>
  <c r="P6" i="3"/>
  <c r="E414" i="3"/>
  <c r="E400" i="3"/>
  <c r="E432" i="3"/>
  <c r="E443" i="3"/>
  <c r="E477" i="3"/>
  <c r="E345" i="3"/>
  <c r="E367" i="3"/>
  <c r="E558" i="3"/>
  <c r="E557" i="3"/>
  <c r="E547" i="3"/>
  <c r="E581" i="3"/>
  <c r="AS6"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513" i="3"/>
  <c r="E21" i="3"/>
  <c r="E366" i="3"/>
  <c r="E282" i="3"/>
  <c r="E159" i="3"/>
  <c r="E120" i="3"/>
  <c r="E277" i="3"/>
  <c r="E133" i="3"/>
  <c r="E312" i="3"/>
  <c r="AD6" i="3"/>
  <c r="E552" i="3"/>
  <c r="E421" i="3"/>
  <c r="E456" i="3"/>
  <c r="E486" i="3"/>
  <c r="E469" i="3"/>
  <c r="E507" i="3"/>
  <c r="E422" i="3"/>
  <c r="E408" i="3"/>
  <c r="E440" i="3"/>
  <c r="E451" i="3"/>
  <c r="E490" i="3"/>
  <c r="E360" i="3"/>
  <c r="E376" i="3"/>
  <c r="E556" i="3"/>
  <c r="AH6" i="3"/>
  <c r="J6" i="3"/>
  <c r="E13" i="3"/>
  <c r="E419" i="3"/>
  <c r="E468" i="3"/>
  <c r="E471" i="3"/>
  <c r="E401" i="3"/>
  <c r="E454" i="3"/>
  <c r="E55" i="3"/>
  <c r="E106" i="3"/>
  <c r="E73" i="3"/>
  <c r="E146" i="3"/>
  <c r="E198" i="3"/>
  <c r="E139" i="3"/>
  <c r="E256" i="3"/>
  <c r="E214" i="3"/>
  <c r="E243" i="3"/>
  <c r="E332" i="3"/>
  <c r="E391" i="3"/>
  <c r="E14" i="3"/>
  <c r="E31" i="3"/>
  <c r="E93" i="3"/>
  <c r="E75" i="3"/>
  <c r="E473" i="3"/>
  <c r="E455" i="3"/>
  <c r="E96" i="3"/>
  <c r="E217" i="3"/>
  <c r="E268" i="3"/>
  <c r="AJ6" i="3"/>
  <c r="E579" i="3"/>
  <c r="E431" i="3"/>
  <c r="E247" i="3"/>
  <c r="E201" i="3"/>
  <c r="E353" i="3"/>
  <c r="AN6" i="3"/>
  <c r="E586" i="3"/>
  <c r="E402" i="3"/>
  <c r="E303" i="3"/>
  <c r="E301" i="3"/>
  <c r="E191" i="3"/>
  <c r="E188" i="3"/>
  <c r="E157" i="3"/>
  <c r="E463" i="3"/>
  <c r="E40" i="3"/>
  <c r="E25" i="3"/>
  <c r="E108" i="3"/>
  <c r="E178" i="3"/>
  <c r="E150" i="3"/>
  <c r="E202" i="3"/>
  <c r="E242" i="3"/>
  <c r="E226" i="3"/>
  <c r="E351" i="3"/>
  <c r="E357" i="3"/>
  <c r="E318" i="3"/>
  <c r="AL6" i="3"/>
  <c r="E42" i="3"/>
  <c r="E94" i="3"/>
  <c r="E488" i="3"/>
  <c r="E482" i="3"/>
  <c r="E18" i="3"/>
  <c r="E78" i="3"/>
  <c r="E190" i="3"/>
  <c r="E220" i="3"/>
  <c r="E235" i="3"/>
  <c r="E383" i="3"/>
  <c r="E86" i="3"/>
  <c r="E49" i="3"/>
  <c r="E232" i="3"/>
  <c r="E370" i="3"/>
  <c r="E102" i="3"/>
  <c r="E287" i="3"/>
  <c r="E326" i="3"/>
  <c r="E83" i="3"/>
  <c r="E137" i="3"/>
  <c r="E234" i="3"/>
  <c r="E299" i="3"/>
  <c r="AQ6" i="3"/>
  <c r="E36" i="3"/>
  <c r="E123" i="3"/>
  <c r="E289" i="3"/>
  <c r="E364" i="3"/>
  <c r="E20" i="3"/>
  <c r="E176" i="3"/>
  <c r="E265" i="3"/>
  <c r="E524" i="3"/>
  <c r="E338" i="3"/>
  <c r="E361" i="3"/>
  <c r="E493" i="3"/>
  <c r="E535" i="3"/>
  <c r="E514" i="3"/>
  <c r="E185" i="3"/>
  <c r="S6" i="3"/>
  <c r="E563" i="3"/>
  <c r="E559" i="3"/>
  <c r="E330" i="3"/>
  <c r="E545" i="3"/>
  <c r="E506" i="3"/>
  <c r="AA6" i="3"/>
  <c r="E551" i="3"/>
  <c r="E114" i="3"/>
  <c r="E415" i="3"/>
  <c r="E213" i="3"/>
  <c r="E302" i="3"/>
  <c r="E567" i="3"/>
  <c r="E336" i="3"/>
  <c r="E246" i="3"/>
  <c r="E128" i="3"/>
  <c r="E358" i="3"/>
  <c r="AB6" i="3"/>
  <c r="E387" i="3"/>
  <c r="E294" i="3"/>
  <c r="E230" i="3"/>
  <c r="E134" i="3"/>
  <c r="E91" i="3"/>
  <c r="E180" i="3"/>
  <c r="E212" i="3"/>
  <c r="E167" i="3"/>
  <c r="E141" i="3"/>
  <c r="T6" i="3"/>
  <c r="E427" i="3"/>
  <c r="E319" i="3"/>
  <c r="E153" i="3"/>
  <c r="E328" i="3"/>
  <c r="E574" i="3"/>
  <c r="E285" i="3"/>
  <c r="E314" i="3"/>
  <c r="E16" i="3"/>
  <c r="E434" i="3"/>
  <c r="E296" i="3"/>
  <c r="E136" i="3"/>
  <c r="E269" i="3"/>
  <c r="E85" i="3"/>
  <c r="E116" i="3"/>
  <c r="E379" i="3"/>
  <c r="U6" i="3"/>
  <c r="E411" i="3"/>
  <c r="E466" i="3"/>
  <c r="E430" i="3"/>
  <c r="E449" i="3"/>
  <c r="E255" i="3"/>
  <c r="I3" i="6"/>
  <c r="AP6" i="3"/>
  <c r="E554"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553" i="3"/>
  <c r="E181" i="3"/>
  <c r="E224" i="3"/>
  <c r="E286" i="3"/>
  <c r="E499" i="3"/>
  <c r="E472" i="3"/>
  <c r="E481" i="3"/>
  <c r="E406" i="3"/>
  <c r="E424" i="3"/>
  <c r="E465" i="3"/>
  <c r="E344" i="3"/>
  <c r="AE6" i="3"/>
  <c r="E577" i="3"/>
  <c r="E429" i="3"/>
  <c r="E483" i="3"/>
  <c r="E433" i="3"/>
  <c r="E72" i="3"/>
  <c r="E111" i="3"/>
  <c r="E119" i="3"/>
  <c r="E279" i="3"/>
  <c r="E276" i="3"/>
  <c r="E333" i="3"/>
  <c r="L6" i="3"/>
  <c r="E32" i="3"/>
  <c r="E15" i="3"/>
  <c r="E100" i="3"/>
  <c r="E322" i="3"/>
  <c r="E396" i="3"/>
  <c r="E151" i="3"/>
  <c r="E578" i="3"/>
  <c r="E382" i="3"/>
  <c r="E245" i="3"/>
  <c r="E228" i="3"/>
  <c r="E420" i="3"/>
  <c r="E104" i="3"/>
  <c r="E115" i="3"/>
  <c r="E171" i="3"/>
  <c r="E281" i="3"/>
  <c r="E315" i="3"/>
  <c r="E362" i="3"/>
  <c r="E60" i="3"/>
  <c r="E428" i="3"/>
  <c r="E38" i="3"/>
  <c r="E174" i="3"/>
  <c r="E324" i="3"/>
  <c r="E35" i="3"/>
  <c r="E206" i="3"/>
  <c r="AF6" i="3"/>
  <c r="E158" i="3"/>
  <c r="E22" i="3"/>
  <c r="E194" i="3"/>
  <c r="E339" i="3"/>
  <c r="E52" i="3"/>
  <c r="E147" i="3"/>
  <c r="E50" i="3"/>
  <c r="E218" i="3"/>
  <c r="E101" i="3"/>
  <c r="E561" i="3"/>
  <c r="E564" i="3"/>
  <c r="E560" i="3"/>
  <c r="E165" i="3"/>
  <c r="K6" i="3"/>
  <c r="E523" i="3"/>
  <c r="E149" i="3"/>
  <c r="Q6" i="3"/>
  <c r="E69" i="3"/>
  <c r="E183" i="3"/>
  <c r="E347" i="3"/>
  <c r="E280" i="3"/>
  <c r="E311" i="3"/>
  <c r="E407" i="3"/>
  <c r="E215" i="3"/>
  <c r="E221" i="3"/>
  <c r="E253" i="3"/>
  <c r="E313" i="3"/>
  <c r="E405" i="3"/>
  <c r="E501" i="3"/>
  <c r="O6" i="3"/>
  <c r="E97" i="3"/>
  <c r="E306" i="3"/>
  <c r="E236" i="3"/>
  <c r="E238" i="3"/>
  <c r="E464" i="3"/>
  <c r="E416" i="3"/>
  <c r="E459" i="3"/>
  <c r="E566" i="3"/>
  <c r="E582" i="3"/>
  <c r="E520" i="3"/>
  <c r="E39" i="3"/>
  <c r="E57" i="3"/>
  <c r="E187" i="3"/>
  <c r="E155" i="3"/>
  <c r="E297" i="3"/>
  <c r="E348" i="3"/>
  <c r="E375" i="3"/>
  <c r="E58" i="3"/>
  <c r="E540" i="3"/>
  <c r="E47" i="3"/>
  <c r="E248" i="3"/>
  <c r="E266" i="3"/>
  <c r="E584" i="3"/>
  <c r="E87" i="3"/>
  <c r="E341" i="3"/>
  <c r="E154" i="3"/>
  <c r="E373" i="3"/>
  <c r="N6" i="3"/>
  <c r="E45" i="3"/>
  <c r="E442" i="3"/>
  <c r="E527" i="3"/>
  <c r="E457" i="3"/>
  <c r="E562" i="3"/>
  <c r="E571" i="3"/>
  <c r="E450" i="3"/>
  <c r="E475" i="3"/>
  <c r="E168" i="3"/>
  <c r="E257" i="3"/>
  <c r="E372" i="3"/>
  <c r="E409" i="3"/>
  <c r="E526" i="3"/>
  <c r="E569" i="3"/>
  <c r="E385" i="3"/>
  <c r="E423" i="3"/>
  <c r="E99" i="3"/>
  <c r="E26" i="3"/>
  <c r="E203" i="3"/>
  <c r="E225" i="3"/>
  <c r="E394" i="3"/>
  <c r="E43" i="3"/>
  <c r="E129" i="3"/>
  <c r="E342" i="3"/>
  <c r="E251" i="3"/>
  <c r="E308" i="3"/>
  <c r="E219" i="3"/>
  <c r="E112" i="3"/>
  <c r="E62" i="3"/>
  <c r="E169" i="3"/>
  <c r="E532" i="3"/>
  <c r="M6" i="3"/>
  <c r="E320" i="3"/>
  <c r="E538" i="3"/>
  <c r="E529" i="3"/>
  <c r="E278" i="3"/>
  <c r="E445" i="3"/>
  <c r="E399" i="3"/>
  <c r="E124" i="3"/>
  <c r="E570" i="3"/>
  <c r="E335" i="3"/>
  <c r="E189" i="3"/>
  <c r="E254" i="3"/>
  <c r="E77" i="3"/>
  <c r="E199" i="3"/>
  <c r="E53" i="3"/>
  <c r="E426" i="3"/>
  <c r="E359" i="3"/>
  <c r="AK6" i="3"/>
  <c r="E262" i="3"/>
  <c r="E89" i="3"/>
  <c r="E105" i="3"/>
  <c r="E515" i="3"/>
  <c r="E487" i="3"/>
  <c r="E398" i="3"/>
  <c r="E374" i="3"/>
  <c r="E500" i="3"/>
  <c r="E413" i="3"/>
  <c r="E460" i="3"/>
  <c r="E436" i="3"/>
  <c r="E90" i="3"/>
  <c r="E131" i="3"/>
  <c r="E240" i="3"/>
  <c r="E259" i="3"/>
  <c r="E378" i="3"/>
  <c r="E504" i="3"/>
  <c r="E110" i="3"/>
  <c r="E65" i="3"/>
  <c r="E195" i="3"/>
  <c r="E386" i="3"/>
  <c r="E24" i="3"/>
  <c r="E250" i="3"/>
  <c r="E51" i="3"/>
  <c r="E222" i="3"/>
  <c r="E125" i="3"/>
  <c r="E193" i="3"/>
  <c r="R6" i="3"/>
  <c r="E474" i="3"/>
  <c r="E438" i="3"/>
  <c r="E288" i="3"/>
  <c r="W6" i="3"/>
  <c r="E537" i="3"/>
  <c r="E470" i="3"/>
  <c r="E54" i="3"/>
  <c r="E208" i="3"/>
  <c r="E346" i="3"/>
  <c r="E74" i="3"/>
  <c r="E79" i="3"/>
  <c r="E239" i="3"/>
  <c r="E229" i="3"/>
  <c r="AI6" i="3"/>
  <c r="E263" i="3"/>
  <c r="E452" i="3"/>
  <c r="E41" i="3"/>
  <c r="E274" i="3"/>
  <c r="E580" i="3"/>
  <c r="E412" i="3"/>
  <c r="E275" i="3"/>
  <c r="E34" i="3"/>
  <c r="E80" i="3"/>
  <c r="E170" i="3"/>
  <c r="E392" i="3"/>
  <c r="E340" i="3"/>
  <c r="E365" i="3"/>
  <c r="E533" i="3"/>
  <c r="E117" i="3"/>
  <c r="E525" i="3"/>
  <c r="E393" i="3"/>
  <c r="E530" i="3"/>
  <c r="E511" i="3"/>
  <c r="E503" i="3"/>
  <c r="E519" i="3"/>
  <c r="E517" i="3"/>
  <c r="E510" i="3"/>
  <c r="E534" i="3"/>
  <c r="E531" i="3"/>
  <c r="E496" i="3"/>
  <c r="E494" i="3"/>
  <c r="E304" i="3"/>
  <c r="E325" i="3"/>
  <c r="E173" i="3"/>
  <c r="E356" i="3"/>
  <c r="E565" i="3"/>
  <c r="E568" i="3"/>
  <c r="E539" i="3"/>
  <c r="E521" i="3"/>
  <c r="E502" i="3"/>
  <c r="E541" i="3"/>
  <c r="E518" i="3"/>
  <c r="E516" i="3"/>
  <c r="E512" i="3"/>
  <c r="E497" i="3"/>
  <c r="E542" i="3"/>
  <c r="E522" i="3"/>
  <c r="E509" i="3"/>
  <c r="E498" i="3"/>
  <c r="E495" i="3"/>
  <c r="E350" i="3"/>
  <c r="E309" i="3"/>
  <c r="E177" i="3"/>
  <c r="E113" i="3"/>
  <c r="E505" i="3"/>
  <c r="E573" i="3"/>
  <c r="J7" i="33"/>
  <c r="E60" i="40"/>
  <c r="E65" i="39"/>
  <c r="E63" i="39"/>
  <c r="E58" i="40"/>
  <c r="E62" i="39"/>
  <c r="E57" i="40"/>
  <c r="D9" i="69"/>
  <c r="D9" i="11"/>
  <c r="C9" i="11" s="1"/>
  <c r="D19" i="12"/>
  <c r="C19" i="12" s="1"/>
  <c r="E587" i="3"/>
  <c r="AC29" i="35"/>
  <c r="V38" i="35" s="1"/>
  <c r="I38" i="35" s="1"/>
  <c r="W29" i="35"/>
  <c r="D9" i="71"/>
  <c r="E528" i="3"/>
  <c r="AZ5" i="3"/>
  <c r="T19" i="71"/>
  <c r="D19" i="71"/>
  <c r="M20" i="43" s="1"/>
  <c r="C19" i="43" s="1"/>
  <c r="C53" i="67"/>
  <c r="C10" i="67"/>
  <c r="G41" i="36"/>
  <c r="H41" i="36" s="1"/>
  <c r="G40" i="36"/>
  <c r="H40" i="36" s="1"/>
  <c r="T38" i="35"/>
  <c r="G38" i="35" s="1"/>
  <c r="H7" i="37"/>
  <c r="F63" i="40"/>
  <c r="E65" i="40"/>
  <c r="I69" i="21"/>
  <c r="J69" i="21" s="1"/>
  <c r="K69" i="21" s="1"/>
  <c r="L69" i="21" s="1"/>
  <c r="M69" i="21" s="1"/>
  <c r="H11" i="21"/>
  <c r="E585" i="3"/>
  <c r="AC17" i="21"/>
  <c r="V48" i="21" s="1"/>
  <c r="I48" i="21" s="1"/>
  <c r="W17" i="21"/>
  <c r="O7" i="1"/>
  <c r="E550" i="3"/>
  <c r="K14" i="1"/>
  <c r="E30" i="6"/>
  <c r="C16" i="67"/>
  <c r="C17" i="67"/>
  <c r="C14" i="67"/>
  <c r="C16" i="15"/>
  <c r="C17" i="15"/>
  <c r="J7" i="37" l="1"/>
  <c r="H7" i="34"/>
  <c r="J7" i="34"/>
  <c r="W7" i="34" s="1"/>
  <c r="U7" i="34"/>
  <c r="AB7" i="34"/>
  <c r="T49" i="34" s="1"/>
  <c r="G49" i="34" s="1"/>
  <c r="G52" i="79"/>
  <c r="H52" i="79" s="1"/>
  <c r="G53" i="79"/>
  <c r="H53" i="79" s="1"/>
  <c r="AA7" i="34"/>
  <c r="R49" i="34" s="1"/>
  <c r="S7" i="34"/>
  <c r="E48" i="79"/>
  <c r="R49" i="79"/>
  <c r="C26" i="68"/>
  <c r="D22" i="68" s="1"/>
  <c r="E27" i="6"/>
  <c r="C24" i="68"/>
  <c r="C23" i="11"/>
  <c r="C44" i="11"/>
  <c r="D41" i="11" s="1"/>
  <c r="C48" i="67"/>
  <c r="C66" i="67" s="1"/>
  <c r="C49" i="15"/>
  <c r="C48" i="15" s="1"/>
  <c r="C60" i="15" s="1"/>
  <c r="C18" i="67"/>
  <c r="C15" i="67"/>
  <c r="C19" i="15"/>
  <c r="I52" i="21"/>
  <c r="J52" i="21" s="1"/>
  <c r="J10" i="15"/>
  <c r="J5" i="15" s="1"/>
  <c r="C34" i="43"/>
  <c r="C35" i="43"/>
  <c r="C33" i="43"/>
  <c r="C36" i="43"/>
  <c r="C37" i="43"/>
  <c r="C39" i="43"/>
  <c r="T5" i="43"/>
  <c r="V5" i="43" s="1"/>
  <c r="T6" i="43"/>
  <c r="V6" i="43" s="1"/>
  <c r="T13" i="43"/>
  <c r="V13" i="43" s="1"/>
  <c r="T10" i="43"/>
  <c r="V10" i="43" s="1"/>
  <c r="T8" i="43"/>
  <c r="V8" i="43" s="1"/>
  <c r="T15" i="43"/>
  <c r="V15" i="43" s="1"/>
  <c r="T7" i="43"/>
  <c r="V7" i="43" s="1"/>
  <c r="T2" i="43"/>
  <c r="V2" i="43" s="1"/>
  <c r="C29" i="43"/>
  <c r="T9" i="43"/>
  <c r="V9" i="43" s="1"/>
  <c r="T3" i="43"/>
  <c r="V3" i="43" s="1"/>
  <c r="T14" i="43"/>
  <c r="V14" i="43" s="1"/>
  <c r="T12" i="43"/>
  <c r="V12" i="43" s="1"/>
  <c r="T11" i="43"/>
  <c r="V11" i="43" s="1"/>
  <c r="T16" i="43"/>
  <c r="V16" i="43" s="1"/>
  <c r="C38" i="43"/>
  <c r="T4" i="43"/>
  <c r="V4" i="43" s="1"/>
  <c r="I42" i="35"/>
  <c r="J42" i="35" s="1"/>
  <c r="I43" i="35"/>
  <c r="J43" i="35" s="1"/>
  <c r="M14" i="1"/>
  <c r="K16" i="1"/>
  <c r="C34" i="69"/>
  <c r="U11" i="21"/>
  <c r="AB11" i="21"/>
  <c r="T48" i="21" s="1"/>
  <c r="G48" i="21" s="1"/>
  <c r="F65" i="40"/>
  <c r="G63" i="40"/>
  <c r="AY6" i="3"/>
  <c r="E3" i="6"/>
  <c r="AC6" i="3"/>
  <c r="AC10" i="40"/>
  <c r="W10" i="40"/>
  <c r="AA10" i="39"/>
  <c r="S10" i="39"/>
  <c r="S10" i="40"/>
  <c r="AA10" i="40"/>
  <c r="C29" i="69"/>
  <c r="D27" i="69" s="1"/>
  <c r="C47" i="69"/>
  <c r="D45" i="69" s="1"/>
  <c r="C47" i="11"/>
  <c r="D45" i="11" s="1"/>
  <c r="C29" i="11"/>
  <c r="D27" i="11" s="1"/>
  <c r="E42" i="35"/>
  <c r="E43" i="35"/>
  <c r="F43" i="35" s="1"/>
  <c r="R49" i="21"/>
  <c r="E48" i="21"/>
  <c r="AC7" i="37"/>
  <c r="V42" i="37" s="1"/>
  <c r="I42" i="37" s="1"/>
  <c r="W7" i="37"/>
  <c r="E66" i="39"/>
  <c r="E40" i="36"/>
  <c r="F40" i="36" s="1"/>
  <c r="E41" i="36"/>
  <c r="F41" i="36" s="1"/>
  <c r="G52" i="33"/>
  <c r="H52" i="33" s="1"/>
  <c r="F70" i="39"/>
  <c r="G68" i="39"/>
  <c r="C60" i="67"/>
  <c r="J24" i="67"/>
  <c r="J26" i="67"/>
  <c r="J29" i="67" s="1"/>
  <c r="J18" i="67"/>
  <c r="Q60" i="67"/>
  <c r="Q73" i="67"/>
  <c r="C5" i="67"/>
  <c r="C66" i="15"/>
  <c r="C5" i="15"/>
  <c r="P7" i="1"/>
  <c r="AB7" i="37"/>
  <c r="T42" i="37" s="1"/>
  <c r="G42" i="37" s="1"/>
  <c r="U7" i="37"/>
  <c r="G42" i="35"/>
  <c r="H42" i="35" s="1"/>
  <c r="G43" i="35"/>
  <c r="H43" i="35" s="1"/>
  <c r="C9" i="69"/>
  <c r="W7" i="33"/>
  <c r="AC7" i="33"/>
  <c r="V48" i="33" s="1"/>
  <c r="I48" i="33" s="1"/>
  <c r="H6" i="3"/>
  <c r="I41" i="36"/>
  <c r="J41" i="36" s="1"/>
  <c r="AB10" i="40"/>
  <c r="U10" i="40"/>
  <c r="AC10" i="39"/>
  <c r="W10" i="39"/>
  <c r="U10" i="39"/>
  <c r="AB10" i="39"/>
  <c r="AA7" i="33"/>
  <c r="R48" i="33" s="1"/>
  <c r="S7" i="33"/>
  <c r="R39" i="35"/>
  <c r="S7" i="37"/>
  <c r="AA7" i="37"/>
  <c r="R42" i="37" s="1"/>
  <c r="C37" i="36"/>
  <c r="B2" i="36" s="1"/>
  <c r="B3" i="36" s="1"/>
  <c r="C36" i="36"/>
  <c r="Q61" i="15"/>
  <c r="Q74" i="15"/>
  <c r="Q60" i="15"/>
  <c r="Q73" i="15"/>
  <c r="Q74" i="67"/>
  <c r="Q61" i="67"/>
  <c r="AE7" i="1"/>
  <c r="AC7" i="34" l="1"/>
  <c r="V49" i="34" s="1"/>
  <c r="I49" i="34" s="1"/>
  <c r="C49" i="79"/>
  <c r="B2" i="79" s="1"/>
  <c r="B3" i="79" s="1"/>
  <c r="C48" i="79"/>
  <c r="I53" i="34"/>
  <c r="J53" i="34" s="1"/>
  <c r="G53" i="34"/>
  <c r="H53" i="34" s="1"/>
  <c r="G54" i="34"/>
  <c r="H54" i="34" s="1"/>
  <c r="I53" i="79"/>
  <c r="J53" i="79" s="1"/>
  <c r="E53" i="79"/>
  <c r="F53" i="79" s="1"/>
  <c r="E52" i="79"/>
  <c r="F52" i="79" s="1"/>
  <c r="R50" i="34"/>
  <c r="E49" i="34"/>
  <c r="I54" i="34" s="1"/>
  <c r="J54" i="34" s="1"/>
  <c r="K21" i="6"/>
  <c r="K23" i="6"/>
  <c r="M23" i="6" s="1"/>
  <c r="I23" i="6" s="1"/>
  <c r="S23" i="6" s="1"/>
  <c r="K24" i="6"/>
  <c r="M24" i="6" s="1"/>
  <c r="I24" i="6" s="1"/>
  <c r="S24" i="6" s="1"/>
  <c r="K26" i="6"/>
  <c r="M26" i="6" s="1"/>
  <c r="I26" i="6" s="1"/>
  <c r="S26" i="6" s="1"/>
  <c r="K20" i="6"/>
  <c r="K25" i="6"/>
  <c r="M25" i="6" s="1"/>
  <c r="I25" i="6" s="1"/>
  <c r="S25" i="6" s="1"/>
  <c r="K19" i="6"/>
  <c r="K22" i="6"/>
  <c r="M22" i="6" s="1"/>
  <c r="I22" i="6" s="1"/>
  <c r="S22" i="6" s="1"/>
  <c r="E31" i="6"/>
  <c r="E6" i="3"/>
  <c r="C19" i="67"/>
  <c r="C20" i="67" s="1"/>
  <c r="C26" i="67" s="1"/>
  <c r="J26" i="15"/>
  <c r="J29" i="15" s="1"/>
  <c r="J18" i="15"/>
  <c r="J24" i="15"/>
  <c r="C38" i="15"/>
  <c r="C32" i="15"/>
  <c r="C38" i="67"/>
  <c r="C32" i="67"/>
  <c r="G70" i="39"/>
  <c r="H68" i="39"/>
  <c r="E53" i="21"/>
  <c r="F53" i="21" s="1"/>
  <c r="E52" i="21"/>
  <c r="F52" i="21" s="1"/>
  <c r="D19" i="11"/>
  <c r="C19" i="11" s="1"/>
  <c r="D37" i="11"/>
  <c r="D14" i="12"/>
  <c r="D3" i="34"/>
  <c r="C17" i="4"/>
  <c r="B4" i="52" s="1"/>
  <c r="B43" i="72" s="1"/>
  <c r="D3" i="37"/>
  <c r="E6" i="6"/>
  <c r="L18" i="9"/>
  <c r="M18" i="9"/>
  <c r="B118" i="9" s="1"/>
  <c r="B14" i="74" s="1"/>
  <c r="B1" i="74" s="1"/>
  <c r="H63" i="40"/>
  <c r="G65" i="40"/>
  <c r="G52" i="21"/>
  <c r="H52" i="21" s="1"/>
  <c r="G53" i="21"/>
  <c r="H53" i="21" s="1"/>
  <c r="E29" i="43"/>
  <c r="C30" i="43"/>
  <c r="E30" i="43" s="1"/>
  <c r="G37" i="43"/>
  <c r="I37" i="43" s="1"/>
  <c r="E37" i="43"/>
  <c r="G33" i="43"/>
  <c r="I33" i="43" s="1"/>
  <c r="E33" i="43"/>
  <c r="G34" i="43"/>
  <c r="I34" i="43" s="1"/>
  <c r="E34" i="43"/>
  <c r="C20" i="15"/>
  <c r="C23" i="15" s="1"/>
  <c r="E42" i="37"/>
  <c r="I47" i="37" s="1"/>
  <c r="J47" i="37" s="1"/>
  <c r="R43" i="37"/>
  <c r="C39" i="35"/>
  <c r="B2" i="35" s="1"/>
  <c r="D8" i="12" s="1"/>
  <c r="C38" i="35"/>
  <c r="R49" i="33"/>
  <c r="E48" i="33"/>
  <c r="I53" i="33" s="1"/>
  <c r="J53" i="33" s="1"/>
  <c r="I52" i="33"/>
  <c r="J52" i="33" s="1"/>
  <c r="G46" i="37"/>
  <c r="H46" i="37" s="1"/>
  <c r="G47" i="37"/>
  <c r="H47" i="37" s="1"/>
  <c r="E7" i="70"/>
  <c r="G53" i="33"/>
  <c r="H53" i="33" s="1"/>
  <c r="I46" i="37"/>
  <c r="J46" i="37" s="1"/>
  <c r="C49" i="21"/>
  <c r="B2" i="21" s="1"/>
  <c r="C8" i="12" s="1"/>
  <c r="C48" i="21"/>
  <c r="F42" i="35"/>
  <c r="D3" i="6"/>
  <c r="AY98" i="3"/>
  <c r="AY82" i="3"/>
  <c r="AY18" i="3"/>
  <c r="AY191" i="3"/>
  <c r="AY171" i="3"/>
  <c r="AY132" i="3"/>
  <c r="AY90" i="3"/>
  <c r="AY31" i="3"/>
  <c r="AY163" i="3"/>
  <c r="AY292" i="3"/>
  <c r="AY75" i="3"/>
  <c r="AY147" i="3"/>
  <c r="AY237" i="3"/>
  <c r="AY67" i="3"/>
  <c r="AY196" i="3"/>
  <c r="AY139" i="3"/>
  <c r="AY74" i="3"/>
  <c r="AY123" i="3"/>
  <c r="AY20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9" i="3"/>
  <c r="AY531" i="3"/>
  <c r="AY94" i="3"/>
  <c r="AY35" i="3"/>
  <c r="AY167" i="3"/>
  <c r="AY280" i="3"/>
  <c r="AY221" i="3"/>
  <c r="AY331" i="3"/>
  <c r="AY466" i="3"/>
  <c r="AY405" i="3"/>
  <c r="AY512" i="3"/>
  <c r="AY86" i="3"/>
  <c r="AY27" i="3"/>
  <c r="AY159" i="3"/>
  <c r="AY273" i="3"/>
  <c r="AY213" i="3"/>
  <c r="AY323" i="3"/>
  <c r="AY459" i="3"/>
  <c r="AY550" i="3"/>
  <c r="AY504"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3" i="3"/>
  <c r="AY50" i="3"/>
  <c r="AY160" i="3"/>
  <c r="AY289" i="3"/>
  <c r="AY183" i="3"/>
  <c r="AY261" i="3"/>
  <c r="AY284" i="3"/>
  <c r="AY220" i="3"/>
  <c r="AY387" i="3"/>
  <c r="AY350" i="3"/>
  <c r="AY334" i="3"/>
  <c r="AY486" i="3"/>
  <c r="AY444" i="3"/>
  <c r="AY425" i="3"/>
  <c r="AY526" i="3"/>
  <c r="AY199" i="3"/>
  <c r="AY269" i="3"/>
  <c r="AY244" i="3"/>
  <c r="AY390" i="3"/>
  <c r="AY355" i="3"/>
  <c r="AY481" i="3"/>
  <c r="AY447" i="3"/>
  <c r="AY404" i="3"/>
  <c r="AY535" i="3"/>
  <c r="AY562" i="3"/>
  <c r="BO6" i="3"/>
  <c r="AY555" i="3"/>
  <c r="AY85" i="3"/>
  <c r="AY68" i="3"/>
  <c r="AY25" i="3"/>
  <c r="AY178" i="3"/>
  <c r="AY157" i="3"/>
  <c r="AY117" i="3"/>
  <c r="AY271" i="3"/>
  <c r="AY254" i="3"/>
  <c r="AY211" i="3"/>
  <c r="AY365" i="3"/>
  <c r="BI6" i="3"/>
  <c r="AY57" i="3"/>
  <c r="AY186" i="3"/>
  <c r="AY150" i="3"/>
  <c r="AY279" i="3"/>
  <c r="AY226" i="3"/>
  <c r="AY325" i="3"/>
  <c r="AY308" i="3"/>
  <c r="AY464" i="3"/>
  <c r="AY422" i="3"/>
  <c r="AY403" i="3"/>
  <c r="AY516" i="3"/>
  <c r="AY527" i="3"/>
  <c r="AY518" i="3"/>
  <c r="AY508" i="3"/>
  <c r="AY577" i="3"/>
  <c r="AY112" i="3"/>
  <c r="AY32" i="3"/>
  <c r="AY142" i="3"/>
  <c r="AY298" i="3"/>
  <c r="AY218" i="3"/>
  <c r="AY385" i="3"/>
  <c r="AY321" i="3"/>
  <c r="AY492" i="3"/>
  <c r="AY450" i="3"/>
  <c r="AY431" i="3"/>
  <c r="AY399" i="3"/>
  <c r="AY564" i="3"/>
  <c r="AY575" i="3"/>
  <c r="AY530" i="3"/>
  <c r="AY563" i="3"/>
  <c r="AY47" i="3"/>
  <c r="AY203" i="3"/>
  <c r="AY120" i="3"/>
  <c r="AY233" i="3"/>
  <c r="AY383" i="3"/>
  <c r="AY347" i="3"/>
  <c r="AY482" i="3"/>
  <c r="AY421" i="3"/>
  <c r="AY528" i="3"/>
  <c r="AY102" i="3"/>
  <c r="AY22" i="3"/>
  <c r="AY195" i="3"/>
  <c r="AY136" i="3"/>
  <c r="AY272" i="3"/>
  <c r="AY375" i="3"/>
  <c r="AY322" i="3"/>
  <c r="AY432" i="3"/>
  <c r="AY15" i="3"/>
  <c r="AY567" i="3"/>
  <c r="AY176" i="3"/>
  <c r="AY115" i="3"/>
  <c r="AY276" i="3"/>
  <c r="AY225" i="3"/>
  <c r="AY335" i="3"/>
  <c r="AY180" i="3"/>
  <c r="AY358" i="3"/>
  <c r="AY465" i="3"/>
  <c r="BK6" i="3"/>
  <c r="AY108" i="3"/>
  <c r="AY28" i="3"/>
  <c r="AY138" i="3"/>
  <c r="AY294" i="3"/>
  <c r="AY214" i="3"/>
  <c r="AY554" i="3"/>
  <c r="AY24" i="3"/>
  <c r="AY290" i="3"/>
  <c r="AY349" i="3"/>
  <c r="AY488" i="3"/>
  <c r="AY427" i="3"/>
  <c r="BF6" i="3"/>
  <c r="AY519" i="3"/>
  <c r="AY189" i="3"/>
  <c r="AY129" i="3"/>
  <c r="AY369" i="3"/>
  <c r="AY487" i="3"/>
  <c r="AY410" i="3"/>
  <c r="AY502" i="3"/>
  <c r="BA6" i="3"/>
  <c r="AY187" i="3"/>
  <c r="AY264" i="3"/>
  <c r="AY376" i="3"/>
  <c r="AY424" i="3"/>
  <c r="AY587" i="3"/>
  <c r="AY179" i="3"/>
  <c r="AY256" i="3"/>
  <c r="AY367" i="3"/>
  <c r="BC6" i="3"/>
  <c r="AY498" i="3"/>
  <c r="AY207" i="3"/>
  <c r="AY42" i="3"/>
  <c r="AY168" i="3"/>
  <c r="AY366" i="3"/>
  <c r="AY441" i="3"/>
  <c r="AY260" i="3"/>
  <c r="AY310" i="3"/>
  <c r="AY549" i="3"/>
  <c r="AY97" i="3"/>
  <c r="AY44" i="3"/>
  <c r="AY154" i="3"/>
  <c r="AY283" i="3"/>
  <c r="AY230" i="3"/>
  <c r="AY360" i="3"/>
  <c r="AY166" i="3"/>
  <c r="AY242" i="3"/>
  <c r="AY348" i="3"/>
  <c r="AY462" i="3"/>
  <c r="AY398" i="3"/>
  <c r="AY534" i="3"/>
  <c r="AY501" i="3"/>
  <c r="AY65" i="3"/>
  <c r="AY251" i="3"/>
  <c r="AY329" i="3"/>
  <c r="AY312" i="3"/>
  <c r="AY407" i="3"/>
  <c r="AY565" i="3"/>
  <c r="AY99" i="3"/>
  <c r="AY156" i="3"/>
  <c r="AY232" i="3"/>
  <c r="AY469" i="3"/>
  <c r="AY560" i="3"/>
  <c r="AY91" i="3"/>
  <c r="AY148" i="3"/>
  <c r="AY224" i="3"/>
  <c r="AY490" i="3"/>
  <c r="AY511" i="3"/>
  <c r="AY311" i="3"/>
  <c r="AY574" i="3"/>
  <c r="AY89" i="3"/>
  <c r="AY53" i="3"/>
  <c r="AY36" i="3"/>
  <c r="AY182" i="3"/>
  <c r="AY146" i="3"/>
  <c r="AY126" i="3"/>
  <c r="AY302" i="3"/>
  <c r="AY239" i="3"/>
  <c r="AY222" i="3"/>
  <c r="AY389" i="3"/>
  <c r="BS6" i="3"/>
  <c r="AY93" i="3"/>
  <c r="AY40" i="3"/>
  <c r="AY130" i="3"/>
  <c r="AY243" i="3"/>
  <c r="AY393" i="3"/>
  <c r="AY356" i="3"/>
  <c r="AY340" i="3"/>
  <c r="AY467" i="3"/>
  <c r="AY454" i="3"/>
  <c r="AY435" i="3"/>
  <c r="AY525" i="3"/>
  <c r="BN6" i="3"/>
  <c r="AY559" i="3"/>
  <c r="AY556" i="3"/>
  <c r="AY49" i="3"/>
  <c r="AY205" i="3"/>
  <c r="AY122" i="3"/>
  <c r="AY235" i="3"/>
  <c r="AY352" i="3"/>
  <c r="AY336" i="3"/>
  <c r="AY304" i="3"/>
  <c r="AY461" i="3"/>
  <c r="AY418" i="3"/>
  <c r="AY17" i="3"/>
  <c r="AY537" i="3"/>
  <c r="AY548" i="3"/>
  <c r="AY110" i="3"/>
  <c r="AY30" i="3"/>
  <c r="AY140" i="3"/>
  <c r="AY296" i="3"/>
  <c r="AY216" i="3"/>
  <c r="AY330" i="3"/>
  <c r="AY440" i="3"/>
  <c r="AY13" i="3"/>
  <c r="AY576" i="3"/>
  <c r="AY39" i="3"/>
  <c r="AY175" i="3"/>
  <c r="AY288" i="3"/>
  <c r="AY208" i="3"/>
  <c r="AY339" i="3"/>
  <c r="AY474" i="3"/>
  <c r="AY413" i="3"/>
  <c r="AY583" i="3"/>
  <c r="AY66" i="3"/>
  <c r="AY188" i="3"/>
  <c r="AY297" i="3"/>
  <c r="AY470" i="3"/>
  <c r="AY409" i="3"/>
  <c r="AY228" i="3"/>
  <c r="AY433" i="3"/>
  <c r="AY541" i="3"/>
  <c r="AY45" i="3"/>
  <c r="AY201" i="3"/>
  <c r="AY118" i="3"/>
  <c r="AY231" i="3"/>
  <c r="AY381" i="3"/>
  <c r="AY104" i="3"/>
  <c r="AY177" i="3"/>
  <c r="AY210" i="3"/>
  <c r="AY332" i="3"/>
  <c r="AY446" i="3"/>
  <c r="BM6" i="3"/>
  <c r="AY510" i="3"/>
  <c r="AY584" i="3"/>
  <c r="AY80" i="3"/>
  <c r="AY266" i="3"/>
  <c r="AY313" i="3"/>
  <c r="AY453" i="3"/>
  <c r="AY579" i="3"/>
  <c r="BR6" i="3"/>
  <c r="AY78" i="3"/>
  <c r="AY127" i="3"/>
  <c r="AY314" i="3"/>
  <c r="AY517" i="3"/>
  <c r="AY70" i="3"/>
  <c r="AY119" i="3"/>
  <c r="AY306" i="3"/>
  <c r="AY416" i="3"/>
  <c r="AY51" i="3"/>
  <c r="AY124" i="3"/>
  <c r="AY281" i="3"/>
  <c r="AY236" i="3"/>
  <c r="AY473" i="3"/>
  <c r="AY26" i="3"/>
  <c r="AY372" i="3"/>
  <c r="AY420" i="3"/>
  <c r="AY533" i="3"/>
  <c r="AY61" i="3"/>
  <c r="AY190" i="3"/>
  <c r="AY133" i="3"/>
  <c r="AY247" i="3"/>
  <c r="AY397" i="3"/>
  <c r="AY109" i="3"/>
  <c r="AY56" i="3"/>
  <c r="AY295" i="3"/>
  <c r="AY353" i="3"/>
  <c r="AY475" i="3"/>
  <c r="BQ6" i="3"/>
  <c r="AY495" i="3"/>
  <c r="AY582" i="3"/>
  <c r="AY194" i="3"/>
  <c r="AY137" i="3"/>
  <c r="AY380" i="3"/>
  <c r="AY468" i="3"/>
  <c r="AY426" i="3"/>
  <c r="AY14" i="3"/>
  <c r="AY570" i="3"/>
  <c r="AY46" i="3"/>
  <c r="AY285" i="3"/>
  <c r="AY362" i="3"/>
  <c r="AY437" i="3"/>
  <c r="AY38" i="3"/>
  <c r="AY277" i="3"/>
  <c r="AY354" i="3"/>
  <c r="AY429" i="3"/>
  <c r="E8" i="70"/>
  <c r="C38" i="69"/>
  <c r="C35" i="69"/>
  <c r="O14" i="1"/>
  <c r="O16" i="1" s="1"/>
  <c r="M16" i="1"/>
  <c r="G38" i="43"/>
  <c r="I38" i="43" s="1"/>
  <c r="E38" i="43"/>
  <c r="E39" i="43"/>
  <c r="G39" i="43"/>
  <c r="I39" i="43" s="1"/>
  <c r="G36" i="43"/>
  <c r="I36" i="43" s="1"/>
  <c r="E36" i="43"/>
  <c r="G35" i="43"/>
  <c r="I35" i="43" s="1"/>
  <c r="E35" i="43"/>
  <c r="I53" i="21"/>
  <c r="J53" i="21" s="1"/>
  <c r="AO7" i="1"/>
  <c r="C50" i="34" l="1"/>
  <c r="C49" i="34"/>
  <c r="B2" i="34"/>
  <c r="B3" i="34" s="1"/>
  <c r="E54" i="34"/>
  <c r="F54" i="34" s="1"/>
  <c r="E53" i="34"/>
  <c r="F53" i="34" s="1"/>
  <c r="K27" i="6"/>
  <c r="S6" i="1"/>
  <c r="M19" i="6"/>
  <c r="S7" i="1"/>
  <c r="M20" i="6"/>
  <c r="I20" i="6" s="1"/>
  <c r="S20" i="6" s="1"/>
  <c r="S8" i="1"/>
  <c r="M21" i="6"/>
  <c r="I21" i="6" s="1"/>
  <c r="S21" i="6" s="1"/>
  <c r="C26" i="15"/>
  <c r="C29" i="15" s="1"/>
  <c r="B7" i="70"/>
  <c r="N16" i="1"/>
  <c r="F34" i="68" s="1"/>
  <c r="C36" i="68" s="1"/>
  <c r="L16" i="1"/>
  <c r="P14" i="1"/>
  <c r="P16" i="1" s="1"/>
  <c r="C11" i="12" s="1"/>
  <c r="B3" i="21"/>
  <c r="C6" i="12" s="1"/>
  <c r="E2" i="70"/>
  <c r="C49" i="33"/>
  <c r="B2" i="33" s="1"/>
  <c r="C48" i="33"/>
  <c r="B3" i="35"/>
  <c r="D6" i="12" s="1"/>
  <c r="E47" i="37"/>
  <c r="F47" i="37" s="1"/>
  <c r="E46" i="37"/>
  <c r="F46" i="37" s="1"/>
  <c r="C26" i="43"/>
  <c r="H65" i="40"/>
  <c r="I63" i="40"/>
  <c r="D20" i="12"/>
  <c r="C20" i="12" s="1"/>
  <c r="C18" i="12" s="1"/>
  <c r="D10" i="11"/>
  <c r="C10" i="11" s="1"/>
  <c r="D10" i="69"/>
  <c r="D17" i="12"/>
  <c r="C17" i="12" s="1"/>
  <c r="C24" i="11"/>
  <c r="C20" i="11"/>
  <c r="C25" i="11" s="1"/>
  <c r="M19" i="9"/>
  <c r="C118" i="9" s="1"/>
  <c r="C14" i="74" s="1"/>
  <c r="B2" i="74" s="1"/>
  <c r="D19" i="6"/>
  <c r="C18" i="4"/>
  <c r="D23" i="6"/>
  <c r="D5" i="6"/>
  <c r="D11" i="6"/>
  <c r="D28" i="6"/>
  <c r="H23" i="6"/>
  <c r="D21" i="6"/>
  <c r="D6" i="6"/>
  <c r="D29" i="6"/>
  <c r="H24" i="6"/>
  <c r="D25" i="6"/>
  <c r="L19" i="9"/>
  <c r="D26" i="6"/>
  <c r="D8" i="6"/>
  <c r="D12" i="6"/>
  <c r="E61" i="40"/>
  <c r="D10" i="6"/>
  <c r="D24" i="6"/>
  <c r="R24" i="6" s="1"/>
  <c r="D14" i="6"/>
  <c r="D13" i="6"/>
  <c r="H26" i="6"/>
  <c r="D15" i="6"/>
  <c r="D20" i="6"/>
  <c r="H22" i="6"/>
  <c r="D22" i="6"/>
  <c r="D9" i="6"/>
  <c r="H25" i="6"/>
  <c r="I7" i="6"/>
  <c r="E53" i="33"/>
  <c r="F53" i="33" s="1"/>
  <c r="E52" i="33"/>
  <c r="C42" i="37"/>
  <c r="C43" i="37"/>
  <c r="B2" i="37" s="1"/>
  <c r="B3" i="37" s="1"/>
  <c r="C27" i="43"/>
  <c r="C7" i="74"/>
  <c r="C8" i="74"/>
  <c r="H70" i="39"/>
  <c r="I68" i="39"/>
  <c r="C23" i="67"/>
  <c r="C29" i="67" s="1"/>
  <c r="AE8" i="1"/>
  <c r="D10" i="68"/>
  <c r="E6" i="76"/>
  <c r="AO8" i="1"/>
  <c r="R22" i="6" l="1"/>
  <c r="H20" i="6"/>
  <c r="R20" i="6" s="1"/>
  <c r="R7" i="1" s="1"/>
  <c r="H21" i="6"/>
  <c r="C10" i="68"/>
  <c r="D19" i="68"/>
  <c r="D37" i="68" s="1"/>
  <c r="C37" i="68" s="1"/>
  <c r="I19" i="6"/>
  <c r="M27" i="6"/>
  <c r="R26" i="6"/>
  <c r="AR8" i="1"/>
  <c r="AQ8" i="1"/>
  <c r="T8" i="1"/>
  <c r="T7" i="1"/>
  <c r="AR7" i="1"/>
  <c r="AQ7" i="1"/>
  <c r="AQ6" i="1"/>
  <c r="S16" i="1"/>
  <c r="T6" i="1"/>
  <c r="AR6" i="1"/>
  <c r="C36" i="15"/>
  <c r="J14" i="15"/>
  <c r="J13" i="15" s="1"/>
  <c r="J23" i="15" s="1"/>
  <c r="C57" i="15"/>
  <c r="C64" i="15" s="1"/>
  <c r="C33" i="15"/>
  <c r="C31" i="15" s="1"/>
  <c r="C13" i="15"/>
  <c r="C37" i="15" s="1"/>
  <c r="J59" i="15"/>
  <c r="J60" i="15" s="1"/>
  <c r="L46" i="15" s="1"/>
  <c r="Q49" i="15"/>
  <c r="J19" i="15"/>
  <c r="J17" i="15" s="1"/>
  <c r="E2" i="76"/>
  <c r="B8" i="70"/>
  <c r="B2" i="70" s="1"/>
  <c r="B3" i="70" s="1"/>
  <c r="J19" i="67"/>
  <c r="J17" i="67" s="1"/>
  <c r="C36" i="67"/>
  <c r="C57" i="67"/>
  <c r="Q49" i="67"/>
  <c r="C13" i="67"/>
  <c r="J14" i="67"/>
  <c r="C33" i="67"/>
  <c r="C31" i="67" s="1"/>
  <c r="J59" i="67"/>
  <c r="J60" i="67" s="1"/>
  <c r="I70" i="39"/>
  <c r="J68" i="39"/>
  <c r="F52" i="33"/>
  <c r="R25" i="6"/>
  <c r="R21" i="6"/>
  <c r="R8" i="1" s="1"/>
  <c r="R23" i="6"/>
  <c r="D27" i="6"/>
  <c r="C28" i="11"/>
  <c r="C27" i="11" s="1"/>
  <c r="C10" i="69"/>
  <c r="C8" i="69" s="1"/>
  <c r="C5" i="69" s="1"/>
  <c r="D19" i="69"/>
  <c r="C15" i="12"/>
  <c r="C12" i="12"/>
  <c r="F11" i="12"/>
  <c r="C14" i="12" s="1"/>
  <c r="F34" i="11"/>
  <c r="D16" i="6"/>
  <c r="D30" i="6"/>
  <c r="C4" i="52"/>
  <c r="B45" i="72" s="1"/>
  <c r="A7" i="51"/>
  <c r="B7" i="72" s="1"/>
  <c r="A10" i="51"/>
  <c r="B9" i="72" s="1"/>
  <c r="D7" i="74"/>
  <c r="D8" i="74"/>
  <c r="C22" i="11"/>
  <c r="I65" i="40"/>
  <c r="J63" i="40"/>
  <c r="B2" i="43"/>
  <c r="B3" i="33"/>
  <c r="C34" i="68"/>
  <c r="B6" i="76"/>
  <c r="C4" i="12" l="1"/>
  <c r="C23" i="12" s="1"/>
  <c r="J22" i="15"/>
  <c r="Q48" i="15"/>
  <c r="C31" i="11"/>
  <c r="C35" i="68"/>
  <c r="C38" i="68"/>
  <c r="H19" i="6"/>
  <c r="I27" i="6"/>
  <c r="S19" i="6"/>
  <c r="S27" i="6" s="1"/>
  <c r="T16" i="1"/>
  <c r="Q70" i="15"/>
  <c r="C61" i="15"/>
  <c r="C59" i="15" s="1"/>
  <c r="C30" i="15"/>
  <c r="C39" i="15" s="1"/>
  <c r="C40" i="15" s="1"/>
  <c r="C56" i="15"/>
  <c r="C65" i="15" s="1"/>
  <c r="C75" i="15"/>
  <c r="J16" i="15"/>
  <c r="J25" i="15" s="1"/>
  <c r="C16" i="12"/>
  <c r="C21" i="12" s="1"/>
  <c r="C22" i="12" s="1"/>
  <c r="B2" i="76"/>
  <c r="B3" i="76" s="1"/>
  <c r="C31" i="12"/>
  <c r="K63" i="40"/>
  <c r="J65" i="40"/>
  <c r="C36" i="11"/>
  <c r="C34" i="11"/>
  <c r="C37" i="11"/>
  <c r="C23" i="69"/>
  <c r="K68" i="39"/>
  <c r="J70" i="39"/>
  <c r="C75" i="67"/>
  <c r="C37" i="67"/>
  <c r="C30" i="67" s="1"/>
  <c r="C39" i="67" s="1"/>
  <c r="Q70" i="67"/>
  <c r="C56" i="67"/>
  <c r="C65" i="67" s="1"/>
  <c r="C61" i="67"/>
  <c r="C59" i="67" s="1"/>
  <c r="C64" i="67"/>
  <c r="B3" i="43"/>
  <c r="C19" i="69"/>
  <c r="C24" i="69" s="1"/>
  <c r="D37" i="69"/>
  <c r="C37" i="69" s="1"/>
  <c r="C33" i="69" s="1"/>
  <c r="D31" i="6"/>
  <c r="Q48" i="67"/>
  <c r="L46" i="67"/>
  <c r="J13" i="67"/>
  <c r="J23" i="67" s="1"/>
  <c r="J22" i="67"/>
  <c r="C33" i="68" l="1"/>
  <c r="C42" i="68" s="1"/>
  <c r="R19" i="6"/>
  <c r="H27" i="6"/>
  <c r="Q69" i="15"/>
  <c r="Q68" i="15" s="1"/>
  <c r="C80" i="15"/>
  <c r="C79" i="15" s="1"/>
  <c r="C58" i="15"/>
  <c r="C67" i="15" s="1"/>
  <c r="C68" i="15" s="1"/>
  <c r="C46" i="15" s="1"/>
  <c r="J16" i="67"/>
  <c r="J25" i="67" s="1"/>
  <c r="C27" i="12"/>
  <c r="C25" i="12" s="1"/>
  <c r="C58" i="67"/>
  <c r="C67" i="67" s="1"/>
  <c r="C68" i="67" s="1"/>
  <c r="C71" i="67" s="1"/>
  <c r="C40" i="67"/>
  <c r="Q69" i="67"/>
  <c r="Q68" i="67" s="1"/>
  <c r="I5" i="6"/>
  <c r="I6" i="6"/>
  <c r="C20" i="69"/>
  <c r="C25" i="69" s="1"/>
  <c r="C22" i="69" s="1"/>
  <c r="K65" i="40"/>
  <c r="L63" i="40"/>
  <c r="Q65" i="15"/>
  <c r="B2" i="15"/>
  <c r="B3" i="15" s="1"/>
  <c r="C43" i="15"/>
  <c r="Q56" i="15"/>
  <c r="Q47" i="15"/>
  <c r="Q53" i="15" s="1"/>
  <c r="C83" i="15"/>
  <c r="C82" i="15" s="1"/>
  <c r="C30" i="12"/>
  <c r="C28" i="12" s="1"/>
  <c r="C39" i="69"/>
  <c r="C43" i="69" s="1"/>
  <c r="C42" i="69"/>
  <c r="C80" i="67"/>
  <c r="C79" i="67" s="1"/>
  <c r="K70" i="39"/>
  <c r="L68" i="39"/>
  <c r="C38" i="11"/>
  <c r="C35" i="11"/>
  <c r="L51" i="15"/>
  <c r="L51" i="67"/>
  <c r="C39" i="68" l="1"/>
  <c r="C43" i="68" s="1"/>
  <c r="C41" i="68" s="1"/>
  <c r="C71" i="15"/>
  <c r="R27" i="6"/>
  <c r="R6" i="1"/>
  <c r="R16" i="1" s="1"/>
  <c r="Q67" i="15"/>
  <c r="L57" i="15"/>
  <c r="L60" i="15" s="1"/>
  <c r="Q66" i="15" s="1"/>
  <c r="Q75" i="15" s="1"/>
  <c r="C32" i="12"/>
  <c r="B2" i="12" s="1"/>
  <c r="C45" i="67"/>
  <c r="C46" i="67" s="1"/>
  <c r="C33" i="11"/>
  <c r="C39" i="11" s="1"/>
  <c r="Q67" i="67"/>
  <c r="L57" i="67"/>
  <c r="L60" i="67" s="1"/>
  <c r="M68" i="39"/>
  <c r="L70" i="39"/>
  <c r="C46" i="69"/>
  <c r="C45" i="69" s="1"/>
  <c r="C41" i="69"/>
  <c r="M63" i="40"/>
  <c r="L65" i="40"/>
  <c r="C28" i="69"/>
  <c r="C27" i="69" s="1"/>
  <c r="C31" i="69" s="1"/>
  <c r="Q56" i="67"/>
  <c r="Q65" i="67"/>
  <c r="C43" i="67"/>
  <c r="Q47" i="67"/>
  <c r="Q53" i="67" s="1"/>
  <c r="D2" i="67"/>
  <c r="C83" i="67"/>
  <c r="C82" i="67" s="1"/>
  <c r="D19" i="9"/>
  <c r="C46" i="68" l="1"/>
  <c r="C45" i="68" s="1"/>
  <c r="C49" i="68" s="1"/>
  <c r="C51" i="68" s="1"/>
  <c r="Q57" i="15"/>
  <c r="Q62" i="15" s="1"/>
  <c r="D21" i="9"/>
  <c r="D102" i="9"/>
  <c r="C49" i="69"/>
  <c r="C51" i="69" s="1"/>
  <c r="C52" i="69" s="1"/>
  <c r="B2" i="69" s="1"/>
  <c r="B3" i="69" s="1"/>
  <c r="B3" i="12"/>
  <c r="C43" i="11"/>
  <c r="C46" i="11"/>
  <c r="C45" i="11" s="1"/>
  <c r="C42" i="11"/>
  <c r="M65" i="40"/>
  <c r="N63" i="40"/>
  <c r="Q66" i="67"/>
  <c r="Q57" i="67"/>
  <c r="Q75" i="67"/>
  <c r="B2" i="67"/>
  <c r="B3" i="67"/>
  <c r="Q62" i="67"/>
  <c r="M70" i="39"/>
  <c r="N68" i="39"/>
  <c r="D20" i="9"/>
  <c r="D103" i="9" l="1"/>
  <c r="C57" i="69"/>
  <c r="C56" i="69" s="1"/>
  <c r="C41" i="11"/>
  <c r="C49" i="11" s="1"/>
  <c r="C51" i="11" s="1"/>
  <c r="C52" i="11" s="1"/>
  <c r="B2" i="11" s="1"/>
  <c r="B3" i="11" s="1"/>
  <c r="O63" i="40"/>
  <c r="O65" i="40" s="1"/>
  <c r="N65" i="40"/>
  <c r="O68" i="39"/>
  <c r="O70" i="39" s="1"/>
  <c r="N70" i="39"/>
  <c r="C56" i="11" l="1"/>
  <c r="C57" i="11" s="1"/>
  <c r="F7" i="39"/>
  <c r="H7" i="39"/>
  <c r="J7" i="39"/>
  <c r="H7" i="40"/>
  <c r="J7" i="40"/>
  <c r="F7" i="40"/>
  <c r="W7" i="40" l="1"/>
  <c r="AC7" i="40"/>
  <c r="V42" i="40" s="1"/>
  <c r="I42" i="40" s="1"/>
  <c r="W7" i="39"/>
  <c r="AC7" i="39"/>
  <c r="V47" i="39" s="1"/>
  <c r="I47" i="39" s="1"/>
  <c r="AA7" i="39"/>
  <c r="R47" i="39" s="1"/>
  <c r="S7" i="39"/>
  <c r="AA7" i="40"/>
  <c r="R42" i="40" s="1"/>
  <c r="S7" i="40"/>
  <c r="U7" i="40"/>
  <c r="AB7" i="40"/>
  <c r="T42" i="40" s="1"/>
  <c r="G42" i="40" s="1"/>
  <c r="U7" i="39"/>
  <c r="AB7" i="39"/>
  <c r="T47" i="39" s="1"/>
  <c r="G47" i="39" s="1"/>
  <c r="E42" i="40" l="1"/>
  <c r="R43" i="40"/>
  <c r="R48" i="39"/>
  <c r="E47" i="39"/>
  <c r="G51" i="39"/>
  <c r="H51" i="39" s="1"/>
  <c r="G52" i="39"/>
  <c r="H52" i="39" s="1"/>
  <c r="G47" i="40"/>
  <c r="H47" i="40" s="1"/>
  <c r="G46" i="40"/>
  <c r="H46" i="40" s="1"/>
  <c r="I51" i="39"/>
  <c r="J51" i="39" s="1"/>
  <c r="I52" i="39"/>
  <c r="J52" i="39" s="1"/>
  <c r="I46" i="40"/>
  <c r="J46" i="40" s="1"/>
  <c r="C47" i="39" l="1"/>
  <c r="C48" i="39"/>
  <c r="E46" i="40"/>
  <c r="F46" i="40" s="1"/>
  <c r="E47" i="40"/>
  <c r="F47" i="40" s="1"/>
  <c r="I47" i="40"/>
  <c r="J47" i="40" s="1"/>
  <c r="E52" i="39"/>
  <c r="F52" i="39" s="1"/>
  <c r="E51" i="39"/>
  <c r="F51" i="39" s="1"/>
  <c r="C42" i="40"/>
  <c r="C43" i="40"/>
  <c r="B55" i="40" l="1"/>
  <c r="F55" i="40" s="1"/>
  <c r="B53" i="40"/>
  <c r="F53" i="40" s="1"/>
  <c r="B60" i="40"/>
  <c r="F60" i="40" s="1"/>
  <c r="F61" i="40"/>
  <c r="B2" i="40" s="1"/>
  <c r="B3" i="40" s="1"/>
  <c r="B59" i="40"/>
  <c r="F59" i="40" s="1"/>
  <c r="B54" i="40"/>
  <c r="F54" i="40" s="1"/>
  <c r="B52" i="40"/>
  <c r="F52" i="40" s="1"/>
  <c r="B57" i="40"/>
  <c r="F57" i="40" s="1"/>
  <c r="B56" i="40"/>
  <c r="F56" i="40" s="1"/>
  <c r="B58" i="40"/>
  <c r="F58" i="40" s="1"/>
  <c r="B51" i="40"/>
  <c r="F51" i="40" s="1"/>
  <c r="B56" i="39"/>
  <c r="F56" i="39" s="1"/>
  <c r="B57" i="39"/>
  <c r="F57" i="39" s="1"/>
  <c r="B58" i="39"/>
  <c r="F58" i="39" s="1"/>
  <c r="B59" i="39"/>
  <c r="F59" i="39" s="1"/>
  <c r="B60" i="39"/>
  <c r="F60" i="39" s="1"/>
  <c r="B61" i="39"/>
  <c r="F61" i="39" s="1"/>
  <c r="B62" i="39"/>
  <c r="F62" i="39" s="1"/>
  <c r="B63" i="39"/>
  <c r="F63" i="39" s="1"/>
  <c r="B64" i="39"/>
  <c r="F64" i="39" s="1"/>
  <c r="B65" i="39"/>
  <c r="F65" i="39" s="1"/>
  <c r="F66" i="39" l="1"/>
  <c r="B2" i="39" s="1"/>
  <c r="C6" i="68" l="1"/>
  <c r="B3" i="39"/>
  <c r="C7" i="68" l="1"/>
  <c r="C5" i="68" s="1"/>
  <c r="C23" i="68" l="1"/>
  <c r="C20" i="68"/>
  <c r="C25" i="68" s="1"/>
  <c r="C22" i="68" l="1"/>
  <c r="C28" i="68"/>
  <c r="C27" i="68" s="1"/>
  <c r="C31" i="68" l="1"/>
  <c r="C52" i="68" s="1"/>
  <c r="B2" i="68" s="1"/>
  <c r="C19" i="9"/>
  <c r="C57" i="68" l="1"/>
  <c r="C56" i="68" s="1"/>
  <c r="C21" i="9"/>
  <c r="D22" i="9"/>
  <c r="G19" i="9"/>
  <c r="C102" i="9"/>
  <c r="B3" i="68"/>
  <c r="D35" i="9"/>
  <c r="D34" i="9"/>
  <c r="C32" i="9" l="1"/>
  <c r="G21" i="9"/>
  <c r="C20" i="9"/>
  <c r="C103" i="9" l="1"/>
  <c r="G20" i="9"/>
  <c r="C35" i="9"/>
  <c r="F118" i="9" s="1"/>
  <c r="H118" i="9"/>
  <c r="C34" i="9" l="1"/>
  <c r="D118" i="9" s="1"/>
  <c r="D119" i="9" s="1"/>
  <c r="D5" i="52" s="1"/>
  <c r="B49" i="72" s="1"/>
  <c r="G118" i="9"/>
  <c r="G4" i="52" s="1"/>
  <c r="B52" i="72" s="1"/>
  <c r="F119" i="9"/>
  <c r="F5" i="52" s="1"/>
  <c r="B53" i="72" s="1"/>
  <c r="F4" i="52"/>
  <c r="B51" i="72" s="1"/>
  <c r="H101" i="9"/>
  <c r="I118" i="9"/>
  <c r="H119" i="9"/>
  <c r="H5" i="52" s="1"/>
  <c r="H4" i="52"/>
  <c r="D14" i="74"/>
  <c r="C104" i="9"/>
  <c r="D4" i="52" l="1"/>
  <c r="B47" i="72" s="1"/>
  <c r="H102" i="9"/>
  <c r="D7" i="53" s="1"/>
  <c r="B21" i="72" s="1"/>
  <c r="C105" i="9"/>
  <c r="E118" i="9"/>
  <c r="E4" i="52" s="1"/>
  <c r="B48" i="72" s="1"/>
  <c r="I4" i="52"/>
  <c r="B5" i="74"/>
  <c r="E14" i="74"/>
  <c r="F14" i="74"/>
  <c r="H107" i="9"/>
  <c r="M48" i="9"/>
  <c r="D45" i="9"/>
  <c r="D5" i="53"/>
  <c r="B20" i="72" l="1"/>
  <c r="D6" i="53"/>
  <c r="B22" i="72" s="1"/>
  <c r="C5" i="74"/>
  <c r="D5" i="74"/>
  <c r="C72" i="9"/>
  <c r="D55" i="9"/>
  <c r="M53" i="9" s="1"/>
  <c r="C85" i="9"/>
  <c r="D52" i="9"/>
  <c r="C64" i="9"/>
  <c r="C63" i="9" s="1"/>
  <c r="C67" i="9" s="1"/>
  <c r="C68" i="9" s="1"/>
  <c r="D54" i="9" s="1"/>
  <c r="D53" i="9"/>
  <c r="C78" i="9"/>
  <c r="C73" i="9" s="1"/>
  <c r="C93" i="9"/>
  <c r="C86" i="9" s="1"/>
  <c r="D122" i="9"/>
  <c r="D13" i="53"/>
  <c r="M49" i="9"/>
  <c r="H108" i="9"/>
  <c r="D15" i="53" s="1"/>
  <c r="B31" i="72" s="1"/>
  <c r="C95" i="9" l="1"/>
  <c r="L63" i="9"/>
  <c r="M63" i="9" s="1"/>
  <c r="L64" i="9"/>
  <c r="M64" i="9" s="1"/>
  <c r="L65" i="9"/>
  <c r="M65" i="9" s="1"/>
  <c r="L66" i="9"/>
  <c r="M66" i="9" s="1"/>
  <c r="L67" i="9"/>
  <c r="M67" i="9" s="1"/>
  <c r="L68" i="9"/>
  <c r="M68" i="9" s="1"/>
  <c r="D123" i="9"/>
  <c r="D9" i="52" s="1"/>
  <c r="G14" i="74"/>
  <c r="B6" i="74" s="1"/>
  <c r="D8" i="52"/>
  <c r="C96" i="9"/>
  <c r="E96" i="9" s="1"/>
  <c r="E97" i="9" s="1"/>
  <c r="C79" i="9"/>
  <c r="D14" i="53"/>
  <c r="B32" i="72" s="1"/>
  <c r="B30" i="72"/>
  <c r="C80" i="9" l="1"/>
  <c r="E80" i="9" s="1"/>
  <c r="E81" i="9" s="1"/>
  <c r="C6" i="74"/>
  <c r="D6" i="74"/>
  <c r="M69" i="9"/>
  <c r="N69" i="9" s="1"/>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<sst xmlns="http://schemas.openxmlformats.org/spreadsheetml/2006/main" count="8068" uniqueCount="3257">
  <si>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</si>
  <si>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</si>
  <si>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</si>
  <si>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</si>
  <si>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</si>
  <si>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</si>
  <si>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</si>
  <si>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</si>
  <si>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</si>
  <si>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</si>
  <si>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</si>
  <si>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</si>
  <si>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</si>
  <si>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</si>
  <si>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</si>
  <si>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</si>
  <si>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</si>
  <si>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</si>
  <si>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</si>
  <si>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</si>
  <si>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</si>
  <si>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</si>
  <si>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</si>
  <si>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</si>
  <si>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</si>
  <si>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</si>
  <si>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</si>
  <si>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</si>
  <si>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</si>
  <si>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</si>
  <si>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</si>
  <si>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</si>
  <si>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</si>
  <si>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</si>
  <si>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</si>
  <si>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</si>
  <si>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</si>
  <si>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</si>
  <si>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</si>
  <si>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</si>
  <si>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</si>
  <si>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</si>
  <si>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</si>
  <si>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</si>
  <si>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</si>
  <si>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</si>
  <si>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</si>
  <si>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</si>
  <si>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</si>
  <si>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</si>
  <si>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</si>
  <si>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</si>
  <si>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</si>
  <si>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</si>
  <si>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</si>
  <si>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</si>
  <si>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</si>
  <si>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</si>
  <si>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</si>
  <si>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</si>
  <si>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</si>
  <si>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</si>
  <si>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</si>
  <si>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</si>
  <si>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</si>
  <si>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</si>
  <si>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</si>
  <si>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</si>
  <si>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</si>
  <si>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</si>
  <si>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</si>
  <si>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</si>
  <si>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</si>
  <si>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</si>
  <si>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</si>
  <si>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</si>
  <si>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</si>
  <si>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</si>
  <si>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</si>
  <si>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</si>
  <si>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</si>
  <si>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</si>
  <si>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</si>
  <si>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</si>
  <si>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</si>
  <si>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</si>
  <si>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</si>
  <si>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</si>
  <si>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</si>
  <si>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</si>
  <si>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</si>
  <si>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</si>
  <si>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</si>
  <si>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</si>
  <si>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</si>
  <si>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</si>
  <si>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</si>
  <si>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</si>
  <si>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</si>
  <si>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</si>
  <si>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</si>
  <si>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</si>
  <si>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</si>
  <si>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</si>
  <si>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</si>
  <si>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</si>
  <si>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</si>
  <si>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</si>
  <si>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</si>
  <si>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</si>
  <si>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</si>
  <si>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</si>
  <si>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</si>
  <si>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</si>
  <si>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</si>
  <si>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</si>
  <si>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</si>
  <si>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</si>
  <si>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</si>
  <si>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</si>
  <si>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</si>
  <si>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</si>
  <si>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</si>
  <si>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</si>
  <si>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</si>
  <si>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</si>
  <si>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</si>
  <si>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</si>
  <si>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</si>
  <si>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</si>
  <si>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</si>
  <si>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</si>
  <si>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</si>
  <si>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</si>
  <si>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</si>
  <si>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</si>
  <si>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</si>
  <si>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</si>
  <si>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</si>
  <si>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</si>
  <si>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</si>
  <si>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</si>
  <si>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</si>
  <si>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</si>
  <si>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</si>
  <si>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</si>
  <si>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</si>
  <si>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</si>
  <si>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</si>
  <si>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</si>
  <si>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</si>
  <si>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</si>
  <si>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</si>
  <si>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</si>
  <si>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</si>
  <si>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</si>
  <si>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</si>
  <si>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</si>
  <si>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</si>
  <si>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</si>
  <si>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</si>
  <si>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</si>
  <si>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</si>
  <si>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</si>
  <si>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</si>
  <si>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</si>
  <si>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</si>
  <si>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</si>
  <si>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</si>
  <si>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</si>
  <si>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</si>
  <si>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</si>
  <si>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</si>
  <si>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</si>
  <si>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</si>
  <si>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</si>
  <si>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</si>
  <si>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</si>
  <si>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</si>
  <si>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</si>
  <si>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</si>
  <si>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</si>
  <si>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</si>
  <si>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</si>
  <si>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</si>
  <si>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</si>
  <si>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</si>
  <si>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</si>
  <si>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</si>
  <si>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</si>
  <si>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</si>
  <si>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</si>
  <si>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</si>
  <si>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</si>
  <si>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</si>
  <si>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</si>
  <si>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</si>
  <si>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</si>
  <si>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</si>
  <si>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</si>
  <si>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</si>
  <si>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</si>
  <si>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</si>
  <si>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</si>
  <si>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</si>
  <si>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</si>
  <si>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</si>
  <si>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</si>
  <si>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</si>
  <si>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</si>
  <si>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</si>
  <si>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</si>
  <si>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</si>
  <si>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</si>
  <si>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</si>
  <si>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</si>
  <si>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</si>
  <si>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</si>
  <si>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</si>
  <si>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</si>
  <si>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</si>
  <si>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</si>
  <si>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</si>
  <si>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</si>
  <si>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</si>
  <si>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</si>
  <si>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</si>
  <si>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</si>
  <si>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</si>
  <si>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</si>
  <si>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</si>
  <si>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</si>
  <si>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</si>
  <si>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</si>
  <si>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</si>
  <si>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</si>
  <si>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</si>
  <si>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</si>
  <si>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</si>
  <si>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</si>
  <si>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</si>
  <si>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</si>
  <si>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</si>
  <si>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</si>
  <si>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</si>
  <si>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</si>
  <si>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</si>
  <si>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</si>
  <si>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</si>
  <si>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</si>
  <si>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</si>
  <si>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</si>
  <si>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</si>
  <si>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</si>
  <si>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</si>
  <si>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</si>
  <si>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</si>
  <si>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</si>
  <si>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</si>
  <si>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</si>
  <si>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</si>
  <si>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</si>
  <si>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</si>
  <si>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</si>
  <si>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</si>
  <si>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</si>
  <si>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</si>
  <si>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</si>
  <si>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</si>
  <si>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</si>
  <si>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</si>
  <si>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</si>
  <si>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</si>
  <si>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</si>
  <si>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</si>
  <si>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</si>
  <si>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</si>
  <si>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</si>
  <si>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</si>
  <si>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</si>
  <si>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</si>
  <si>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</si>
  <si>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</si>
  <si>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</si>
  <si>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</si>
  <si>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</si>
  <si>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</si>
  <si>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</si>
  <si>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</si>
  <si>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</si>
  <si>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</si>
  <si>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</si>
  <si>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</si>
  <si>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</si>
  <si>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</si>
  <si>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</si>
  <si>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</si>
  <si>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</si>
  <si>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</si>
  <si>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</si>
  <si>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</si>
  <si>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</si>
  <si>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</si>
  <si>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</si>
  <si>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</si>
  <si>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</si>
  <si>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</si>
  <si>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</si>
  <si>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</si>
  <si>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</si>
  <si>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</si>
  <si>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</si>
  <si>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</si>
  <si>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</si>
  <si>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</si>
  <si>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</si>
  <si>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</si>
  <si>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</si>
  <si>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</si>
  <si>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</si>
  <si>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</si>
  <si>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</si>
  <si>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</si>
  <si>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</si>
  <si>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</si>
  <si>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</si>
  <si>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</si>
  <si>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</si>
  <si>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</si>
  <si>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</si>
  <si>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</si>
  <si>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</si>
  <si>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</si>
  <si>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</si>
  <si>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</si>
  <si>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</si>
  <si>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</si>
  <si>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</si>
  <si>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</si>
  <si>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</si>
  <si>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</si>
  <si>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</si>
  <si>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</si>
  <si>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</si>
  <si>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</si>
  <si>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</si>
  <si>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</si>
  <si>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</si>
  <si>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</si>
  <si>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</si>
  <si>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</si>
  <si>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</si>
  <si>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</si>
  <si>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</si>
  <si>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</si>
  <si>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</si>
  <si>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</si>
  <si>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</si>
  <si>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</si>
  <si>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</si>
  <si>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</si>
  <si>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</si>
  <si>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</si>
  <si>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</si>
  <si>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</si>
  <si>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</si>
  <si>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</si>
  <si>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</si>
  <si>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</si>
  <si>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</si>
  <si>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</si>
  <si>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</si>
  <si>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</si>
  <si>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</si>
  <si>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</si>
  <si>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</si>
  <si>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</si>
  <si>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</si>
  <si>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</si>
  <si>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</si>
  <si>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</si>
  <si>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</si>
  <si>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</si>
  <si>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</si>
  <si>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</si>
  <si>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</si>
  <si>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</si>
  <si>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</si>
  <si>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</si>
  <si>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</si>
  <si>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</si>
  <si>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</si>
  <si>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</si>
  <si>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</si>
  <si>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</si>
  <si>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</si>
  <si>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</si>
  <si>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</si>
  <si>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</si>
  <si>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</si>
  <si>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</si>
  <si>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</si>
  <si>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</si>
  <si>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</si>
  <si>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</si>
  <si>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</si>
  <si>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</si>
  <si>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</si>
  <si>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</si>
  <si>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</si>
  <si>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</si>
  <si>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</si>
  <si>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</si>
  <si>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</si>
  <si>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</si>
  <si>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</si>
  <si>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</si>
  <si>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</si>
  <si>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</si>
  <si>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</si>
  <si>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</si>
  <si>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</si>
  <si>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</si>
  <si>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</si>
  <si>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</si>
  <si>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</si>
  <si>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</si>
  <si>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</si>
  <si>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</si>
  <si>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</si>
  <si>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</si>
  <si>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</si>
  <si>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</si>
  <si>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</si>
  <si>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</si>
  <si>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</si>
  <si>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</si>
  <si>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</si>
  <si>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</si>
  <si>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</si>
  <si>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</si>
  <si>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</si>
  <si>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</si>
  <si>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</si>
  <si>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</si>
  <si>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</si>
  <si>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</si>
  <si>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</si>
  <si>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</si>
  <si>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</si>
  <si>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</si>
  <si>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</si>
  <si>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</si>
  <si>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</si>
  <si>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</si>
  <si>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</si>
  <si>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</si>
  <si>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</si>
  <si>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</si>
  <si>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</si>
  <si>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</si>
  <si>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</si>
  <si>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</si>
  <si>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</si>
  <si>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</si>
  <si>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</si>
  <si>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</si>
  <si>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</si>
  <si>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</si>
  <si>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</si>
  <si>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</si>
  <si>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</si>
  <si>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</si>
  <si>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</si>
  <si>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</si>
  <si>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</si>
  <si>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</si>
  <si>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</si>
  <si>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</si>
  <si>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</si>
  <si>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</si>
  <si>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</si>
  <si>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</si>
  <si>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</si>
  <si>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</si>
  <si>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</si>
  <si>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</si>
  <si>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</si>
  <si>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</si>
  <si>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</si>
  <si>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</si>
  <si>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</si>
  <si>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</si>
  <si>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</si>
  <si>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</si>
  <si>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</si>
  <si>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</si>
  <si>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</si>
  <si>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</si>
  <si>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</si>
  <si>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</si>
  <si>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</si>
  <si>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</si>
  <si>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</si>
  <si>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</si>
  <si>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</si>
  <si>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</si>
  <si>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</si>
  <si>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</si>
  <si>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</si>
  <si>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</si>
  <si>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</si>
  <si>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</si>
  <si>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</si>
  <si>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</si>
  <si>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</si>
  <si>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</si>
  <si>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</si>
  <si>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</si>
  <si>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</si>
  <si>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</si>
  <si>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</si>
  <si>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</si>
  <si>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</si>
  <si>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</si>
  <si>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</si>
  <si>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</si>
  <si>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</si>
  <si>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</si>
  <si>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</si>
  <si>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</si>
  <si>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</si>
  <si>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</si>
  <si>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</si>
  <si>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</si>
  <si>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</si>
  <si>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</si>
  <si>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</si>
  <si>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</si>
  <si>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</si>
  <si>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</si>
  <si>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</si>
  <si>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</si>
  <si>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</si>
  <si>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</si>
  <si>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</si>
  <si>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</si>
  <si>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</si>
  <si>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</si>
  <si>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</si>
  <si>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</si>
  <si>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</si>
  <si>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</si>
  <si>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</si>
  <si>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</si>
  <si>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</si>
  <si>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</si>
  <si>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</si>
  <si>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</si>
  <si>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</si>
  <si>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</si>
  <si>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</si>
  <si>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</si>
  <si>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</si>
  <si>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</si>
  <si>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</si>
  <si>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</si>
  <si>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</si>
  <si>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</si>
  <si>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</si>
  <si>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</si>
  <si>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</si>
  <si>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</si>
  <si>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</si>
  <si>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</si>
  <si>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</si>
  <si>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</si>
  <si>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</si>
  <si>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</si>
  <si>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</si>
  <si>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</si>
  <si>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</si>
  <si>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</si>
  <si>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</si>
  <si>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</si>
  <si>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</si>
  <si>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</si>
  <si>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</si>
  <si>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</si>
  <si>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</si>
  <si>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</si>
  <si>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</si>
  <si>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</si>
  <si>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</si>
  <si>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</si>
  <si>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</si>
  <si>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</si>
  <si>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</si>
  <si>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</si>
  <si>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</si>
  <si>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</si>
  <si>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</si>
  <si>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</si>
  <si>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</si>
  <si>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</si>
  <si>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</si>
  <si>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</si>
  <si>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</si>
  <si>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</si>
  <si>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</si>
  <si>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</si>
  <si>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</si>
  <si>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</si>
  <si>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</si>
  <si>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</si>
  <si>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</si>
  <si>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</si>
  <si>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</si>
  <si>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</si>
  <si>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</si>
  <si>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</si>
  <si>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</si>
  <si>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</si>
  <si>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</si>
  <si>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</si>
  <si>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</si>
  <si>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</si>
  <si>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</si>
  <si>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</si>
  <si>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</si>
  <si>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</si>
  <si>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</si>
  <si>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</si>
  <si>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</si>
  <si>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</si>
  <si>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</si>
  <si>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</si>
  <si>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</si>
  <si>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</si>
  <si>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</si>
  <si>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</si>
  <si>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</si>
  <si>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</si>
  <si>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</si>
  <si>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</si>
  <si>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</si>
  <si>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</si>
  <si>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</si>
  <si>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</si>
  <si>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</si>
  <si>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</si>
  <si>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</si>
  <si>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</si>
  <si>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</si>
  <si>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</si>
  <si>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</si>
  <si>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</si>
  <si>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</si>
  <si>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</si>
  <si>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</si>
  <si>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</si>
  <si>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</si>
  <si>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</si>
  <si>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</si>
  <si>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</si>
  <si>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</si>
  <si>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</si>
  <si>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</si>
  <si>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</si>
  <si>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</si>
  <si>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</si>
  <si>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</si>
  <si>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</si>
  <si>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</si>
  <si>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</si>
  <si>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</si>
  <si>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</si>
  <si>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</si>
  <si>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</si>
  <si>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</si>
  <si>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</si>
  <si>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</si>
  <si>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</si>
  <si>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</si>
  <si>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</si>
  <si>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</si>
  <si>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</si>
  <si>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</si>
  <si>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</si>
  <si>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</si>
  <si>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</si>
  <si>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</si>
  <si>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</si>
  <si>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</si>
  <si>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</si>
  <si>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</si>
  <si>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</si>
  <si>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</si>
  <si>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</si>
  <si>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</si>
  <si>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</si>
  <si>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</si>
  <si>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</si>
  <si>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</si>
  <si>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</si>
  <si>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</si>
  <si>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</si>
  <si>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</si>
  <si>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</si>
  <si>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</si>
  <si>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</si>
  <si>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</si>
  <si>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</si>
  <si>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</si>
  <si>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</si>
  <si>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</si>
  <si>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</si>
  <si>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</si>
  <si>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</si>
  <si>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</si>
  <si>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</si>
  <si>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</si>
  <si>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</si>
  <si>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</si>
  <si>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</si>
  <si>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</si>
  <si>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</si>
  <si>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</si>
  <si>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</si>
  <si>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</si>
  <si>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</si>
  <si>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</si>
  <si>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</si>
  <si>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</si>
  <si>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</si>
  <si>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</si>
  <si>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</si>
  <si>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</si>
  <si>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</si>
  <si>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</si>
  <si>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</si>
  <si>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</si>
  <si>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</si>
  <si>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</si>
  <si>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</si>
  <si>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</si>
  <si>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</si>
  <si>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</si>
  <si>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</si>
  <si>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</si>
  <si>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</si>
  <si>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</si>
  <si>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</si>
  <si>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</si>
  <si>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</si>
  <si>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</si>
  <si>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</si>
  <si>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</si>
  <si>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</si>
  <si>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</si>
  <si>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</si>
  <si>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</si>
  <si>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</si>
  <si>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</si>
  <si>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</si>
  <si>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</si>
  <si>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</si>
  <si>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</si>
  <si>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</si>
  <si>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</si>
  <si>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</si>
  <si>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</si>
  <si>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</si>
  <si>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</si>
  <si>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</si>
  <si>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</si>
  <si>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</si>
  <si>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</si>
  <si>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</si>
  <si>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</si>
  <si>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</si>
  <si>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</si>
  <si>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</si>
  <si>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</si>
  <si>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</si>
  <si>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</si>
  <si>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</si>
  <si>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</si>
  <si>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</si>
  <si>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</si>
  <si>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</si>
  <si>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</si>
  <si>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</si>
  <si>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</si>
  <si>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</si>
  <si>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</si>
  <si>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</si>
  <si>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</si>
  <si>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</si>
  <si>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</si>
  <si>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</si>
  <si>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</si>
  <si>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</si>
  <si>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</si>
  <si>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</si>
  <si>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</si>
  <si>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</si>
  <si>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</si>
  <si>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</si>
  <si>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</si>
  <si>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</si>
  <si>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</si>
  <si>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</si>
  <si>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</si>
  <si>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</si>
  <si>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</si>
  <si>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</si>
  <si>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</si>
  <si>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</si>
  <si>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</si>
  <si>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</si>
  <si>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</si>
  <si>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</si>
  <si>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</si>
  <si>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</si>
  <si>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</si>
  <si>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</si>
  <si>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</si>
  <si>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</si>
  <si>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</si>
  <si>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</si>
  <si>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</si>
  <si>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</si>
  <si>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</si>
  <si>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</si>
  <si>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</si>
  <si>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</si>
  <si>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</si>
  <si>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</si>
  <si>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</si>
  <si>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</si>
  <si>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</si>
  <si>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</si>
  <si>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</si>
  <si>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</si>
  <si>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</si>
  <si>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</si>
  <si>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</si>
  <si>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</si>
  <si>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</si>
  <si>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</si>
  <si>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</si>
  <si>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</si>
  <si>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</si>
  <si>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</si>
  <si>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</si>
  <si>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</si>
  <si>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</si>
  <si>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</si>
  <si>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</si>
  <si>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</si>
  <si>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</si>
  <si>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</si>
  <si>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</si>
  <si>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</si>
  <si>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</si>
  <si>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</si>
  <si>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</si>
  <si>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</si>
  <si>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</si>
  <si>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</si>
  <si>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</si>
  <si>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</si>
  <si>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</si>
  <si>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</si>
  <si>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</si>
  <si>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</si>
  <si>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</si>
  <si>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</si>
  <si>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</si>
  <si>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</si>
  <si>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</si>
  <si>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</si>
  <si>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</si>
  <si>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</si>
  <si>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</si>
  <si>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</si>
  <si>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</si>
  <si>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</si>
  <si>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</si>
  <si>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</si>
  <si>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</si>
  <si>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</si>
  <si>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</si>
  <si>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</si>
  <si>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</si>
  <si>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</si>
  <si>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</si>
  <si>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</si>
  <si>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</si>
  <si>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</si>
  <si>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</si>
  <si>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</si>
  <si>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</si>
  <si>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</si>
  <si>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</si>
  <si>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</si>
  <si>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</si>
  <si>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</si>
  <si>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</si>
  <si>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</si>
  <si>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</si>
  <si>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</si>
  <si>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</si>
  <si>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</si>
  <si>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</si>
  <si>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</si>
  <si>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</si>
  <si>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</si>
  <si>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</si>
  <si>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</si>
  <si>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</si>
  <si>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</si>
  <si>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</si>
  <si>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</si>
  <si>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</si>
  <si>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</si>
  <si>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</si>
  <si>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</si>
  <si>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</si>
  <si>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</si>
  <si>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</si>
  <si>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</si>
  <si>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</si>
  <si>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</si>
  <si>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</si>
  <si>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</si>
  <si>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</si>
  <si>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</si>
  <si>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</si>
  <si>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</si>
  <si>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</si>
  <si>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</si>
  <si>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</si>
  <si>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</si>
  <si>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</si>
  <si>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</si>
  <si>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</si>
  <si>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</si>
  <si>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</si>
  <si>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</si>
  <si>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</si>
  <si>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</si>
  <si>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</si>
  <si>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</si>
  <si>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</si>
  <si>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</si>
  <si>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</si>
  <si>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</si>
  <si>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</si>
  <si>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</si>
  <si>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</si>
  <si>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</si>
  <si>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</si>
  <si>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</si>
  <si>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</si>
  <si>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</si>
  <si>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</si>
  <si>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</si>
  <si>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</si>
  <si>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</si>
  <si>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</si>
  <si>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</si>
  <si>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</si>
  <si>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</si>
  <si>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</si>
  <si>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</si>
  <si>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</si>
  <si>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</si>
  <si>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</si>
  <si>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</si>
  <si>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</si>
  <si>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</si>
  <si>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</si>
  <si>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</si>
  <si>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</si>
  <si>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</si>
  <si>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</si>
  <si>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</si>
  <si>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</si>
  <si>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</si>
  <si>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</si>
  <si>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</si>
  <si>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</si>
  <si>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</si>
  <si>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</si>
  <si>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</si>
  <si>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</si>
  <si>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</si>
  <si>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</si>
  <si>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</si>
  <si>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</si>
  <si>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</si>
  <si>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</si>
  <si>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</si>
  <si>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</si>
  <si>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</si>
  <si>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</si>
  <si>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</si>
  <si>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</si>
  <si>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</si>
  <si>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</si>
  <si>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</si>
  <si>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</si>
  <si>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</si>
  <si>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</si>
  <si>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</si>
  <si>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</si>
  <si>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</si>
  <si>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</si>
  <si>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</si>
  <si>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</si>
  <si>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</si>
  <si>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</si>
  <si>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</si>
  <si>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</si>
  <si>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</si>
  <si>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</si>
  <si>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</si>
  <si>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</si>
  <si>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</si>
  <si>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</si>
  <si>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</si>
  <si>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</si>
  <si>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</si>
  <si>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</si>
  <si>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</si>
  <si>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</si>
  <si>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</si>
  <si>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</si>
  <si>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</si>
  <si>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</si>
  <si>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</si>
  <si>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</si>
  <si>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</si>
  <si>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</si>
  <si>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</si>
  <si>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</si>
  <si>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</si>
  <si>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</si>
  <si>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</si>
  <si>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</si>
  <si>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</si>
  <si>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</si>
  <si>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</si>
  <si>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</si>
  <si>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</si>
  <si>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</si>
  <si>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</si>
  <si>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</si>
  <si>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</si>
  <si>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</si>
  <si>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</si>
  <si>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</si>
  <si>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</si>
  <si>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</si>
  <si>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</si>
  <si>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</si>
  <si>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</si>
  <si>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</si>
  <si>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</si>
  <si>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</si>
  <si>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</si>
  <si>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</si>
  <si>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</si>
  <si>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</si>
  <si>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</si>
  <si>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</si>
  <si>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</si>
  <si>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</si>
  <si>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</si>
  <si>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</si>
  <si>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</si>
  <si>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</si>
  <si>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</si>
  <si>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</si>
  <si>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</si>
  <si>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</si>
  <si>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</si>
  <si>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</si>
  <si>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</si>
  <si>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</si>
  <si>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</si>
  <si>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</si>
  <si>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</si>
  <si>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</si>
  <si>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</si>
  <si>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</si>
  <si>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</si>
  <si>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</si>
  <si>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</si>
  <si>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</si>
  <si>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</si>
  <si>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</si>
  <si>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</si>
  <si>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</si>
  <si>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</si>
  <si>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</si>
  <si>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</si>
  <si>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</si>
  <si>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</si>
  <si>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</si>
  <si>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</si>
  <si>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</si>
  <si>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</si>
  <si>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</si>
  <si>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</si>
  <si>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</si>
  <si>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</si>
  <si>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</si>
  <si>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</si>
  <si>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</si>
  <si>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</si>
  <si>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</si>
  <si>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</si>
  <si>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</si>
  <si>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</si>
  <si>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</si>
  <si>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</si>
  <si>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</si>
  <si>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</si>
  <si>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</si>
  <si>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</si>
  <si>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</si>
  <si>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</si>
  <si>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</si>
  <si>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</si>
  <si>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</si>
  <si>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</si>
  <si>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</si>
  <si>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</si>
  <si>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</si>
  <si>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</si>
  <si>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</si>
  <si>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</si>
  <si>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</si>
  <si>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</si>
  <si>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</si>
  <si>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</si>
  <si>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</si>
  <si>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</si>
  <si>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</si>
  <si>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</si>
  <si>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</si>
  <si>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</si>
  <si>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</si>
  <si>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</si>
  <si>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</si>
  <si>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</si>
  <si>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</si>
  <si>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</si>
  <si>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</si>
  <si>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</si>
  <si>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</si>
  <si>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</si>
  <si>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</si>
  <si>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</si>
  <si>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</si>
  <si>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</si>
  <si>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</si>
  <si>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</si>
  <si>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</si>
  <si>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</si>
  <si>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</si>
  <si>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</si>
  <si>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</si>
  <si>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</si>
  <si>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</si>
  <si>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</si>
  <si>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</si>
  <si>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</si>
  <si>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</si>
  <si>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</si>
  <si>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</si>
  <si>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</si>
  <si>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</si>
  <si>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</si>
  <si>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</si>
  <si>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</si>
  <si>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</si>
  <si>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</si>
  <si>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</si>
  <si>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</si>
  <si>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</si>
  <si>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</si>
  <si>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</si>
  <si>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</si>
  <si>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</si>
  <si>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</si>
  <si>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</si>
  <si>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</si>
  <si>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</si>
  <si>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</si>
  <si>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</si>
  <si>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</si>
  <si>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</si>
  <si>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</si>
  <si>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</si>
  <si>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</si>
  <si>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</si>
  <si>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</si>
  <si>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</si>
  <si>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</si>
  <si>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</si>
  <si>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</si>
  <si>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</si>
  <si>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</si>
  <si>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</si>
  <si>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</si>
  <si>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</si>
  <si>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</si>
  <si>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</si>
  <si>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</si>
  <si>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</si>
  <si>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</si>
  <si>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</si>
  <si>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</si>
  <si>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</si>
  <si>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</si>
  <si>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</si>
  <si>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</si>
  <si>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</si>
  <si>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</si>
  <si>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</si>
  <si>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</si>
  <si>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</si>
  <si>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</si>
  <si>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</si>
  <si>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</si>
  <si>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</si>
  <si>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</si>
  <si>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</si>
  <si>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</si>
  <si>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</si>
  <si>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</si>
  <si>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</si>
  <si>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</si>
  <si>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</si>
  <si>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</si>
  <si>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</si>
  <si>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</si>
  <si>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</si>
  <si>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</si>
  <si>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</si>
  <si>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</si>
  <si>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</si>
  <si>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</si>
  <si>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</si>
  <si>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</si>
  <si>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</si>
  <si>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</si>
  <si>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</si>
  <si>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</si>
  <si>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</si>
  <si>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</si>
  <si>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</si>
  <si>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</si>
  <si>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</si>
  <si>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</si>
  <si>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</si>
  <si>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</si>
  <si>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</si>
  <si>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</si>
  <si>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</si>
  <si>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</si>
  <si>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</si>
  <si>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</si>
  <si>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</si>
  <si>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</si>
  <si>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</si>
  <si>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</si>
  <si>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</si>
  <si>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</si>
  <si>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</si>
  <si>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</si>
  <si>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</si>
  <si>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</si>
  <si>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</si>
  <si>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</si>
  <si>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</si>
  <si>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</si>
  <si>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</si>
  <si>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</si>
  <si>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</si>
  <si>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</si>
  <si>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</si>
  <si>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</si>
  <si>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</si>
  <si>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</si>
  <si>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</si>
  <si>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</si>
  <si>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</si>
  <si>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</si>
  <si>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</si>
  <si>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</si>
  <si>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</si>
  <si>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</si>
  <si>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</si>
  <si>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</si>
  <si>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</si>
  <si>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</si>
  <si>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</si>
  <si>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</si>
  <si>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</si>
  <si>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</si>
  <si>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</si>
  <si>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</si>
  <si>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</si>
  <si>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</si>
  <si>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</si>
  <si>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</si>
  <si>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</si>
  <si>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</si>
  <si>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</si>
  <si>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</si>
  <si>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</si>
  <si>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</si>
  <si>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</si>
  <si>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</si>
  <si>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</si>
  <si>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</si>
  <si>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</si>
  <si>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</si>
  <si>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</si>
  <si>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</si>
  <si>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</si>
  <si>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</si>
  <si>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</si>
  <si>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</si>
  <si>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</si>
  <si>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</si>
  <si>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</si>
  <si>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</si>
  <si>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</si>
  <si>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</si>
  <si>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</si>
  <si>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</si>
  <si>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</si>
  <si>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</si>
  <si>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</si>
  <si>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</si>
  <si>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</si>
  <si>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</si>
  <si>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</si>
  <si>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</si>
  <si>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</si>
  <si>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</si>
  <si>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</si>
  <si>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</si>
  <si>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</si>
  <si>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</si>
  <si>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</si>
  <si>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</si>
  <si>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</si>
  <si>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</si>
  <si>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</si>
  <si>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</si>
  <si>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</si>
  <si>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</si>
  <si>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</si>
  <si>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</si>
  <si>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</si>
  <si>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</si>
  <si>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</si>
  <si>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</si>
  <si>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</si>
  <si>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</si>
  <si>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</si>
  <si>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</si>
  <si>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</si>
  <si>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</si>
  <si>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</si>
  <si>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</si>
  <si>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</si>
  <si>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</si>
  <si>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</si>
  <si>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</si>
  <si>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</si>
  <si>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</si>
  <si>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</si>
  <si>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</si>
  <si>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</si>
  <si>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</si>
  <si>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</si>
  <si>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</si>
  <si>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</si>
  <si>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</si>
  <si>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</si>
  <si>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</si>
  <si>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</si>
  <si>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</si>
  <si>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</si>
  <si>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</si>
  <si>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</si>
  <si>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</si>
  <si>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</si>
  <si>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</si>
  <si>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</si>
  <si>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</si>
  <si>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</si>
  <si>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</si>
  <si>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</si>
  <si>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</si>
  <si>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</si>
  <si>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</si>
  <si>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</si>
  <si>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</si>
  <si>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</si>
  <si>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</si>
  <si>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</si>
  <si>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</si>
  <si>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</si>
  <si>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</si>
  <si>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</si>
  <si>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</si>
  <si>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</si>
  <si>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</si>
  <si>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</si>
  <si>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</si>
  <si>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</si>
  <si>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</si>
  <si>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</si>
  <si>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</si>
  <si>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</si>
  <si>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</si>
  <si>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</si>
  <si>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</si>
  <si>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</si>
  <si>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</si>
  <si>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</si>
  <si>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</si>
  <si>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</si>
  <si>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</si>
  <si>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</si>
  <si>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</si>
  <si>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</si>
  <si>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</si>
  <si>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</si>
  <si>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</si>
  <si>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</si>
  <si>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</si>
  <si>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</si>
  <si>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</si>
  <si>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</si>
  <si>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</si>
  <si>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</si>
  <si>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</si>
  <si>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</si>
  <si>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</si>
  <si>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</si>
  <si>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</si>
  <si>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</si>
  <si>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</si>
  <si>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</si>
  <si>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</si>
  <si>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</si>
  <si>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</si>
  <si>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</si>
  <si>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</si>
  <si>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</si>
  <si>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</si>
  <si>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</si>
  <si>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</si>
  <si>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</si>
  <si>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</si>
  <si>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</si>
  <si>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</si>
  <si>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</si>
  <si>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</si>
  <si>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</si>
  <si>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</si>
  <si>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</si>
  <si>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</si>
  <si>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</si>
  <si>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</si>
  <si>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</si>
  <si>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</si>
  <si>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</si>
  <si>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</si>
  <si>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</si>
  <si>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</si>
  <si>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</si>
  <si>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</si>
  <si>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</si>
  <si>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</si>
  <si>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</si>
  <si>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</si>
  <si>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</si>
  <si>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</si>
  <si>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</si>
  <si>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</si>
  <si>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</si>
  <si>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</si>
  <si>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</si>
  <si>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</si>
  <si>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</si>
  <si>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</si>
  <si>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</si>
  <si>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</si>
  <si>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</si>
  <si>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</si>
  <si>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</si>
  <si>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</si>
  <si>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</si>
  <si>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</si>
  <si>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</si>
  <si>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</si>
  <si>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</si>
  <si>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</si>
  <si>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</si>
  <si>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</si>
  <si>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</si>
  <si>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</si>
  <si>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</si>
  <si>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</si>
  <si>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</si>
  <si>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</si>
  <si>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</si>
  <si>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</si>
  <si>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</si>
  <si>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</si>
  <si>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</si>
  <si>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</si>
  <si>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</si>
  <si>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</si>
  <si>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</si>
  <si>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</si>
  <si>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</si>
  <si>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</si>
  <si>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</si>
  <si>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</si>
  <si>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</si>
  <si>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</si>
  <si>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</si>
  <si>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</si>
  <si>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</si>
  <si>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</si>
  <si>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</si>
  <si>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</si>
  <si>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</si>
  <si>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</si>
  <si>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</si>
  <si>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</si>
  <si>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</si>
  <si>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</si>
  <si>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</si>
  <si>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</si>
  <si>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</si>
  <si>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</si>
  <si>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</si>
  <si>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</si>
  <si>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</si>
  <si>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</si>
  <si>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</si>
  <si>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</si>
  <si>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</si>
  <si>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</si>
  <si>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</si>
  <si>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</si>
  <si>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</si>
  <si>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</si>
  <si>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</si>
  <si>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</si>
  <si>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</si>
  <si>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</si>
  <si>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</si>
  <si>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</si>
  <si>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</si>
  <si>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</si>
  <si>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</si>
  <si>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</si>
  <si>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</si>
  <si>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</si>
  <si>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</si>
  <si>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</si>
  <si>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</si>
  <si>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</si>
  <si>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</si>
  <si>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</si>
  <si>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</si>
  <si>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</si>
  <si>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</si>
  <si>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</si>
  <si>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</si>
  <si>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</si>
  <si>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</si>
  <si>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</si>
  <si>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</si>
  <si>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</si>
  <si>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</si>
  <si>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</si>
  <si>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</si>
  <si>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</si>
  <si>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</si>
  <si>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</si>
  <si>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</si>
  <si>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</si>
  <si>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</si>
  <si>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</si>
  <si>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</si>
  <si>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</si>
  <si>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</si>
  <si>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</si>
  <si>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</si>
  <si>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b/>
        <i/>
        <sz val="14"/>
        <color theme="3" tint="0.39997558519241921"/>
        <rFont val="宋体"/>
        <family val="3"/>
        <charset val="134"/>
      </rPr>
      <t>在建：</t>
    </r>
    <phoneticPr fontId="87"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</si>
  <si>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</si>
  <si>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</si>
  <si>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</si>
  <si>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</si>
  <si>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</si>
  <si>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</si>
  <si>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</si>
  <si>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</si>
  <si>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</si>
  <si>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</si>
  <si>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</si>
  <si>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</si>
  <si>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</si>
  <si>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</si>
  <si>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</si>
  <si>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</si>
  <si>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</si>
  <si>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</si>
  <si>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</si>
  <si>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</si>
  <si>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</si>
  <si>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</si>
  <si>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</si>
  <si>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</si>
  <si>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</si>
  <si>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</si>
  <si>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</si>
  <si>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</si>
  <si>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</si>
  <si>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</si>
  <si>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</si>
  <si>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</si>
  <si>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</si>
  <si>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</si>
  <si>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</si>
  <si>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</si>
  <si>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</si>
  <si>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</si>
  <si>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</si>
  <si>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</si>
  <si>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</si>
  <si>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</si>
  <si>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</si>
  <si>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</si>
  <si>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</si>
  <si>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</si>
  <si>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</si>
  <si>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</si>
  <si>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</si>
  <si>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</si>
  <si>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</si>
  <si>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</si>
  <si>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</si>
  <si>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</si>
  <si>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</si>
  <si>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</si>
  <si>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</si>
  <si>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</si>
  <si>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</si>
  <si>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</si>
  <si>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</si>
  <si>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</si>
  <si>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</si>
  <si>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</si>
  <si>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</si>
  <si>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</si>
  <si>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</si>
  <si>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</si>
  <si>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</si>
  <si>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</si>
  <si>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</si>
  <si>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</si>
  <si>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</si>
  <si>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</si>
  <si>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</si>
  <si>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</si>
  <si>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</si>
  <si>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</si>
  <si>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</si>
  <si>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</si>
  <si>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</si>
  <si>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</si>
  <si>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</si>
  <si>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</si>
  <si>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</si>
  <si>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</si>
  <si>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</si>
  <si>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</si>
  <si>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</si>
  <si>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</si>
  <si>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</si>
  <si>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</si>
  <si>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</si>
  <si>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</si>
  <si>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</si>
  <si>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</si>
  <si>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</si>
  <si>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</si>
  <si>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</si>
  <si>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</si>
  <si>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</si>
  <si>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</si>
  <si>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</si>
  <si>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</si>
  <si>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</si>
  <si>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</si>
  <si>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</si>
  <si>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</si>
  <si>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</si>
  <si>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</si>
  <si>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</si>
  <si>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</si>
  <si>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</si>
  <si>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</si>
  <si>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</si>
  <si>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</si>
  <si>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</si>
  <si>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</si>
  <si>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</si>
  <si>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</si>
  <si>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</si>
  <si>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</si>
  <si>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</si>
  <si>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</si>
  <si>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</si>
  <si>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</si>
  <si>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</si>
  <si>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</si>
  <si>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</si>
  <si>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</si>
  <si>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</si>
  <si>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</si>
  <si>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</si>
  <si>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</si>
  <si>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</si>
  <si>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</si>
  <si>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</si>
  <si>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</si>
  <si>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</si>
  <si>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</si>
  <si>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</si>
  <si>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</si>
  <si>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</si>
  <si>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</si>
  <si>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</si>
  <si>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</si>
  <si>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</si>
  <si>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</si>
  <si>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</si>
  <si>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</si>
  <si>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</si>
  <si>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</si>
  <si>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</si>
  <si>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</si>
  <si>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</si>
  <si>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</si>
  <si>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</si>
  <si>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</si>
  <si>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</si>
  <si>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</si>
  <si>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</si>
  <si>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</si>
  <si>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</si>
  <si>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</si>
  <si>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</si>
  <si>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</si>
  <si>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</si>
  <si>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</si>
  <si>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</si>
  <si>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</si>
  <si>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</si>
  <si>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</si>
  <si>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</si>
  <si>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</si>
  <si>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</si>
  <si>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</si>
  <si>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</si>
  <si>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</si>
  <si>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</si>
  <si>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</si>
  <si>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</si>
  <si>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</si>
  <si>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</si>
  <si>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</si>
  <si>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</si>
  <si>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</si>
  <si>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</si>
  <si>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</si>
  <si>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</si>
  <si>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</si>
  <si>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</si>
  <si>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</si>
  <si>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</si>
  <si>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</si>
  <si>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</si>
  <si>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</si>
  <si>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</si>
  <si>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</si>
  <si>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</si>
  <si>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</si>
  <si>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</si>
  <si>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</si>
  <si>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</si>
  <si>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</si>
  <si>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</si>
  <si>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</si>
  <si>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</si>
  <si>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</si>
  <si>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</si>
  <si>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</si>
  <si>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</si>
  <si>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</si>
  <si>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</si>
  <si>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</si>
  <si>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</si>
  <si>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</si>
  <si>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</si>
  <si>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</si>
  <si>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</si>
  <si>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</si>
  <si>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</si>
  <si>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</si>
  <si>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</si>
  <si>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</si>
  <si>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</si>
  <si>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</si>
  <si>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</si>
  <si>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</si>
  <si>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</si>
  <si>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</si>
  <si>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</si>
  <si>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</si>
  <si>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</si>
  <si>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</si>
  <si>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</si>
  <si>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</si>
  <si>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</si>
  <si>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</si>
  <si>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</si>
  <si>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</si>
  <si>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</si>
  <si>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</si>
  <si>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</si>
  <si>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</si>
  <si>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</si>
  <si>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</si>
  <si>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</si>
  <si>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</si>
  <si>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</si>
  <si>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</si>
  <si>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</si>
  <si>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</si>
  <si>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</si>
  <si>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</si>
  <si>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</si>
  <si>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</si>
  <si>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</si>
  <si>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</si>
  <si>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</si>
  <si>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</si>
  <si>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</si>
  <si>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</si>
  <si>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</si>
  <si>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</si>
  <si>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</si>
  <si>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</si>
  <si>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</si>
  <si>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</si>
  <si>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</si>
  <si>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</si>
  <si>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</si>
  <si>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</si>
  <si>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</si>
  <si>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</si>
  <si>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</si>
  <si>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</si>
  <si>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</si>
  <si>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</si>
  <si>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</si>
  <si>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</si>
  <si>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</si>
  <si>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</si>
  <si>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</si>
  <si>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</si>
  <si>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</si>
  <si>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</si>
  <si>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</si>
  <si>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</si>
  <si>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</si>
  <si>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</si>
  <si>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</si>
  <si>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</si>
  <si>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</si>
  <si>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</si>
  <si>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</si>
  <si>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</si>
  <si>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</si>
  <si>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</si>
  <si>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</si>
  <si>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</si>
  <si>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</si>
  <si>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</si>
  <si>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</si>
  <si>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</si>
  <si>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</si>
  <si>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</si>
  <si>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</si>
  <si>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</si>
  <si>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</si>
  <si>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</si>
  <si>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</si>
  <si>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</si>
  <si>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</si>
  <si>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</si>
  <si>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</si>
  <si>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</si>
  <si>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</si>
  <si>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</si>
  <si>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</si>
  <si>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</si>
  <si>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</si>
  <si>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</si>
  <si>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</si>
  <si>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</si>
  <si>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</si>
  <si>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</si>
  <si>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</si>
  <si>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</si>
  <si>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</si>
  <si>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</si>
  <si>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</si>
  <si>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</si>
  <si>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</si>
  <si>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</si>
  <si>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</si>
  <si>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</si>
  <si>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</si>
  <si>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</si>
  <si>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</si>
  <si>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</si>
  <si>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</si>
  <si>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</si>
  <si>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</si>
  <si>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</si>
  <si>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</si>
  <si>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</si>
  <si>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</si>
  <si>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</si>
  <si>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</si>
  <si>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</si>
  <si>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</si>
  <si>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</si>
  <si>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</si>
  <si>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</si>
  <si>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</si>
  <si>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</si>
  <si>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</si>
  <si>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</si>
  <si>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</si>
  <si>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</si>
  <si>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</si>
  <si>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</si>
  <si>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</si>
  <si>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</si>
  <si>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</si>
  <si>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</si>
  <si>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</si>
  <si>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</si>
  <si>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</si>
  <si>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</si>
  <si>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</si>
  <si>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</si>
  <si>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</si>
  <si>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</si>
  <si>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</si>
  <si>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</si>
  <si>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</si>
  <si>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</si>
  <si>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</si>
  <si>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</si>
  <si>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</si>
  <si>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</si>
  <si>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</si>
  <si>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</si>
  <si>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</si>
  <si>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</si>
  <si>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</si>
  <si>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</si>
  <si>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</si>
  <si>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</si>
  <si>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</si>
  <si>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</si>
  <si>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</si>
  <si>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</si>
  <si>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</si>
  <si>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</si>
  <si>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</si>
  <si>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</si>
  <si>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</si>
  <si>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</si>
  <si>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</si>
  <si>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</si>
  <si>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</si>
  <si>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</si>
  <si>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</si>
  <si>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</si>
  <si>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</si>
  <si>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</si>
  <si>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</si>
  <si>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</si>
  <si>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</si>
  <si>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</si>
  <si>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</si>
  <si>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</si>
  <si>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</si>
  <si>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</si>
  <si>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</si>
  <si>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</si>
  <si>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</si>
  <si>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</si>
  <si>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</si>
  <si>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</si>
  <si>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</si>
  <si>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</si>
  <si>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</si>
  <si>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</si>
  <si>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</si>
  <si>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</si>
  <si>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</si>
  <si>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</si>
  <si>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</si>
  <si>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</si>
  <si>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</si>
  <si>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</si>
  <si>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</si>
  <si>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</si>
  <si>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</si>
  <si>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</si>
  <si>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</si>
  <si>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</si>
  <si>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</si>
  <si>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</si>
  <si>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</si>
  <si>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</si>
  <si>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</si>
  <si>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</si>
  <si>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</si>
  <si>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</si>
  <si>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</si>
  <si>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</si>
  <si>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</si>
  <si>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</si>
  <si>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</si>
  <si>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</si>
  <si>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</si>
  <si>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</si>
  <si>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</si>
  <si>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</si>
  <si>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</si>
  <si>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</si>
  <si>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</si>
  <si>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</si>
  <si>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</si>
  <si>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</si>
  <si>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</si>
  <si>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</si>
  <si>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</si>
  <si>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</si>
  <si>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</si>
  <si>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</si>
  <si>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</si>
  <si>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</si>
  <si>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</si>
  <si>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</si>
  <si>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</si>
  <si>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</si>
  <si>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</si>
  <si>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</si>
  <si>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</si>
  <si>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</si>
  <si>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</si>
  <si>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</si>
  <si>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</si>
  <si>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</si>
  <si>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</si>
  <si>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</si>
  <si>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</si>
  <si>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</si>
  <si>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</si>
  <si>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</si>
  <si>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</si>
  <si>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</si>
  <si>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</si>
  <si>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</si>
  <si>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</si>
  <si>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</si>
  <si>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</si>
  <si>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</si>
  <si>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</si>
  <si>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</si>
  <si>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</si>
  <si>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</si>
  <si>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</si>
  <si>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</si>
  <si>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</si>
  <si>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</si>
  <si>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</si>
  <si>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</si>
  <si>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</si>
  <si>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</si>
  <si>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</si>
  <si>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</si>
  <si>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</si>
  <si>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</si>
  <si>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</si>
  <si>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</si>
  <si>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</si>
  <si>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</si>
  <si>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</si>
  <si>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</si>
  <si>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</si>
  <si>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</si>
  <si>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</si>
  <si>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</si>
  <si>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</si>
  <si>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</si>
  <si>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</si>
  <si>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</si>
  <si>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</si>
  <si>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</si>
  <si>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</si>
  <si>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</si>
  <si>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</si>
  <si>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</si>
  <si>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</si>
  <si>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</si>
  <si>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</si>
  <si>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</si>
  <si>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</si>
  <si>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</si>
  <si>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</si>
  <si>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</si>
  <si>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</si>
  <si>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</si>
  <si>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</si>
  <si>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</si>
  <si>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</si>
  <si>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</si>
  <si>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</si>
  <si>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</si>
  <si>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</si>
  <si>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</si>
  <si>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</si>
  <si>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</si>
  <si>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</si>
  <si>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</si>
  <si>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</si>
  <si>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</si>
  <si>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</si>
  <si>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</si>
  <si>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</si>
  <si>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</si>
  <si>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</si>
  <si>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</si>
  <si>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</si>
  <si>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</si>
  <si>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</si>
  <si>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</si>
  <si>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</si>
  <si>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</si>
  <si>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</si>
  <si>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</si>
  <si>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</si>
  <si>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</si>
  <si>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</si>
  <si>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</si>
  <si>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</si>
  <si>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</si>
  <si>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</si>
  <si>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</si>
  <si>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</si>
  <si>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</si>
  <si>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</si>
  <si>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</si>
  <si>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</si>
  <si>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</si>
  <si>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</si>
  <si>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</si>
  <si>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</si>
  <si>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</si>
  <si>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</si>
  <si>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</si>
  <si>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</si>
  <si>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</si>
  <si>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</si>
  <si>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</si>
  <si>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</si>
  <si>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</si>
  <si>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</si>
  <si>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</si>
  <si>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</si>
  <si>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</si>
  <si>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</si>
  <si>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</si>
  <si>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</si>
  <si>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</si>
  <si>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</si>
  <si>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</si>
  <si>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</si>
  <si>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</si>
  <si>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</si>
  <si>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</si>
  <si>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</si>
  <si>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</si>
  <si>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</si>
  <si>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</si>
  <si>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</si>
  <si>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</si>
  <si>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</si>
  <si>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</si>
  <si>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</si>
  <si>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</si>
  <si>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</si>
  <si>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</si>
  <si>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</si>
  <si>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</si>
  <si>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</si>
  <si>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</si>
  <si>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</si>
  <si>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</si>
  <si>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</si>
  <si>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</si>
  <si>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</si>
  <si>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</si>
  <si>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</si>
  <si>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</si>
  <si>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</si>
  <si>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</si>
  <si>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</si>
  <si>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</si>
  <si>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</si>
  <si>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</si>
  <si>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</si>
  <si>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</si>
  <si>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</si>
  <si>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</si>
  <si>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</si>
  <si>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</si>
  <si>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</si>
  <si>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</si>
  <si>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</si>
  <si>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</si>
  <si>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</si>
  <si>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</si>
  <si>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</si>
  <si>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</si>
  <si>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</si>
  <si>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</si>
  <si>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</si>
  <si>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</si>
  <si>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</si>
  <si>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</si>
  <si>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</si>
  <si>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</si>
  <si>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</si>
  <si>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</si>
  <si>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</si>
  <si>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</si>
  <si>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</si>
  <si>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</si>
  <si>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</si>
  <si>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</si>
  <si>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</si>
  <si>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</si>
  <si>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</si>
  <si>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</si>
  <si>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</si>
  <si>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</si>
  <si>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</si>
  <si>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</si>
  <si>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</si>
  <si>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</si>
  <si>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</si>
  <si>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</si>
  <si>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</si>
  <si>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</si>
  <si>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</si>
  <si>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</si>
  <si>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</si>
  <si>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</si>
  <si>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</si>
  <si>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</si>
  <si>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</si>
  <si>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</si>
  <si>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</si>
  <si>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</si>
  <si>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</si>
  <si>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</si>
  <si>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</si>
  <si>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</si>
  <si>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</si>
  <si>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</si>
  <si>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</si>
  <si>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</si>
  <si>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</si>
  <si>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</si>
  <si>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</si>
  <si>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</si>
  <si>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</si>
  <si>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</si>
  <si>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</si>
  <si>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</si>
  <si>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</si>
  <si>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</si>
  <si>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</si>
  <si>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</si>
  <si>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</si>
  <si>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</si>
  <si>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</si>
  <si>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</si>
  <si>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</si>
  <si>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</si>
  <si>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</si>
  <si>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</si>
  <si>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</si>
  <si>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</si>
  <si>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</si>
  <si>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</si>
  <si>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</si>
  <si>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</si>
  <si>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</si>
  <si>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</si>
  <si>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</si>
  <si>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</si>
  <si>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</si>
  <si>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</si>
  <si>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</si>
  <si>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</si>
  <si>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</si>
  <si>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</si>
  <si>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</si>
  <si>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</si>
  <si>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</si>
  <si>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</si>
  <si>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</si>
  <si>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</si>
  <si>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</si>
  <si>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</si>
  <si>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</si>
  <si>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</si>
  <si>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</si>
  <si>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</si>
  <si>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</si>
  <si>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</si>
  <si>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</si>
  <si>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</si>
  <si>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</si>
  <si>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</si>
  <si>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</si>
  <si>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</si>
  <si>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</si>
  <si>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</si>
  <si>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</si>
  <si>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</si>
  <si>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</si>
  <si>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</si>
  <si>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</si>
  <si>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</si>
  <si>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</si>
  <si>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</si>
  <si>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</si>
  <si>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</si>
  <si>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</si>
  <si>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</si>
  <si>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</si>
  <si>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</si>
  <si>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</si>
  <si>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</si>
  <si>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</si>
  <si>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</si>
  <si>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</si>
  <si>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</si>
  <si>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</si>
  <si>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</si>
  <si>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</si>
  <si>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</si>
  <si>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</si>
  <si>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</si>
  <si>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</si>
  <si>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</si>
  <si>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</si>
  <si>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</si>
  <si>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</si>
  <si>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</si>
  <si>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</si>
  <si>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</si>
  <si>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</si>
  <si>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</si>
  <si>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</si>
  <si>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</si>
  <si>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</si>
  <si>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</si>
  <si>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</si>
  <si>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</si>
  <si>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</si>
  <si>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</si>
  <si>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</si>
  <si>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</si>
  <si>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</si>
  <si>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</si>
  <si>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</si>
  <si>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</si>
  <si>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</si>
  <si>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</si>
  <si>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</si>
  <si>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</si>
  <si>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</si>
  <si>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</si>
  <si>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</si>
  <si>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</si>
  <si>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</si>
  <si>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</si>
  <si>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</si>
  <si>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</si>
  <si>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</si>
  <si>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</si>
  <si>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</si>
  <si>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</si>
  <si>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</si>
  <si>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</si>
  <si>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</si>
  <si>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</si>
  <si>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</si>
  <si>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</si>
  <si>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</si>
  <si>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</si>
  <si>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</si>
  <si>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</si>
  <si>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</si>
  <si>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</si>
  <si>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</si>
  <si>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</si>
  <si>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</si>
  <si>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</si>
  <si>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</si>
  <si>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</si>
  <si>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</si>
  <si>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</si>
  <si>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</si>
  <si>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</si>
  <si>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</si>
  <si>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</si>
  <si>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</si>
  <si>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</si>
  <si>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</si>
  <si>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</si>
  <si>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</si>
  <si>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</si>
  <si>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</si>
  <si>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</si>
  <si>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</si>
  <si>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</si>
  <si>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</si>
  <si>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</si>
  <si>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</si>
  <si>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</si>
  <si>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</si>
  <si>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</si>
  <si>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</si>
  <si>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</si>
  <si>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</si>
  <si>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</si>
  <si>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</si>
  <si>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</si>
  <si>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</si>
  <si>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</si>
  <si>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</si>
  <si>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</si>
  <si>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</si>
  <si>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</si>
  <si>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</si>
  <si>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</si>
  <si>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</si>
  <si>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</si>
  <si>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</si>
  <si>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</si>
  <si>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</si>
  <si>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</si>
  <si>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</si>
  <si>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</si>
  <si>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</si>
  <si>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</si>
  <si>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</si>
  <si>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</si>
  <si>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</si>
  <si>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</si>
  <si>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</si>
  <si>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</si>
  <si>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</si>
  <si>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</si>
  <si>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</si>
  <si>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</si>
  <si>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</si>
  <si>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</si>
  <si>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</si>
  <si>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</si>
  <si>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</si>
  <si>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</si>
  <si>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</si>
  <si>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</si>
  <si>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</si>
  <si>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</si>
  <si>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</si>
  <si>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</si>
  <si>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</si>
  <si>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</si>
  <si>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</si>
  <si>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</si>
  <si>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</si>
  <si>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</si>
  <si>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</si>
  <si>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</si>
  <si>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</si>
  <si>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</si>
  <si>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</si>
  <si>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</si>
  <si>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</si>
  <si>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</si>
  <si>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</si>
  <si>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</si>
  <si>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</si>
  <si>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</si>
  <si>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</si>
  <si>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</si>
  <si>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</si>
  <si>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</si>
  <si>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</si>
  <si>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</si>
  <si>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</si>
  <si>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</si>
  <si>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</si>
  <si>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</si>
  <si>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</si>
  <si>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</si>
  <si>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</si>
  <si>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</si>
  <si>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</si>
  <si>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</si>
  <si>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</si>
  <si>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</si>
  <si>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</si>
  <si>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</si>
  <si>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</si>
  <si>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</si>
  <si>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</si>
  <si>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</si>
  <si>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</si>
  <si>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</si>
  <si>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</si>
  <si>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</si>
  <si>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</si>
  <si>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</si>
  <si>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</si>
  <si>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</si>
  <si>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</si>
  <si>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</si>
  <si>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</si>
  <si>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</si>
  <si>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</si>
  <si>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</si>
  <si>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</si>
  <si>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</si>
  <si>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</si>
  <si>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</si>
  <si>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</si>
  <si>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</si>
  <si>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</si>
  <si>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</si>
  <si>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</si>
  <si>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</si>
  <si>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</si>
  <si>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</si>
  <si>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</si>
  <si>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</si>
  <si>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</si>
  <si>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</si>
  <si>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</si>
  <si>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</si>
  <si>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</si>
  <si>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</si>
  <si>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</si>
  <si>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</si>
  <si>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</si>
  <si>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</si>
  <si>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</si>
  <si>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</si>
  <si>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</si>
  <si>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</si>
  <si>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</si>
  <si>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</si>
  <si>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</si>
  <si>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</si>
  <si>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</si>
  <si>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</si>
  <si>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</si>
  <si>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</si>
  <si>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</si>
  <si>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</si>
  <si>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</si>
  <si>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</si>
  <si>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</si>
  <si>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</si>
  <si>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</si>
  <si>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</si>
  <si>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</si>
  <si>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</si>
  <si>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</si>
  <si>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</si>
  <si>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</si>
  <si>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</si>
  <si>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</si>
  <si>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</si>
  <si>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</si>
  <si>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</si>
  <si>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</si>
  <si>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</si>
  <si>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</si>
  <si>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</si>
  <si>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</si>
  <si>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</si>
  <si>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</si>
  <si>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</si>
  <si>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</si>
  <si>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</si>
  <si>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</si>
  <si>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</si>
  <si>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</si>
  <si>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</si>
  <si>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</si>
  <si>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</si>
  <si>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</si>
  <si>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</si>
  <si>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</si>
  <si>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</si>
  <si>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</si>
  <si>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</si>
  <si>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</si>
  <si>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</si>
  <si>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</si>
  <si>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</si>
  <si>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</si>
  <si>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</si>
  <si>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</si>
  <si>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</si>
  <si>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</si>
  <si>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</si>
  <si>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</si>
  <si>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</si>
  <si>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</si>
  <si>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</si>
  <si>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</si>
  <si>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</si>
  <si>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</si>
  <si>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</si>
  <si>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</si>
  <si>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</si>
  <si>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</si>
  <si>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</si>
  <si>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</si>
  <si>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</si>
  <si>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</si>
  <si>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</si>
  <si>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</si>
  <si>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</si>
  <si>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</si>
  <si>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</si>
  <si>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</si>
  <si>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</si>
  <si>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</si>
  <si>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</si>
  <si>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</si>
  <si>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</si>
  <si>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</si>
  <si>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</si>
  <si>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</si>
  <si>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</si>
  <si>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</si>
  <si>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</si>
  <si>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</si>
  <si>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</si>
  <si>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</si>
  <si>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</si>
  <si>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</si>
  <si>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</si>
  <si>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</si>
  <si>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</si>
  <si>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</si>
  <si>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</si>
  <si>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</si>
  <si>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</si>
  <si>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</si>
  <si>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</si>
  <si>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</si>
  <si>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</si>
  <si>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</si>
  <si>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</si>
  <si>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</si>
  <si>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</si>
  <si>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</si>
  <si>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</si>
  <si>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</si>
  <si>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</si>
  <si>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</si>
  <si>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</si>
  <si>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</si>
  <si>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</si>
  <si>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</si>
  <si>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</si>
  <si>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</si>
  <si>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</si>
  <si>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</si>
  <si>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</si>
  <si>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</si>
  <si>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</si>
  <si>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</si>
  <si>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</si>
  <si>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</si>
  <si>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</si>
  <si>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</si>
  <si>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</si>
  <si>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</si>
  <si>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</si>
  <si>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</si>
  <si>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</si>
  <si>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</si>
  <si>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</si>
  <si>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</si>
  <si>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</si>
  <si>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</si>
  <si>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</si>
  <si>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</si>
  <si>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</si>
  <si>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</si>
  <si>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</si>
  <si>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</si>
  <si>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</si>
  <si>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</si>
  <si>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</si>
  <si>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</si>
  <si>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</si>
  <si>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</si>
  <si>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</si>
  <si>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</si>
  <si>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</si>
  <si>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</si>
  <si>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</si>
  <si>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</si>
  <si>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</si>
  <si>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</si>
  <si>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</si>
  <si>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</si>
  <si>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</si>
  <si>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</si>
  <si>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</si>
  <si>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</si>
  <si>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</si>
  <si>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</si>
  <si>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</si>
  <si>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</si>
  <si>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</si>
  <si>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</si>
  <si>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</si>
  <si>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</si>
  <si>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</si>
  <si>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</si>
  <si>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</si>
  <si>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</si>
  <si>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</si>
  <si>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</si>
  <si>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</si>
  <si>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</si>
  <si>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</si>
  <si>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</si>
  <si>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</si>
  <si>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</si>
  <si>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</si>
  <si>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</si>
  <si>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</si>
  <si>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</si>
  <si>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</si>
  <si>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</si>
  <si>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</si>
  <si>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</si>
  <si>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</si>
  <si>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</si>
  <si>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</si>
  <si>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</si>
  <si>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</si>
  <si>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</si>
  <si>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</si>
  <si>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</si>
  <si>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</si>
  <si>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</si>
  <si>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</si>
  <si>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</si>
  <si>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</si>
  <si>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</si>
  <si>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</si>
  <si>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</si>
  <si>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</si>
  <si>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</si>
  <si>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</si>
  <si>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</si>
  <si>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</si>
  <si>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</si>
  <si>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</si>
  <si>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</si>
  <si>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</si>
  <si>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</si>
  <si>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</si>
  <si>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</si>
  <si>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</si>
  <si>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</si>
  <si>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</si>
  <si>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</si>
  <si>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</si>
  <si>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</si>
  <si>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</si>
  <si>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</si>
  <si>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</si>
  <si>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</si>
  <si>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</si>
  <si>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</si>
  <si>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</si>
  <si>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</si>
  <si>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</si>
  <si>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</si>
  <si>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</si>
  <si>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</si>
  <si>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</si>
  <si>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</si>
  <si>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</si>
  <si>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</si>
  <si>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</si>
  <si>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</si>
  <si>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</si>
  <si>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</si>
  <si>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</si>
  <si>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</si>
  <si>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</si>
  <si>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</si>
  <si>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</si>
  <si>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</si>
  <si>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</si>
  <si>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</si>
  <si>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</si>
  <si>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</si>
  <si>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</si>
  <si>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</si>
  <si>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</si>
  <si>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</si>
  <si>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</si>
  <si>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</si>
  <si>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</si>
  <si>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</si>
  <si>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</si>
  <si>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</si>
  <si>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</si>
  <si>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</si>
  <si>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</si>
  <si>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</si>
  <si>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</si>
  <si>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</si>
  <si>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</si>
  <si>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</si>
  <si>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</si>
  <si>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</si>
  <si>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</si>
  <si>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</si>
  <si>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</si>
  <si>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</si>
  <si>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</si>
  <si>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</si>
  <si>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</si>
  <si>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</si>
  <si>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</si>
  <si>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</si>
  <si>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</si>
  <si>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</si>
  <si>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</si>
  <si>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</si>
  <si>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</si>
  <si>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</si>
  <si>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</si>
  <si>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</si>
  <si>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</si>
  <si>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</si>
  <si>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</si>
  <si>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</si>
  <si>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</si>
  <si>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</si>
  <si>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</si>
  <si>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</si>
  <si>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</si>
  <si>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</si>
  <si>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</si>
  <si>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</si>
  <si>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</si>
  <si>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</si>
  <si>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</si>
  <si>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</si>
  <si>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</si>
  <si>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</si>
  <si>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</si>
  <si>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</si>
  <si>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</si>
  <si>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</si>
  <si>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</si>
  <si>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</si>
  <si>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</si>
  <si>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</si>
  <si>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</si>
  <si>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</si>
  <si>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</si>
  <si>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</si>
  <si>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</si>
  <si>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</si>
  <si>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</si>
  <si>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</si>
  <si>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</si>
  <si>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</si>
  <si>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</si>
  <si>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</si>
  <si>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</si>
  <si>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</si>
  <si>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</si>
  <si>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</si>
  <si>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</si>
  <si>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</si>
  <si>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</si>
  <si>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</si>
  <si>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</si>
  <si>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</si>
  <si>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</si>
  <si>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</si>
  <si>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</si>
  <si>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</si>
  <si>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</si>
  <si>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</si>
  <si>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</si>
  <si>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</si>
  <si>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</si>
  <si>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</si>
  <si>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</si>
  <si>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</si>
  <si>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</si>
  <si>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</si>
  <si>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</si>
  <si>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</si>
  <si>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</si>
  <si>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</si>
  <si>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</si>
  <si>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</si>
  <si>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</si>
  <si>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</si>
  <si>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</si>
  <si>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</si>
  <si>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</si>
  <si>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</si>
  <si>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</si>
  <si>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</si>
  <si>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</si>
  <si>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</si>
  <si>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</si>
  <si>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</si>
  <si>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</si>
  <si>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</si>
  <si>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</si>
  <si>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</si>
  <si>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</si>
  <si>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</si>
  <si>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</si>
  <si>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</si>
  <si>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</si>
  <si>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</si>
  <si>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</si>
  <si>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</si>
  <si>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</si>
  <si>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</si>
  <si>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</si>
  <si>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</si>
  <si>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</si>
  <si>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</si>
  <si>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</si>
  <si>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</si>
  <si>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</si>
  <si>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</si>
  <si>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</si>
  <si>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</si>
  <si>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</si>
  <si>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</si>
  <si>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</si>
  <si>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</si>
  <si>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</si>
  <si>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</si>
  <si>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</si>
  <si>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</si>
  <si>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</si>
  <si>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</si>
  <si>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</si>
  <si>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</si>
  <si>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</si>
  <si>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</si>
  <si>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</si>
  <si>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</si>
  <si>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</si>
  <si>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</si>
  <si>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</si>
  <si>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</si>
  <si>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</si>
  <si>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</si>
  <si>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</si>
  <si>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</si>
  <si>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</si>
  <si>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</si>
  <si>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</si>
  <si>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抵押</t>
  </si>
  <si>
    <t>房地产抵押价值</t>
  </si>
  <si>
    <t>其他：</t>
  </si>
  <si>
    <t>武汉</t>
    <phoneticPr fontId="6" type="noConversion"/>
  </si>
  <si>
    <t>企业</t>
  </si>
  <si>
    <t>出让</t>
  </si>
  <si>
    <t>城镇住宅用地</t>
    <phoneticPr fontId="6" type="noConversion"/>
  </si>
  <si>
    <r>
      <rPr>
        <sz val="12"/>
        <color theme="9" tint="-0.249977111117893"/>
        <rFont val="宋体"/>
        <family val="3"/>
        <charset val="134"/>
      </rPr>
      <t>《房产面积预测技术报告》</t>
    </r>
    <r>
      <rPr>
        <sz val="12"/>
        <color theme="9" tint="-0.249977111117893"/>
        <rFont val="Arial"/>
        <family val="2"/>
      </rPr>
      <t>[</t>
    </r>
    <r>
      <rPr>
        <sz val="12"/>
        <color theme="9" tint="-0.249977111117893"/>
        <rFont val="宋体"/>
        <family val="3"/>
        <charset val="134"/>
      </rPr>
      <t>新建居住项目（大洲村城中村改造</t>
    </r>
    <r>
      <rPr>
        <sz val="12"/>
        <color theme="9" tint="-0.249977111117893"/>
        <rFont val="Arial"/>
        <family val="2"/>
      </rPr>
      <t>K2</t>
    </r>
    <r>
      <rPr>
        <sz val="12"/>
        <color theme="9" tint="-0.249977111117893"/>
        <rFont val="宋体"/>
        <family val="3"/>
        <charset val="134"/>
      </rPr>
      <t>地块一期）</t>
    </r>
    <r>
      <rPr>
        <sz val="12"/>
        <color theme="9" tint="-0.249977111117893"/>
        <rFont val="Arial"/>
        <family val="2"/>
      </rPr>
      <t>]</t>
    </r>
    <phoneticPr fontId="6" type="noConversion"/>
  </si>
  <si>
    <t>否</t>
  </si>
  <si>
    <t>《不动产权证书》</t>
  </si>
  <si>
    <t>复印件</t>
  </si>
  <si>
    <t>居住项目</t>
  </si>
  <si>
    <t>在建</t>
  </si>
  <si>
    <t>通路</t>
  </si>
  <si>
    <t>通电</t>
  </si>
  <si>
    <t>通上水</t>
  </si>
  <si>
    <t>是</t>
  </si>
  <si>
    <t>地上</t>
  </si>
  <si>
    <t>住宅</t>
  </si>
  <si>
    <t>普通住宅</t>
  </si>
  <si>
    <t>地下</t>
  </si>
  <si>
    <t>车库</t>
  </si>
  <si>
    <t>独立商业</t>
  </si>
  <si>
    <t>住宅</t>
    <phoneticPr fontId="3" type="noConversion"/>
  </si>
  <si>
    <t>车库</t>
    <phoneticPr fontId="3" type="noConversion"/>
  </si>
  <si>
    <t>独立商业</t>
    <phoneticPr fontId="3" type="noConversion"/>
  </si>
  <si>
    <t>比较法-住宅</t>
  </si>
  <si>
    <t>土地比较法-住宅、综合</t>
  </si>
  <si>
    <t>招商一江璟城</t>
    <phoneticPr fontId="3" type="noConversion"/>
  </si>
  <si>
    <t>青山区和平大道建设六路</t>
    <phoneticPr fontId="3" type="noConversion"/>
  </si>
  <si>
    <t>中冶·39大街</t>
    <phoneticPr fontId="3" type="noConversion"/>
  </si>
  <si>
    <t>青山区武汉市青山区建设三路与旅大街交汇处</t>
    <phoneticPr fontId="3" type="noConversion"/>
  </si>
  <si>
    <t>武昌区黄鹤路与明德路交汇处</t>
    <phoneticPr fontId="3" type="noConversion"/>
  </si>
  <si>
    <t>金茂府</t>
    <phoneticPr fontId="3" type="noConversion"/>
  </si>
  <si>
    <t>正常</t>
  </si>
  <si>
    <t>住宅</t>
    <phoneticPr fontId="25" type="noConversion"/>
  </si>
  <si>
    <t>60-70（含）</t>
  </si>
  <si>
    <t>较好</t>
  </si>
  <si>
    <t>一般</t>
  </si>
  <si>
    <t>超高层</t>
  </si>
  <si>
    <t>超高层</t>
    <phoneticPr fontId="25" type="noConversion"/>
  </si>
  <si>
    <t>钢混</t>
  </si>
  <si>
    <t>钢混</t>
    <phoneticPr fontId="25" type="noConversion"/>
  </si>
  <si>
    <t>高档</t>
  </si>
  <si>
    <t>高档</t>
    <phoneticPr fontId="25" type="noConversion"/>
  </si>
  <si>
    <t>中档</t>
  </si>
  <si>
    <t>中档</t>
    <phoneticPr fontId="25" type="noConversion"/>
  </si>
  <si>
    <t>精装修</t>
    <phoneticPr fontId="3" type="noConversion"/>
  </si>
  <si>
    <t>普装</t>
    <phoneticPr fontId="3" type="noConversion"/>
  </si>
  <si>
    <t>简装</t>
    <phoneticPr fontId="3" type="noConversion"/>
  </si>
  <si>
    <t>毛坯</t>
    <phoneticPr fontId="3" type="noConversion"/>
  </si>
  <si>
    <t>专业</t>
  </si>
  <si>
    <t>专业</t>
    <phoneticPr fontId="25" type="noConversion"/>
  </si>
  <si>
    <t>精装修</t>
  </si>
  <si>
    <t>毛坯</t>
  </si>
  <si>
    <t>好</t>
  </si>
  <si>
    <t>售价</t>
  </si>
  <si>
    <t>比较法-商业</t>
  </si>
  <si>
    <t>光谷东地铁11号线沿线</t>
    <phoneticPr fontId="3" type="noConversion"/>
  </si>
  <si>
    <t>南湖大道</t>
    <phoneticPr fontId="3" type="noConversion"/>
  </si>
  <si>
    <r>
      <rPr>
        <sz val="11"/>
        <color indexed="8"/>
        <rFont val="宋体"/>
        <family val="3"/>
        <charset val="134"/>
      </rPr>
      <t>商业</t>
    </r>
    <r>
      <rPr>
        <sz val="11"/>
        <color indexed="8"/>
        <rFont val="Arial"/>
        <family val="2"/>
      </rPr>
      <t xml:space="preserve"> </t>
    </r>
    <phoneticPr fontId="31" type="noConversion"/>
  </si>
  <si>
    <t xml:space="preserve">商业 </t>
  </si>
  <si>
    <t>临街</t>
  </si>
  <si>
    <t>临街</t>
    <phoneticPr fontId="31" type="noConversion"/>
  </si>
  <si>
    <t>多</t>
  </si>
  <si>
    <t>多</t>
    <phoneticPr fontId="31" type="noConversion"/>
  </si>
  <si>
    <t>商业街商铺</t>
  </si>
  <si>
    <t>商业街商铺</t>
    <phoneticPr fontId="31" type="noConversion"/>
  </si>
  <si>
    <t>社区商铺</t>
  </si>
  <si>
    <t>社区商铺</t>
    <phoneticPr fontId="31" type="noConversion"/>
  </si>
  <si>
    <t>比较法-车位</t>
  </si>
  <si>
    <t>住宅</t>
    <phoneticPr fontId="32" type="noConversion"/>
  </si>
  <si>
    <t>元/车位</t>
  </si>
  <si>
    <t>项目全部</t>
  </si>
  <si>
    <t>成本法</t>
  </si>
  <si>
    <t>假设开发法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</si>
  <si>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</si>
  <si>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</si>
  <si>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</si>
  <si>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</si>
  <si>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</si>
  <si>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</si>
  <si>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</si>
  <si>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</si>
  <si>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</si>
  <si>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</si>
  <si>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</si>
  <si>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</si>
  <si>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</si>
  <si>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武汉市</t>
  </si>
  <si>
    <t>综合用地(含住宅)</t>
  </si>
  <si>
    <t>挂牌</t>
  </si>
  <si>
    <t>洪山区南湖北岸、卓刀泉南路以西</t>
  </si>
  <si>
    <t>住宅用地</t>
  </si>
  <si>
    <t>3.2,2.4</t>
  </si>
  <si>
    <t>2018-01-12</t>
  </si>
  <si>
    <t>武汉市鼎顺瑞城</t>
  </si>
  <si>
    <t>中建三局</t>
  </si>
  <si>
    <t>2018-01-02</t>
  </si>
  <si>
    <t>武汉市地安君泰房地产开发有限公司</t>
  </si>
  <si>
    <t>河南佳美上境置业有限公司</t>
  </si>
  <si>
    <t>2017-12-04</t>
  </si>
  <si>
    <t>洪山区武金堤路以东,白沙四路以北,夹套河路以西</t>
  </si>
  <si>
    <t>武汉城鑫联房地产开发有限公司</t>
  </si>
  <si>
    <t>武汉阳光万悦房地产开发有限公司</t>
  </si>
  <si>
    <t>住宅</t>
    <phoneticPr fontId="31" type="noConversion"/>
  </si>
  <si>
    <t>70</t>
    <phoneticPr fontId="31" type="noConversion"/>
  </si>
  <si>
    <t>70</t>
    <phoneticPr fontId="31" type="noConversion"/>
  </si>
  <si>
    <t>双面临街</t>
  </si>
  <si>
    <t>单面临街</t>
  </si>
  <si>
    <t>城市主干道</t>
    <phoneticPr fontId="3" type="noConversion"/>
  </si>
  <si>
    <t>城市次干道</t>
    <phoneticPr fontId="3" type="noConversion"/>
  </si>
  <si>
    <t>城市支路</t>
    <phoneticPr fontId="3" type="noConversion"/>
  </si>
  <si>
    <t>城市主干道</t>
  </si>
  <si>
    <t>近似规则</t>
    <phoneticPr fontId="3" type="noConversion"/>
  </si>
  <si>
    <t>三通</t>
    <phoneticPr fontId="3" type="noConversion"/>
  </si>
  <si>
    <t>良好</t>
    <phoneticPr fontId="3" type="noConversion"/>
  </si>
  <si>
    <t>近似规则</t>
  </si>
  <si>
    <t>三通</t>
  </si>
  <si>
    <t>良好</t>
  </si>
  <si>
    <t>已包含在土地取得成本中</t>
  </si>
  <si>
    <t>六通</t>
  </si>
  <si>
    <t>六通</t>
    <phoneticPr fontId="25" type="noConversion"/>
  </si>
  <si>
    <t>六通</t>
    <phoneticPr fontId="31" type="noConversion"/>
  </si>
  <si>
    <t>30-40（含）</t>
  </si>
  <si>
    <t>未包含在土地购买价格中</t>
  </si>
  <si>
    <t>商业</t>
    <phoneticPr fontId="18" type="noConversion"/>
  </si>
  <si>
    <t>一层售价</t>
    <phoneticPr fontId="18" type="noConversion"/>
  </si>
  <si>
    <r>
      <rPr>
        <sz val="10"/>
        <color indexed="8"/>
        <rFont val="宋体"/>
        <family val="3"/>
        <charset val="134"/>
      </rPr>
      <t>修正系数</t>
    </r>
    <r>
      <rPr>
        <sz val="10"/>
        <color indexed="8"/>
        <rFont val="Arial"/>
        <family val="2"/>
      </rPr>
      <t xml:space="preserve"> </t>
    </r>
    <phoneticPr fontId="18" type="noConversion"/>
  </si>
  <si>
    <t>二层售价</t>
    <phoneticPr fontId="18" type="noConversion"/>
  </si>
  <si>
    <t>三层售价</t>
    <phoneticPr fontId="18" type="noConversion"/>
  </si>
  <si>
    <t>光谷行政服务中心</t>
    <phoneticPr fontId="3" type="noConversion"/>
  </si>
  <si>
    <t>面积</t>
    <phoneticPr fontId="18" type="noConversion"/>
  </si>
  <si>
    <t>一期</t>
    <phoneticPr fontId="18" type="noConversion"/>
  </si>
  <si>
    <t>S1</t>
    <phoneticPr fontId="18" type="noConversion"/>
  </si>
  <si>
    <t>S2</t>
    <phoneticPr fontId="18" type="noConversion"/>
  </si>
  <si>
    <t>S3</t>
  </si>
  <si>
    <t>S4</t>
  </si>
  <si>
    <t>S5</t>
  </si>
  <si>
    <t>S6</t>
  </si>
  <si>
    <t>S9</t>
  </si>
  <si>
    <t>S10</t>
  </si>
  <si>
    <t>S11</t>
  </si>
  <si>
    <t>S12</t>
  </si>
  <si>
    <t>S13</t>
  </si>
  <si>
    <t>二期</t>
    <phoneticPr fontId="18" type="noConversion"/>
  </si>
  <si>
    <t>S7</t>
    <phoneticPr fontId="18" type="noConversion"/>
  </si>
  <si>
    <t>S8</t>
    <phoneticPr fontId="18" type="noConversion"/>
  </si>
  <si>
    <t>面积</t>
    <phoneticPr fontId="18" type="noConversion"/>
  </si>
  <si>
    <t>单层面积</t>
    <phoneticPr fontId="18" type="noConversion"/>
  </si>
  <si>
    <t>售价</t>
    <phoneticPr fontId="18" type="noConversion"/>
  </si>
  <si>
    <t>综合单价</t>
    <phoneticPr fontId="18" type="noConversion"/>
  </si>
  <si>
    <t>层数</t>
    <phoneticPr fontId="18" type="noConversion"/>
  </si>
  <si>
    <t>总计</t>
    <phoneticPr fontId="18" type="noConversion"/>
  </si>
  <si>
    <r>
      <t>1-2</t>
    </r>
    <r>
      <rPr>
        <sz val="10"/>
        <color indexed="8"/>
        <rFont val="宋体"/>
        <family val="3"/>
        <charset val="134"/>
      </rPr>
      <t>层</t>
    </r>
    <phoneticPr fontId="18" type="noConversion"/>
  </si>
  <si>
    <r>
      <t>1-3</t>
    </r>
    <r>
      <rPr>
        <sz val="12"/>
        <color indexed="8"/>
        <rFont val="宋体"/>
        <family val="3"/>
        <charset val="134"/>
      </rPr>
      <t>层</t>
    </r>
    <phoneticPr fontId="18" type="noConversion"/>
  </si>
  <si>
    <t>1层</t>
    <phoneticPr fontId="18" type="noConversion"/>
  </si>
  <si>
    <t>1-2层</t>
    <phoneticPr fontId="18" type="noConversion"/>
  </si>
  <si>
    <t>1-3层</t>
    <phoneticPr fontId="18" type="noConversion"/>
  </si>
  <si>
    <t>住宅</t>
    <phoneticPr fontId="18" type="noConversion"/>
  </si>
  <si>
    <t>毛坯面积</t>
    <phoneticPr fontId="18" type="noConversion"/>
  </si>
  <si>
    <t>精装面积</t>
    <phoneticPr fontId="18" type="noConversion"/>
  </si>
  <si>
    <t>成本比率</t>
  </si>
  <si>
    <t>汉阳区琴台大道与罗七路交汇处</t>
  </si>
  <si>
    <t>2018-01-30</t>
  </si>
  <si>
    <t>武汉瑞益房地产开发有限责任公司</t>
  </si>
  <si>
    <t>武昌区临江大道与彭刘杨路交汇处</t>
  </si>
  <si>
    <t>地上2.09,地下0.77</t>
  </si>
  <si>
    <t>武汉融拓盛澜房地产开发</t>
  </si>
  <si>
    <t>洪山区白沙洲大道与八坦路交汇处</t>
  </si>
  <si>
    <t>东湖新技术开发区花山大道以西、春和路以南</t>
  </si>
  <si>
    <t>≥1.0,≤1.2</t>
  </si>
  <si>
    <t>2018-01-03</t>
  </si>
  <si>
    <t>武汉花山生态新城地产有限公司</t>
  </si>
  <si>
    <t>武昌区张之洞路与解放路的交汇处</t>
  </si>
  <si>
    <t>2017-12-29</t>
  </si>
  <si>
    <t>武汉市轨道交通建设有限公司</t>
  </si>
  <si>
    <t>武昌区武珞路与宝通寺路交汇处</t>
  </si>
  <si>
    <t>武汉武商百盛置业有限公司</t>
  </si>
  <si>
    <t>东西湖区径河街办事处三店中路东、黄狮海南</t>
  </si>
  <si>
    <t>武汉金悦鑫汉和置业有限公司</t>
  </si>
  <si>
    <t>江汉区青年路与牯牛洲街交汇处</t>
  </si>
  <si>
    <t>武汉房地产开发有限公司</t>
  </si>
  <si>
    <t>东西湖区环湖中路南、北区一路西</t>
  </si>
  <si>
    <t>武汉华侨城实业发展有限公司</t>
  </si>
  <si>
    <t>青山区工业路与黄州街交汇处</t>
  </si>
  <si>
    <t>武汉市雅苑房地产开发有限责任公司</t>
  </si>
  <si>
    <t>洪山区白沙洲四坦路8号</t>
  </si>
  <si>
    <t>武汉经济技术开发区三环线与龙阳大道交汇处</t>
  </si>
  <si>
    <t>2017-07-04</t>
  </si>
  <si>
    <t>武汉地铁汉正街置业有限公司</t>
  </si>
  <si>
    <t>洪山区大洲村(大洲村A包)</t>
  </si>
  <si>
    <t>4.07、4.70</t>
  </si>
  <si>
    <t>2017-01-24</t>
  </si>
  <si>
    <t>金科地产集团武汉有限公司</t>
  </si>
  <si>
    <t>洪山区白沙小路以东、青菱西路以西、滨河路以北</t>
    <phoneticPr fontId="143" type="noConversion"/>
  </si>
  <si>
    <t>洪山区青菱西路以东、白沙五路以南、滨河路以北</t>
    <phoneticPr fontId="143" type="noConversion"/>
  </si>
  <si>
    <t>洪山区白沙洲八坦路</t>
    <phoneticPr fontId="143" type="noConversion"/>
  </si>
  <si>
    <t>刘敬东</t>
  </si>
  <si>
    <t>2018-1-0702-P02DYGJ9</t>
    <phoneticPr fontId="6" type="noConversion"/>
  </si>
  <si>
    <t>估价对象所属金科城项目已开工建设，正在进行主体结构施工。本次评估估价对象住宅面积462528.7平方米，独立商业面积22562.96平方米，地下车库面积124699.67平方米。</t>
    <phoneticPr fontId="87" type="noConversion"/>
  </si>
  <si>
    <r>
      <rPr>
        <i/>
        <sz val="14"/>
        <color theme="3" tint="0.39997558519241921"/>
        <rFont val="宋体"/>
        <family val="3"/>
        <charset val="134"/>
      </rPr>
      <t>估价对象经营性用途规划建筑面积</t>
    </r>
    <r>
      <rPr>
        <i/>
        <sz val="14"/>
        <color theme="3" tint="0.39997558519241921"/>
        <rFont val="Arial"/>
        <family val="2"/>
      </rPr>
      <t>609791.33</t>
    </r>
    <r>
      <rPr>
        <i/>
        <sz val="14"/>
        <color theme="3" tint="0.39997558519241921"/>
        <rFont val="宋体"/>
        <family val="3"/>
        <charset val="134"/>
      </rPr>
      <t>平方米（其中：住宅面积</t>
    </r>
    <r>
      <rPr>
        <i/>
        <sz val="14"/>
        <color theme="3" tint="0.39997558519241921"/>
        <rFont val="Arial"/>
        <family val="2"/>
      </rPr>
      <t>462528.7</t>
    </r>
    <r>
      <rPr>
        <i/>
        <sz val="14"/>
        <color theme="3" tint="0.39997558519241921"/>
        <rFont val="宋体"/>
        <family val="3"/>
        <charset val="134"/>
      </rPr>
      <t>平方米，独立商业面积</t>
    </r>
    <r>
      <rPr>
        <i/>
        <sz val="14"/>
        <color theme="3" tint="0.39997558519241921"/>
        <rFont val="Arial"/>
        <family val="2"/>
      </rPr>
      <t>22562.96</t>
    </r>
    <r>
      <rPr>
        <i/>
        <sz val="14"/>
        <color theme="3" tint="0.39997558519241921"/>
        <rFont val="宋体"/>
        <family val="3"/>
        <charset val="134"/>
      </rPr>
      <t>平方米，地下车库面积</t>
    </r>
    <r>
      <rPr>
        <i/>
        <sz val="14"/>
        <color theme="3" tint="0.39997558519241921"/>
        <rFont val="Arial"/>
        <family val="2"/>
      </rPr>
      <t>124699.67</t>
    </r>
    <r>
      <rPr>
        <i/>
        <sz val="14"/>
        <color theme="3" tint="0.39997558519241921"/>
        <rFont val="宋体"/>
        <family val="3"/>
        <charset val="134"/>
      </rPr>
      <t>平方米），非经营性用途规划建筑面积</t>
    </r>
    <r>
      <rPr>
        <i/>
        <sz val="14"/>
        <color theme="3" tint="0.39997558519241921"/>
        <rFont val="Arial"/>
        <family val="2"/>
      </rPr>
      <t>32424.86</t>
    </r>
    <r>
      <rPr>
        <i/>
        <sz val="14"/>
        <color theme="3" tint="0.39997558519241921"/>
        <rFont val="宋体"/>
        <family val="3"/>
        <charset val="134"/>
      </rPr>
      <t>平方米（其中：公共配套面积</t>
    </r>
    <r>
      <rPr>
        <i/>
        <sz val="14"/>
        <color theme="3" tint="0.39997558519241921"/>
        <rFont val="Arial"/>
        <family val="2"/>
      </rPr>
      <t>6644.4</t>
    </r>
    <r>
      <rPr>
        <i/>
        <sz val="14"/>
        <color theme="3" tint="0.39997558519241921"/>
        <rFont val="宋体"/>
        <family val="3"/>
        <charset val="134"/>
      </rPr>
      <t>平方米，地上设备及其他面积</t>
    </r>
    <r>
      <rPr>
        <i/>
        <sz val="14"/>
        <color theme="3" tint="0.39997558519241921"/>
        <rFont val="Arial"/>
        <family val="2"/>
      </rPr>
      <t>20945.5</t>
    </r>
    <r>
      <rPr>
        <i/>
        <sz val="14"/>
        <color theme="3" tint="0.39997558519241921"/>
        <rFont val="宋体"/>
        <family val="3"/>
        <charset val="134"/>
      </rPr>
      <t>平方米，地下设备及其他面积</t>
    </r>
    <r>
      <rPr>
        <i/>
        <sz val="14"/>
        <color theme="3" tint="0.39997558519241921"/>
        <rFont val="Arial"/>
        <family val="2"/>
      </rPr>
      <t>4834.96</t>
    </r>
    <r>
      <rPr>
        <i/>
        <sz val="14"/>
        <color theme="3" tint="0.39997558519241921"/>
        <rFont val="宋体"/>
        <family val="3"/>
        <charset val="134"/>
      </rPr>
      <t>平方米</t>
    </r>
    <r>
      <rPr>
        <i/>
        <sz val="14"/>
        <color theme="3" tint="0.39997558519241921"/>
        <rFont val="宋体"/>
        <family val="3"/>
        <charset val="134"/>
      </rPr>
      <t>）。</t>
    </r>
    <phoneticPr fontId="88"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</si>
  <si>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电子监管号：</t>
    </r>
    <r>
      <rPr>
        <sz val="12"/>
        <color theme="9" tint="-0.249977111117893"/>
        <rFont val="Arial"/>
        <family val="2"/>
      </rPr>
      <t>4201002017B24082]</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武规建【</t>
    </r>
    <r>
      <rPr>
        <sz val="12"/>
        <color theme="9" tint="-0.249977111117893"/>
        <rFont val="Arial"/>
        <family val="2"/>
      </rPr>
      <t>2018</t>
    </r>
    <r>
      <rPr>
        <sz val="12"/>
        <color theme="9" tint="-0.249977111117893"/>
        <rFont val="宋体"/>
        <family val="3"/>
        <charset val="134"/>
      </rPr>
      <t>】</t>
    </r>
    <r>
      <rPr>
        <sz val="12"/>
        <color theme="9" tint="-0.249977111117893"/>
        <rFont val="Arial"/>
        <family val="2"/>
      </rPr>
      <t>008</t>
    </r>
    <r>
      <rPr>
        <sz val="12"/>
        <color theme="9" tint="-0.249977111117893"/>
        <rFont val="宋体"/>
        <family val="3"/>
        <charset val="134"/>
      </rPr>
      <t>号、武规建【</t>
    </r>
    <r>
      <rPr>
        <sz val="12"/>
        <color theme="9" tint="-0.249977111117893"/>
        <rFont val="Arial"/>
        <family val="2"/>
      </rPr>
      <t>2018</t>
    </r>
    <r>
      <rPr>
        <sz val="12"/>
        <color theme="9" tint="-0.249977111117893"/>
        <rFont val="宋体"/>
        <family val="3"/>
        <charset val="134"/>
      </rPr>
      <t>】</t>
    </r>
    <r>
      <rPr>
        <sz val="12"/>
        <color theme="9" tint="-0.249977111117893"/>
        <rFont val="Arial"/>
        <family val="2"/>
      </rPr>
      <t>120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，估价对象规划建筑面积未超过《国有建设用地使用权出让合同》及附件的约定，本次评估设定估价对象不存在需补缴政府土地收益。</t>
    </r>
    <r>
      <rPr>
        <sz val="12"/>
        <color theme="9" tint="-0.249977111117893"/>
        <rFont val="Arial"/>
        <family val="2"/>
      </rPr>
      <t/>
    </r>
    <phoneticPr fontId="94" type="noConversion"/>
  </si>
  <si>
    <t>金科地产集团武汉有限公司</t>
    <phoneticPr fontId="6" type="noConversion"/>
  </si>
  <si>
    <t>金科地产集团武汉有限公司</t>
    <phoneticPr fontId="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</si>
  <si>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）根据估价委托人介绍，截至价值时点，估价对象拖欠的建设工程价款为</t>
    </r>
    <r>
      <rPr>
        <sz val="12"/>
        <color theme="9" tint="-0.249977111117893"/>
        <rFont val="Arial"/>
        <family val="2"/>
      </rPr>
      <t>10000</t>
    </r>
    <r>
      <rPr>
        <sz val="12"/>
        <color theme="9" tint="-0.249977111117893"/>
        <rFont val="宋体"/>
        <family val="3"/>
        <charset val="134"/>
      </rPr>
      <t>万元。本次评估设定估价对象拖欠的建设工程价款为</t>
    </r>
    <r>
      <rPr>
        <sz val="12"/>
        <color theme="9" tint="-0.249977111117893"/>
        <rFont val="Arial"/>
        <family val="2"/>
      </rPr>
      <t>10000</t>
    </r>
    <r>
      <rPr>
        <sz val="12"/>
        <color theme="9" tint="-0.249977111117893"/>
        <rFont val="宋体"/>
        <family val="3"/>
        <charset val="134"/>
      </rPr>
      <t>万元。</t>
    </r>
    <phoneticPr fontId="94"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</si>
  <si>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鄂（</t>
    </r>
    <r>
      <rPr>
        <sz val="12"/>
        <color theme="9" tint="-0.249977111117893"/>
        <rFont val="Arial"/>
        <family val="2"/>
      </rPr>
      <t>2017</t>
    </r>
    <r>
      <rPr>
        <sz val="12"/>
        <color theme="9" tint="-0.249977111117893"/>
        <rFont val="宋体"/>
        <family val="3"/>
        <charset val="134"/>
      </rPr>
      <t>）武汉市市不动产权第</t>
    </r>
    <r>
      <rPr>
        <sz val="12"/>
        <color theme="9" tint="-0.249977111117893"/>
        <rFont val="Arial"/>
        <family val="2"/>
      </rPr>
      <t>0001838</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</si>
  <si>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洪山区大洲村</t>
    </r>
    <r>
      <rPr>
        <sz val="12"/>
        <color theme="9" tint="-0.249977111117893"/>
        <rFont val="Arial"/>
        <family val="2"/>
      </rPr>
      <t>K2</t>
    </r>
    <r>
      <rPr>
        <sz val="12"/>
        <color theme="9" tint="-0.249977111117893"/>
        <rFont val="宋体"/>
        <family val="3"/>
        <charset val="134"/>
      </rPr>
      <t>地块</t>
    </r>
    <phoneticPr fontId="6" type="noConversion"/>
  </si>
  <si>
    <t>洪山区白沙小路以东、青菱西路以西、滨河路以北</t>
    <phoneticPr fontId="3" type="noConversion"/>
  </si>
  <si>
    <t>洪山区青菱西路以东、白沙五路以南、滨河路以北</t>
    <phoneticPr fontId="3" type="noConversion"/>
  </si>
  <si>
    <t>洪山区白沙洲八坦路</t>
    <phoneticPr fontId="3" type="noConversion"/>
  </si>
  <si>
    <t>中冶·39大街</t>
    <phoneticPr fontId="3" type="noConversion"/>
  </si>
  <si>
    <t>光谷行政服务中心</t>
    <phoneticPr fontId="3" type="noConversion"/>
  </si>
  <si>
    <t>绿地国际理想城</t>
    <phoneticPr fontId="3" type="noConversion"/>
  </si>
  <si>
    <t>南湖大道</t>
    <phoneticPr fontId="31" type="noConversion"/>
  </si>
  <si>
    <t>金茂府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</si>
</sst>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5" borderId="0" xfId="0" applyFill="1" applyAlignment="1"/>
    <xf numFmtId="0" fontId="99" fillId="5" borderId="0" xfId="0" applyFont="1" applyFill="1" applyAlignment="1"/>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155" fillId="7" borderId="0" xfId="0" applyFont="1" applyFill="1" applyAlignment="1" applyProtection="1">
      <alignment vertical="center"/>
      <protection locked="0"/>
    </xf>
    <xf numFmtId="0" fontId="80" fillId="7" borderId="0" xfId="0" applyFont="1" applyFill="1" applyAlignment="1" applyProtection="1">
      <alignment vertical="center"/>
      <protection locked="0"/>
    </xf>
    <xf numFmtId="0" fontId="80"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center" vertical="center"/>
      <protection locked="0"/>
    </xf>
    <xf numFmtId="0" fontId="80" fillId="3" borderId="0" xfId="0" applyFont="1" applyFill="1" applyAlignment="1" applyProtection="1">
      <alignment vertical="center"/>
      <protection locked="0"/>
    </xf>
    <xf numFmtId="0" fontId="0" fillId="0" borderId="0" xfId="0" applyFill="1" applyAlignment="1"/>
    <xf numFmtId="0" fontId="190" fillId="7" borderId="151" xfId="0" applyFont="1" applyFill="1" applyBorder="1" applyAlignment="1" applyProtection="1">
      <alignment vertical="center" wrapText="1"/>
      <protection locked="0"/>
    </xf>
    <xf numFmtId="0" fontId="208" fillId="0" borderId="0" xfId="0" applyFont="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 sqref="B3"/>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武汉洪山区大洲村K2地块出让国有建设用地使用权及在建建筑物房地产抵押价值预评估</v>
      </c>
    </row>
    <row r="3" spans="1:2" s="1592" customFormat="1">
      <c r="A3" s="1590" t="s">
        <v>1221</v>
      </c>
      <c r="B3" s="1591" t="str">
        <f>'预评函-封皮'!B40</f>
        <v>金科地产集团武汉有限公司</v>
      </c>
    </row>
    <row r="4" spans="1:2" s="1592" customFormat="1">
      <c r="A4" s="1590" t="s">
        <v>1222</v>
      </c>
      <c r="B4" s="1591" t="str">
        <f ca="1">'预评函-封皮'!B46</f>
        <v>王鹏（注册号：1120050019)、刘敬东（注册号：1120020033)</v>
      </c>
    </row>
    <row r="5" spans="1:2" s="1586" customFormat="1" ht="15" thickBot="1">
      <c r="A5" s="1593" t="s">
        <v>1223</v>
      </c>
      <c r="B5" s="1594" t="str">
        <f>'预评函-封皮'!B49</f>
        <v>康正预评字2018-1-0702-P02DYGJ9号</v>
      </c>
    </row>
    <row r="6" spans="1:2" s="1589" customFormat="1" ht="15" thickTop="1">
      <c r="A6" s="1587" t="s">
        <v>1224</v>
      </c>
      <c r="B6" s="1588" t="str">
        <f>'预评函-1'!A4</f>
        <v>受贵公司委托，我公司对武汉洪山区大洲村K2地块出让国有建设用地使用权及在建建筑物房地产抵押价值进行了预评估。</v>
      </c>
    </row>
    <row r="7" spans="1:2" s="1592" customFormat="1">
      <c r="A7" s="1590" t="s">
        <v>1264</v>
      </c>
      <c r="B7" s="1591" t="str">
        <f>'预评函-1'!A7</f>
        <v>估价对象为武汉洪山区大洲村K2地块出让国有建设用地使用权及在建建筑物房地产，为金科地产集团武汉有限公司所有。根据《不动产权证》[鄂（2017）武汉市市不动产权第0001838号]，估价对象（分摊）出让国有建设用地使用权面积为103644.78平方米，建筑面积为642216.19平方米。</v>
      </c>
    </row>
    <row r="8" spans="1:2" s="1592" customFormat="1">
      <c r="A8" s="1590" t="s">
        <v>1265</v>
      </c>
      <c r="B8" s="1591" t="str">
        <f>'预评函-1'!A8</f>
        <v>估价对象所属金科城项目已开工建设，正在进行主体结构施工。本次评估估价对象住宅面积462528.7平方米，独立商业面积22562.96平方米，地下车库面积124699.67平方米。</v>
      </c>
    </row>
    <row r="9" spans="1:2" s="1592" customFormat="1">
      <c r="A9" s="1590" t="s">
        <v>1266</v>
      </c>
      <c r="B9" s="1591" t="str">
        <f>'预评函-1'!A10</f>
        <v>估价对象为武汉洪山区大洲村K2地块出让国有建设用地使用权及在建建筑物房地产,为金科地产集团武汉有限公司开发建设的居住项目，该项目尚在开发建设中。根据《不动产权证》[鄂（2017）武汉市市不动产权第0001838号]，估价对象（分摊）出让国有建设用地使用权面积为103644.78平方米，规划建筑面积为642216.19平方米。</v>
      </c>
    </row>
    <row r="10" spans="1:2" s="1592" customFormat="1">
      <c r="A10" s="1590" t="s">
        <v>1267</v>
      </c>
      <c r="B10" s="1591" t="str">
        <f>'预评函-1'!A11</f>
        <v>估价对象经营性用途规划建筑面积609791.33平方米（其中：住宅面积462528.7平方米，独立商业面积22562.96平方米，地下车库面积124699.67平方米），非经营性用途规划建筑面积32424.86平方米（其中：公共配套面积6644.4平方米，地上设备及其他面积20945.5平方米，地下设备及其他面积4834.96平方米）。</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2018年9月28日（评估专业人员实地查勘之日）</v>
      </c>
    </row>
    <row r="13" spans="1:2" s="1592" customFormat="1">
      <c r="A13" s="1590" t="s">
        <v>1227</v>
      </c>
      <c r="B13" s="1591" t="str">
        <f>'预评函-1'!A18</f>
        <v>本次估价的“房地产价值”是指在正常市场情况下，在价值时点2018年9月28日，估价对象规划用途为城镇住宅用地，土地取得方式为出让，出让国有建设用地使用权剩余土地使用年限为69.23，假定未设立法定优先受偿款下的房地产市场价值。</v>
      </c>
    </row>
    <row r="14" spans="1:2" s="1592" customFormat="1">
      <c r="A14" s="1590" t="s">
        <v>1228</v>
      </c>
      <c r="B14" s="1591" t="str">
        <f>'预评函-1'!A19</f>
        <v>其中，“出让国有建设用地使用权价值”是指估价对象用途为城镇住宅用地，实际开发程度为宗地红线外“七通”（即通路、通电、通上水、、、、）、红线内场地平整条件下，剩余土地使用年限为69.23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686644</v>
      </c>
    </row>
    <row r="21" spans="1:2" s="1592" customFormat="1">
      <c r="A21" s="1590" t="s">
        <v>1235</v>
      </c>
      <c r="B21" s="1591">
        <f ca="1">'预评函-2'!D7</f>
        <v>10692</v>
      </c>
    </row>
    <row r="22" spans="1:2" s="1592" customFormat="1">
      <c r="A22" s="1590" t="s">
        <v>1236</v>
      </c>
      <c r="B22" s="1591" t="str">
        <f ca="1">'预评函-2'!D6</f>
        <v>陆拾捌亿陆仟陆佰肆拾肆万元整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686644</v>
      </c>
    </row>
    <row r="31" spans="1:2" s="1592" customFormat="1">
      <c r="A31" s="1590" t="s">
        <v>1274</v>
      </c>
      <c r="B31" s="1591">
        <f ca="1">'预评函-2'!D15</f>
        <v>10692</v>
      </c>
    </row>
    <row r="32" spans="1:2" s="1592" customFormat="1">
      <c r="A32" s="1590" t="s">
        <v>1241</v>
      </c>
      <c r="B32" s="1591" t="str">
        <f ca="1">'预评函-2'!D14</f>
        <v>陆拾捌亿陆仟陆佰肆拾肆万元整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武汉洪山区大洲村K2地块出让国有建设用地使用权及在建建筑物房地产</v>
      </c>
    </row>
    <row r="42" spans="1:2" s="1592" customFormat="1">
      <c r="A42" s="1590" t="s">
        <v>1288</v>
      </c>
      <c r="B42" s="1591" t="str">
        <f>'预评函-3'!B2</f>
        <v>建筑面积</v>
      </c>
    </row>
    <row r="43" spans="1:2" s="1592" customFormat="1">
      <c r="A43" s="1590" t="s">
        <v>1289</v>
      </c>
      <c r="B43" s="1591">
        <f>'预评函-3'!B4</f>
        <v>642216.18999999994</v>
      </c>
    </row>
    <row r="44" spans="1:2" s="1592" customFormat="1">
      <c r="A44" s="1590" t="s">
        <v>1273</v>
      </c>
      <c r="B44" s="1591" t="str">
        <f>'预评函-3'!C2</f>
        <v>(分摊)土地面积</v>
      </c>
    </row>
    <row r="45" spans="1:2" s="1592" customFormat="1">
      <c r="A45" s="1590" t="s">
        <v>1245</v>
      </c>
      <c r="B45" s="1591">
        <f>'预评函-3'!C4</f>
        <v>103644.78</v>
      </c>
    </row>
    <row r="46" spans="1:2" s="1592" customFormat="1">
      <c r="A46" s="1590" t="s">
        <v>1271</v>
      </c>
      <c r="B46" s="1591" t="str">
        <f>'预评函-3'!D2</f>
        <v>出让国有建设用地使用权价值</v>
      </c>
    </row>
    <row r="47" spans="1:2" s="1592" customFormat="1">
      <c r="A47" s="1590" t="s">
        <v>1246</v>
      </c>
      <c r="B47" s="1591">
        <f ca="1">'预评函-3'!D4</f>
        <v>612486</v>
      </c>
    </row>
    <row r="48" spans="1:2" s="1592" customFormat="1">
      <c r="A48" s="1590" t="s">
        <v>1247</v>
      </c>
      <c r="B48" s="1591">
        <f ca="1">'预评函-3'!E4</f>
        <v>9537</v>
      </c>
    </row>
    <row r="49" spans="1:2" s="1592" customFormat="1">
      <c r="A49" s="1590" t="s">
        <v>1248</v>
      </c>
      <c r="B49" s="1591" t="str">
        <f ca="1">'预评函-3'!D5</f>
        <v>陆拾壹亿贰仟肆佰捌拾陆万元整</v>
      </c>
    </row>
    <row r="50" spans="1:2" s="1592" customFormat="1">
      <c r="A50" s="1590" t="s">
        <v>1272</v>
      </c>
      <c r="B50" s="1591" t="str">
        <f>'预评函-3'!F2</f>
        <v>在建建筑物价值</v>
      </c>
    </row>
    <row r="51" spans="1:2" s="1592" customFormat="1">
      <c r="A51" s="1590" t="s">
        <v>1249</v>
      </c>
      <c r="B51" s="1591">
        <f ca="1">'预评函-3'!F4</f>
        <v>74158</v>
      </c>
    </row>
    <row r="52" spans="1:2" s="1592" customFormat="1">
      <c r="A52" s="1590" t="s">
        <v>1250</v>
      </c>
      <c r="B52" s="1591">
        <f ca="1">'预评函-3'!G4</f>
        <v>1155</v>
      </c>
    </row>
    <row r="53" spans="1:2" s="1592" customFormat="1">
      <c r="A53" s="1590" t="s">
        <v>1278</v>
      </c>
      <c r="B53" s="1591" t="str">
        <f ca="1">'预评函-3'!F5</f>
        <v>柒亿肆仟壹佰伍拾捌万元整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（1）根据估价对象《不动产权证书》复印件、，截至价值时点，估价对象抵押权未见登记。</v>
      </c>
    </row>
    <row r="62" spans="1:2" s="1592" customFormat="1">
      <c r="A62" s="1590" t="s">
        <v>1255</v>
      </c>
      <c r="B62" s="1591" t="str">
        <f>'预评函-4'!A16</f>
        <v>（2）根据估价委托人介绍，截至价值时点，估价对象拖欠的建设工程价款为10000万元。本次评估设定估价对象拖欠的建设工程价款为10000万元。</v>
      </c>
    </row>
    <row r="63" spans="1:2" s="1592" customFormat="1">
      <c r="A63" s="1590" t="s">
        <v>1256</v>
      </c>
      <c r="B63" s="1591" t="str">
        <f>'预评函-4'!A17</f>
        <v>（3）根据《国有建设用地使用权出让合同》及附件[电子监管号：4201002017B24082]以及相关款项支付凭证，截至价值时点，估价委托人依据合同已缴纳全部土地成交价款及契税。根据《建设工程规划许可证》[武规建【2018】008号、武规建【2018】120号]，估价对象规划建筑面积未超过《国有建设用地使用权出让合同》及附件的约定，本次评估设定估价对象不存在需补缴政府土地收益。</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43392</v>
      </c>
    </row>
    <row r="70" spans="1:2" ht="15" thickTop="1">
      <c r="A70" s="1596" t="s">
        <v>1260</v>
      </c>
      <c r="B70" s="1597" t="str">
        <f>'预评函-4'!A4</f>
        <v>王鹏</v>
      </c>
    </row>
    <row r="71" spans="1:2">
      <c r="A71" s="1590" t="s">
        <v>1261</v>
      </c>
      <c r="B71" s="1591">
        <f ca="1">'预评函-4'!B4</f>
        <v>1120050019</v>
      </c>
    </row>
    <row r="72" spans="1:2">
      <c r="A72" s="1590" t="s">
        <v>1262</v>
      </c>
      <c r="B72" s="1599" t="str">
        <f>'预评函-4'!A5</f>
        <v>刘敬东</v>
      </c>
    </row>
    <row r="73" spans="1:2" s="1586" customFormat="1" ht="15" thickBot="1">
      <c r="A73" s="1593" t="s">
        <v>1263</v>
      </c>
      <c r="B73" s="1594">
        <f ca="1">'预评函-4'!B5</f>
        <v>1120020033</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1144</v>
      </c>
      <c r="R1" s="2009" t="s">
        <v>1138</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1140</v>
      </c>
      <c r="S2" s="2015" t="s">
        <v>1709</v>
      </c>
      <c r="T2" s="2015" t="s">
        <v>1710</v>
      </c>
      <c r="U2" s="2015" t="s">
        <v>1709</v>
      </c>
      <c r="V2" s="2015" t="s">
        <v>1711</v>
      </c>
      <c r="W2" s="2015" t="s">
        <v>1709</v>
      </c>
    </row>
    <row r="3" spans="1:23">
      <c r="A3" s="2013" t="s">
        <v>1712</v>
      </c>
      <c r="B3" s="2016" t="s">
        <v>1145</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1139</v>
      </c>
      <c r="S3" s="2015" t="s">
        <v>1717</v>
      </c>
      <c r="T3" s="2015" t="s">
        <v>1718</v>
      </c>
      <c r="U3" s="2015" t="s">
        <v>1717</v>
      </c>
      <c r="V3" s="2015" t="s">
        <v>1719</v>
      </c>
      <c r="W3" s="2015" t="s">
        <v>1717</v>
      </c>
    </row>
    <row r="4" spans="1:23">
      <c r="A4" s="2013" t="s">
        <v>1720</v>
      </c>
      <c r="B4" s="2013" t="s">
        <v>1721</v>
      </c>
      <c r="C4" s="2014" t="s">
        <v>762</v>
      </c>
      <c r="D4" s="2015" t="s">
        <v>868</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1141</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1142</v>
      </c>
      <c r="S5" s="2015" t="s">
        <v>1732</v>
      </c>
      <c r="T5" s="2015" t="s">
        <v>1733</v>
      </c>
      <c r="U5" s="2015" t="s">
        <v>1732</v>
      </c>
      <c r="W5" s="2015" t="s">
        <v>1732</v>
      </c>
    </row>
    <row r="6" spans="1:23">
      <c r="A6" s="2013" t="s">
        <v>1734</v>
      </c>
      <c r="B6" s="2016" t="s">
        <v>1146</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1143</v>
      </c>
      <c r="S6" s="2015" t="s">
        <v>1737</v>
      </c>
      <c r="T6" s="2015"/>
      <c r="U6" s="2015" t="s">
        <v>1737</v>
      </c>
      <c r="W6" s="2015" t="s">
        <v>1737</v>
      </c>
    </row>
    <row r="7" spans="1:23">
      <c r="A7" s="2013" t="s">
        <v>1738</v>
      </c>
      <c r="B7" s="2016" t="s">
        <v>1147</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洪山区大洲村K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10"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28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10"/>
      <c r="B54" s="2021" t="s">
        <v>864</v>
      </c>
      <c r="C54" s="2018" t="s">
        <v>1281</v>
      </c>
    </row>
    <row r="55" spans="1:4">
      <c r="A55" s="3010"/>
      <c r="B55" s="2021" t="s">
        <v>865</v>
      </c>
      <c r="C55" s="2018" t="s">
        <v>1282</v>
      </c>
    </row>
    <row r="56" spans="1:4">
      <c r="A56" s="3010"/>
      <c r="B56" s="2021" t="s">
        <v>866</v>
      </c>
      <c r="C56" s="2018" t="s">
        <v>1286</v>
      </c>
    </row>
    <row r="57" spans="1:4">
      <c r="A57" s="3010"/>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019" t="str">
        <f>IF(B10="北京市","北京市",C10)&amp;F10&amp;IF(结果表!G1="在建","出让国有建设用地使用权及在建建筑物",IF(结果表!G1="土地","出让国有建设用地使用权",))&amp;B9&amp;"预评估"</f>
        <v>武汉洪山区大洲村K2地块出让国有建设用地使用权及在建建筑物房地产抵押价值预评估</v>
      </c>
      <c r="C1" s="3020"/>
      <c r="D1" s="3020"/>
      <c r="E1" s="3020"/>
      <c r="F1" s="3020"/>
      <c r="G1" s="3020"/>
      <c r="H1" s="3020"/>
      <c r="I1" s="302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武汉洪山区大洲村K2地块出让国有建设用地使用权及在建建筑物房地产抵押价值</v>
      </c>
    </row>
    <row r="2" spans="1:19" ht="18" customHeight="1">
      <c r="A2" s="2025" t="s">
        <v>1773</v>
      </c>
      <c r="B2" s="1038" t="s">
        <v>3240</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武汉洪山区大洲村K2地块出让国有建设用地使用权及在建建筑物房地产</v>
      </c>
    </row>
    <row r="3" spans="1:19" ht="18" customHeight="1">
      <c r="A3" s="2034" t="s">
        <v>1774</v>
      </c>
      <c r="B3" s="2035">
        <v>43371</v>
      </c>
      <c r="C3" s="2036" t="s">
        <v>1775</v>
      </c>
      <c r="D3" s="2035">
        <v>43371</v>
      </c>
      <c r="E3" s="2025"/>
      <c r="F3" s="2025"/>
      <c r="G3" s="2025"/>
      <c r="H3" s="2025"/>
      <c r="I3" s="2025"/>
      <c r="J3" s="2025"/>
      <c r="K3" s="2026"/>
      <c r="L3" s="2027"/>
      <c r="M3" s="2027"/>
      <c r="N3" s="2028"/>
      <c r="O3" s="2029"/>
      <c r="P3" s="2028"/>
      <c r="Q3" s="2028"/>
      <c r="R3" s="2028"/>
      <c r="S3" s="2030"/>
    </row>
    <row r="4" spans="1:19" ht="18" customHeight="1" thickBot="1">
      <c r="A4" s="2037" t="s">
        <v>1776</v>
      </c>
      <c r="B4" s="2038" t="s">
        <v>3040</v>
      </c>
      <c r="C4" s="1036">
        <f ca="1">SUMIF(注册房地产估价师,B4,估价师及机构信息!B3:B24)</f>
        <v>1120050019</v>
      </c>
      <c r="D4" s="2038" t="s">
        <v>3239</v>
      </c>
      <c r="E4" s="1037">
        <f ca="1">SUMIF(注册房地产估价师,D4,估价师及机构信息!B3:B24)</f>
        <v>1120020033</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王鹏（注册号：1120050019)、刘敬东（注册号：1120020033)</v>
      </c>
      <c r="L4" s="2027"/>
      <c r="M4" s="2027"/>
      <c r="N4" s="2028"/>
      <c r="O4" s="2029"/>
      <c r="P4" s="2028"/>
      <c r="Q4" s="2028"/>
      <c r="R4" s="2028"/>
      <c r="S4" s="2030"/>
    </row>
    <row r="5" spans="1:19" ht="18" customHeight="1" thickTop="1">
      <c r="A5" s="2043" t="s">
        <v>1777</v>
      </c>
      <c r="B5" s="2965" t="s">
        <v>3245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1779</v>
      </c>
      <c r="B7" s="2051"/>
      <c r="C7" s="2048"/>
      <c r="D7" s="2049"/>
      <c r="E7" s="2033"/>
      <c r="F7" s="2041"/>
      <c r="G7" s="2041"/>
      <c r="H7" s="2041"/>
      <c r="I7" s="2041"/>
      <c r="J7" s="2041"/>
      <c r="K7" s="2052"/>
      <c r="L7" s="2027"/>
      <c r="M7" s="2027"/>
      <c r="N7" s="2028"/>
      <c r="O7" s="2029"/>
      <c r="P7" s="2028"/>
      <c r="Q7" s="2028"/>
      <c r="R7" s="2028"/>
    </row>
    <row r="8" spans="1:19" ht="18" customHeight="1">
      <c r="A8" s="2046" t="s">
        <v>1780</v>
      </c>
      <c r="B8" s="2053" t="s">
        <v>3041</v>
      </c>
      <c r="C8" s="2054"/>
      <c r="D8" s="3022" t="s">
        <v>1781</v>
      </c>
      <c r="E8" s="2055" t="s">
        <v>3042</v>
      </c>
      <c r="F8" s="2056"/>
      <c r="G8" s="2025"/>
      <c r="H8" s="2025"/>
      <c r="I8" s="2025"/>
      <c r="J8" s="2041"/>
      <c r="K8" s="2042"/>
      <c r="L8" s="2027"/>
      <c r="M8" s="2027"/>
      <c r="N8" s="2028"/>
      <c r="O8" s="2029"/>
      <c r="P8" s="2028"/>
      <c r="Q8" s="2028"/>
      <c r="R8" s="2028"/>
    </row>
    <row r="9" spans="1:19" ht="18" customHeight="1" thickBot="1">
      <c r="A9" s="2039" t="s">
        <v>1782</v>
      </c>
      <c r="B9" s="2057" t="s">
        <v>3042</v>
      </c>
      <c r="C9" s="2058"/>
      <c r="D9" s="3023"/>
      <c r="E9" s="2057"/>
      <c r="F9" s="2059"/>
      <c r="G9" s="2060"/>
      <c r="H9" s="2060"/>
      <c r="I9" s="2060"/>
      <c r="J9" s="2041"/>
      <c r="K9" s="2052"/>
      <c r="L9" s="2027"/>
      <c r="M9" s="2027"/>
      <c r="N9" s="2028"/>
      <c r="O9" s="2029"/>
      <c r="P9" s="2028"/>
      <c r="Q9" s="2028"/>
      <c r="R9" s="2028"/>
    </row>
    <row r="10" spans="1:19" ht="18" customHeight="1" thickTop="1">
      <c r="A10" s="2061" t="s">
        <v>1783</v>
      </c>
      <c r="B10" s="2062" t="s">
        <v>3043</v>
      </c>
      <c r="C10" s="2941" t="s">
        <v>3044</v>
      </c>
      <c r="D10" s="2045"/>
      <c r="E10" s="2063" t="s">
        <v>1784</v>
      </c>
      <c r="F10" s="2064" t="s">
        <v>3248</v>
      </c>
      <c r="G10" s="2065"/>
      <c r="H10" s="2066"/>
      <c r="I10" s="2045"/>
      <c r="J10" s="2041"/>
      <c r="K10" s="2052"/>
      <c r="L10" s="2027"/>
      <c r="M10" s="2027"/>
      <c r="N10" s="2028"/>
      <c r="O10" s="2029"/>
      <c r="P10" s="2028"/>
      <c r="Q10" s="2028"/>
      <c r="R10" s="2028"/>
    </row>
    <row r="11" spans="1:19" ht="18" customHeight="1">
      <c r="A11" s="2067" t="s">
        <v>1785</v>
      </c>
      <c r="B11" s="2068" t="s">
        <v>3045</v>
      </c>
      <c r="C11" s="2942" t="s">
        <v>3244</v>
      </c>
      <c r="D11" s="2069"/>
      <c r="E11" s="2041"/>
      <c r="F11" s="2041"/>
      <c r="G11" s="2041"/>
      <c r="H11" s="2041"/>
      <c r="I11" s="2041"/>
      <c r="J11" s="2041"/>
      <c r="K11" s="2052"/>
      <c r="L11" s="2027"/>
      <c r="M11" s="2027"/>
      <c r="N11" s="2028"/>
      <c r="O11" s="2029"/>
      <c r="P11" s="2028"/>
      <c r="Q11" s="2028"/>
      <c r="R11" s="2028"/>
    </row>
    <row r="12" spans="1:19" ht="18" customHeight="1">
      <c r="A12" s="2070" t="s">
        <v>1786</v>
      </c>
      <c r="B12" s="2068" t="s">
        <v>3046</v>
      </c>
      <c r="C12" s="2071" t="s">
        <v>1787</v>
      </c>
      <c r="D12" s="2072" t="s">
        <v>1788</v>
      </c>
      <c r="E12" s="2072" t="s">
        <v>1789</v>
      </c>
      <c r="F12" s="2072" t="s">
        <v>1790</v>
      </c>
      <c r="G12" s="2072" t="s">
        <v>1791</v>
      </c>
      <c r="H12" s="2072" t="s">
        <v>1792</v>
      </c>
      <c r="I12" s="2072" t="s">
        <v>1793</v>
      </c>
      <c r="J12" s="2041"/>
      <c r="K12" s="2052"/>
      <c r="L12" s="2027"/>
      <c r="M12" s="2027"/>
      <c r="N12" s="2028"/>
      <c r="O12" s="2029"/>
      <c r="P12" s="2028"/>
      <c r="Q12" s="2028"/>
      <c r="R12" s="2028"/>
    </row>
    <row r="13" spans="1:19" ht="18" customHeight="1">
      <c r="A13" s="2073"/>
      <c r="B13" s="2074"/>
      <c r="C13" s="2075" t="s">
        <v>1794</v>
      </c>
      <c r="D13" s="2076">
        <v>68641</v>
      </c>
      <c r="E13" s="2076">
        <v>57684</v>
      </c>
      <c r="F13" s="2076"/>
      <c r="G13" s="2076">
        <v>61336</v>
      </c>
      <c r="H13" s="2076"/>
      <c r="I13" s="1046"/>
      <c r="J13" s="2041"/>
      <c r="K13" s="2052"/>
      <c r="L13" s="2027"/>
      <c r="M13" s="2027"/>
      <c r="N13" s="2028"/>
      <c r="O13" s="2029"/>
      <c r="P13" s="2028"/>
      <c r="Q13" s="2028"/>
      <c r="R13" s="2028"/>
    </row>
    <row r="14" spans="1:19" ht="18" customHeight="1">
      <c r="A14" s="2073"/>
      <c r="B14" s="2074"/>
      <c r="C14" s="2075" t="s">
        <v>1795</v>
      </c>
      <c r="D14" s="1049">
        <v>70</v>
      </c>
      <c r="E14" s="1049">
        <v>40</v>
      </c>
      <c r="F14" s="1049"/>
      <c r="G14" s="1049">
        <v>50</v>
      </c>
      <c r="H14" s="1049"/>
      <c r="I14" s="1049"/>
      <c r="J14" s="2041"/>
      <c r="K14" s="2077"/>
      <c r="L14" s="2027"/>
      <c r="M14" s="2027"/>
      <c r="N14" s="2028"/>
      <c r="O14" s="2029"/>
      <c r="P14" s="2028"/>
      <c r="Q14" s="2028"/>
      <c r="R14" s="2028"/>
    </row>
    <row r="15" spans="1:19" ht="18" customHeight="1">
      <c r="A15" s="2061"/>
      <c r="B15" s="2078"/>
      <c r="C15" s="2075" t="s">
        <v>1796</v>
      </c>
      <c r="D15" s="1048">
        <f>IF(B12="出让",IF(D13="","",ROUNDDOWN(MIN((D13-$D$3)/365,D14),2)),D14)</f>
        <v>69.23</v>
      </c>
      <c r="E15" s="1048">
        <f>IF(B12="出让",IF(E13="","",ROUNDDOWN(MIN((E13-$D$3)/365,E14),2)),E14)</f>
        <v>39.21</v>
      </c>
      <c r="F15" s="1048" t="str">
        <f>IF(B12="出让",IF(F13="","",ROUNDDOWN(MIN((F13-$D$3)/365,F14),2)),F14)</f>
        <v/>
      </c>
      <c r="G15" s="1048">
        <f>IF(B12="出让",IF(G13="","",ROUNDDOWN(MIN((G13-$D$3)/365,G14),2)),G14)</f>
        <v>49.21</v>
      </c>
      <c r="H15" s="1048" t="str">
        <f>IF(B12="出让",IF(H13="","",ROUNDDOWN(MIN((H13-$D$3)/365,H14),2)),H14)</f>
        <v/>
      </c>
      <c r="I15" s="1048" t="str">
        <f>IF(B12="出让",IF(I13="","",ROUNDDOWN(MIN((I13-$D$3)/365,I14),2)),I14)</f>
        <v/>
      </c>
      <c r="J15" s="2041"/>
      <c r="K15" s="2079"/>
      <c r="L15" s="2080"/>
      <c r="M15" s="2080"/>
      <c r="N15" s="2081"/>
      <c r="O15" s="2080"/>
      <c r="P15" s="2081"/>
      <c r="Q15" s="2028"/>
      <c r="R15" s="2028"/>
    </row>
    <row r="16" spans="1:19" ht="30.75" customHeight="1">
      <c r="A16" s="2063" t="s">
        <v>1797</v>
      </c>
      <c r="B16" s="3029" t="s">
        <v>3047</v>
      </c>
      <c r="C16" s="3030"/>
      <c r="D16" s="3031"/>
      <c r="E16" s="2082" t="s">
        <v>1798</v>
      </c>
      <c r="F16" s="3032">
        <v>69.23</v>
      </c>
      <c r="G16" s="3033"/>
      <c r="H16" s="3033"/>
      <c r="I16" s="3034"/>
      <c r="J16" s="2028"/>
      <c r="K16" s="2079"/>
      <c r="L16" s="2080"/>
      <c r="M16" s="2080"/>
      <c r="N16" s="2081"/>
      <c r="O16" s="2080"/>
      <c r="P16" s="2081"/>
      <c r="Q16" s="2028"/>
      <c r="R16" s="2028"/>
    </row>
    <row r="17" spans="1:22" ht="18" customHeight="1">
      <c r="A17" s="2083" t="s">
        <v>1799</v>
      </c>
      <c r="B17" s="2034" t="s">
        <v>1800</v>
      </c>
      <c r="C17" s="1053">
        <f>'数据-汇总表'!E3</f>
        <v>642216.18999999994</v>
      </c>
      <c r="D17" s="2084" t="s">
        <v>1801</v>
      </c>
      <c r="E17" s="3035" t="s">
        <v>3048</v>
      </c>
      <c r="F17" s="3036"/>
      <c r="G17" s="3036"/>
      <c r="H17" s="3036"/>
      <c r="I17" s="3037"/>
      <c r="J17" s="2028"/>
      <c r="K17" s="2085"/>
      <c r="L17" s="2080"/>
      <c r="M17" s="2080"/>
      <c r="N17" s="2081"/>
      <c r="O17" s="2080"/>
      <c r="P17" s="2081"/>
      <c r="Q17" s="2028"/>
      <c r="R17" s="2028"/>
      <c r="S17" s="2028"/>
      <c r="T17" s="2028"/>
      <c r="U17" s="2028"/>
      <c r="V17" s="2028"/>
    </row>
    <row r="18" spans="1:22" ht="36" customHeight="1" thickBot="1">
      <c r="A18" s="2086" t="s">
        <v>1802</v>
      </c>
      <c r="B18" s="2037" t="s">
        <v>1803</v>
      </c>
      <c r="C18" s="1443">
        <f>'数据-汇总表'!D3</f>
        <v>103644.78</v>
      </c>
      <c r="D18" s="2087" t="s">
        <v>1801</v>
      </c>
      <c r="E18" s="3038" t="s">
        <v>3247</v>
      </c>
      <c r="F18" s="3039"/>
      <c r="G18" s="3039"/>
      <c r="H18" s="3039"/>
      <c r="I18" s="3040"/>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t="s">
        <v>3049</v>
      </c>
      <c r="D19" s="2089" t="s">
        <v>1806</v>
      </c>
      <c r="E19" s="2090" t="s">
        <v>3049</v>
      </c>
      <c r="F19" s="2091" t="str">
        <f>IF(AND(C19="是",E19="否"),"是否提供他项权证或相关说明","")</f>
        <v/>
      </c>
      <c r="G19" s="2092"/>
      <c r="H19" s="2041"/>
      <c r="I19" s="2041"/>
      <c r="J19" s="2041"/>
      <c r="K19" s="2052"/>
      <c r="L19" s="2027"/>
      <c r="M19" s="2027"/>
      <c r="N19" s="2081"/>
      <c r="O19" s="2080"/>
      <c r="P19" s="2081"/>
      <c r="Q19" s="2028"/>
      <c r="R19" s="2028"/>
      <c r="S19" s="2028"/>
      <c r="T19" s="2028"/>
      <c r="U19" s="2028"/>
      <c r="V19" s="2028"/>
    </row>
    <row r="20" spans="1:22" ht="18" customHeight="1">
      <c r="A20" s="2093" t="s">
        <v>1807</v>
      </c>
      <c r="B20" s="3025" t="s">
        <v>1808</v>
      </c>
      <c r="C20" s="3026"/>
      <c r="D20" s="3027" t="s">
        <v>1809</v>
      </c>
      <c r="E20" s="3028"/>
      <c r="F20" s="2094" t="s">
        <v>1810</v>
      </c>
      <c r="G20" s="2041"/>
      <c r="H20" s="2041"/>
      <c r="I20" s="2041"/>
      <c r="J20" s="2041"/>
      <c r="K20" s="3024" t="s">
        <v>1811</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1"/>
      <c r="O20" s="2080"/>
      <c r="P20" s="2081"/>
      <c r="Q20" s="2028"/>
      <c r="R20" s="2028"/>
      <c r="S20" s="2028"/>
      <c r="T20" s="2028"/>
      <c r="U20" s="2028"/>
      <c r="V20" s="2028"/>
    </row>
    <row r="21" spans="1:22" ht="24.75" customHeight="1">
      <c r="A21" s="2093"/>
      <c r="B21" s="2095" t="s">
        <v>3050</v>
      </c>
      <c r="C21" s="2096" t="s">
        <v>3051</v>
      </c>
      <c r="D21" s="2097"/>
      <c r="E21" s="2098"/>
      <c r="F21" s="2099"/>
      <c r="G21" s="2041"/>
      <c r="H21" s="2041"/>
      <c r="I21" s="2041"/>
      <c r="J21" s="2041"/>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c r="C22" s="2096"/>
      <c r="D22" s="2025"/>
      <c r="E22" s="2025"/>
      <c r="F22" s="2101"/>
      <c r="G22" s="2041"/>
      <c r="H22" s="2041"/>
      <c r="I22" s="2041"/>
      <c r="J22" s="2041"/>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1812</v>
      </c>
      <c r="B23" s="183" t="s">
        <v>1813</v>
      </c>
      <c r="C23" s="2103"/>
      <c r="D23" s="2104" t="s">
        <v>1813</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1814</v>
      </c>
      <c r="C24" s="2108"/>
      <c r="D24" s="2102" t="s">
        <v>1814</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1815</v>
      </c>
      <c r="C25" s="2108"/>
      <c r="D25" s="2102" t="s">
        <v>1815</v>
      </c>
      <c r="E25" s="2109"/>
      <c r="F25" s="2101"/>
      <c r="G25" s="2041"/>
      <c r="H25" s="2041"/>
      <c r="I25" s="2041"/>
      <c r="J25" s="2041"/>
      <c r="K25" s="2052"/>
      <c r="L25" s="2027"/>
      <c r="M25" s="2027"/>
      <c r="N25" s="2081"/>
      <c r="O25" s="2080"/>
      <c r="P25" s="2081"/>
      <c r="Q25" s="2028"/>
      <c r="R25" s="2028"/>
      <c r="S25" s="2028"/>
      <c r="T25" s="2028"/>
      <c r="U25" s="2028"/>
      <c r="V25" s="2028"/>
    </row>
    <row r="26" spans="1:22" ht="18" customHeight="1" thickBot="1">
      <c r="A26" s="2110"/>
      <c r="B26" s="2111" t="s">
        <v>1816</v>
      </c>
      <c r="C26" s="2112"/>
      <c r="D26" s="2113" t="s">
        <v>1817</v>
      </c>
      <c r="E26" s="2114"/>
      <c r="F26" s="2115"/>
      <c r="G26" s="2060"/>
      <c r="H26" s="2060"/>
      <c r="I26" s="2060"/>
      <c r="J26" s="2041"/>
      <c r="K26" s="2052"/>
      <c r="L26" s="2027"/>
      <c r="M26" s="2027"/>
      <c r="N26" s="2081"/>
      <c r="O26" s="2080"/>
      <c r="P26" s="2081"/>
      <c r="Q26" s="2028"/>
      <c r="R26" s="2028"/>
      <c r="S26" s="2028"/>
      <c r="T26" s="2028"/>
      <c r="U26" s="2028"/>
      <c r="V26" s="2028"/>
    </row>
    <row r="27" spans="1:22" ht="18" customHeight="1" thickTop="1">
      <c r="A27" s="3012" t="s">
        <v>1818</v>
      </c>
      <c r="B27" s="2061" t="s">
        <v>1819</v>
      </c>
      <c r="C27" s="2116" t="s">
        <v>3052</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2"/>
      <c r="B28" s="2034" t="s">
        <v>1820</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2"/>
      <c r="B29" s="2034" t="s">
        <v>1821</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3"/>
      <c r="B30" s="2034" t="s">
        <v>1822</v>
      </c>
      <c r="C30" s="3014"/>
      <c r="D30" s="3015"/>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6" t="s">
        <v>1823</v>
      </c>
      <c r="B31" s="2123" t="s">
        <v>3053</v>
      </c>
      <c r="C31" s="2124" t="str">
        <f>IF(B31="现房","成新及维护状况正常否",IF(B31="在建","工程状态是否正常",IF(B31="土地","是否闲置","-")))</f>
        <v>工程状态是否正常</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17"/>
      <c r="B32" s="2123"/>
      <c r="C32" s="2124" t="str">
        <f>IF(B32="现房","成新及维护状况是否正常",IF(B32="在建","工程状态是否正常",IF(B32="土地","是否闲置","-")))</f>
        <v>-</v>
      </c>
      <c r="D32" s="2125"/>
      <c r="E32" s="2126"/>
      <c r="F32" s="2041"/>
      <c r="G32" s="2041"/>
      <c r="H32" s="2041"/>
      <c r="I32" s="2041"/>
      <c r="J32" s="2041"/>
      <c r="K32" s="2052"/>
      <c r="L32" s="2027"/>
      <c r="M32" s="2027"/>
      <c r="N32" s="2028"/>
      <c r="O32" s="2029"/>
      <c r="P32" s="2028"/>
      <c r="Q32" s="2028"/>
      <c r="R32" s="2028"/>
      <c r="S32" s="2028"/>
      <c r="T32" s="2028"/>
      <c r="U32" s="2028"/>
      <c r="V32" s="2028"/>
    </row>
    <row r="33" spans="1:22" ht="18" customHeight="1">
      <c r="A33" s="3017"/>
      <c r="B33" s="2127"/>
      <c r="C33" s="2067" t="str">
        <f>IF(B33="现房","成新及维护状况是否正常",IF(B33="在建","工程状态是否正常",IF(B33="土地","是否闲置","-")))</f>
        <v>-</v>
      </c>
      <c r="D33" s="2128"/>
      <c r="E33" s="2129"/>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1824</v>
      </c>
      <c r="B34" s="2130" t="s">
        <v>3054</v>
      </c>
      <c r="C34" s="2130" t="s">
        <v>3055</v>
      </c>
      <c r="D34" s="2130" t="s">
        <v>3056</v>
      </c>
      <c r="E34" s="2130"/>
      <c r="F34" s="2130"/>
      <c r="G34" s="2130"/>
      <c r="H34" s="2130"/>
      <c r="I34" s="2041"/>
      <c r="J34" s="2041"/>
      <c r="K34" s="1794">
        <f>COUNTIF(B34:H34,"——")</f>
        <v>0</v>
      </c>
      <c r="L34" s="2071" t="s">
        <v>1825</v>
      </c>
      <c r="M34" s="2071" t="s">
        <v>1826</v>
      </c>
      <c r="N34" s="2071" t="s">
        <v>1827</v>
      </c>
      <c r="O34" s="2071" t="s">
        <v>1828</v>
      </c>
      <c r="P34" s="2071" t="s">
        <v>1829</v>
      </c>
      <c r="Q34" s="2071" t="s">
        <v>1830</v>
      </c>
      <c r="R34" s="2071" t="s">
        <v>1831</v>
      </c>
      <c r="S34" s="3011" t="s">
        <v>1832</v>
      </c>
      <c r="T34" s="2131" t="str">
        <f>NUMBERSTRING(7-K34,1)&amp;"通"</f>
        <v>七通</v>
      </c>
      <c r="U34" s="2028"/>
      <c r="V34" s="2028"/>
    </row>
    <row r="35" spans="1:22" ht="18" customHeight="1">
      <c r="A35" s="2132"/>
      <c r="B35" s="3018" t="s">
        <v>1833</v>
      </c>
      <c r="C35" s="3018"/>
      <c r="D35" s="3018"/>
      <c r="E35" s="3018"/>
      <c r="F35" s="2133" t="str">
        <f>C10</f>
        <v>武汉</v>
      </c>
      <c r="G35" s="2041"/>
      <c r="H35" s="2041"/>
      <c r="I35" s="2041"/>
      <c r="J35" s="2041"/>
      <c r="K35" s="2071"/>
      <c r="L35" s="2071"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11"/>
      <c r="T35" s="48" t="str">
        <f>IF(T34="一通",L35,IF(T34="二通",M35,IF(T34="三通",N35,IF(T34="四通",O35,IF(T34="五通",P35,IF(T34="六通",Q35,R35))))))</f>
        <v>通路、通电、通上水、、、、</v>
      </c>
      <c r="U35" s="2028"/>
      <c r="V35" s="2028"/>
    </row>
    <row r="36" spans="1:22" ht="18" customHeight="1">
      <c r="A36" s="2134"/>
      <c r="B36" s="2133" t="s">
        <v>1834</v>
      </c>
      <c r="C36" s="2133" t="s">
        <v>1835</v>
      </c>
      <c r="D36" s="2133" t="s">
        <v>1836</v>
      </c>
      <c r="E36" s="2133" t="s">
        <v>1837</v>
      </c>
      <c r="F36" s="2135"/>
      <c r="G36" s="2041"/>
      <c r="H36" s="2041"/>
      <c r="I36" s="2041"/>
      <c r="J36" s="2041"/>
      <c r="K36" s="2052"/>
      <c r="L36" s="2027"/>
      <c r="M36" s="2027"/>
      <c r="N36" s="2028"/>
      <c r="O36" s="2029"/>
      <c r="P36" s="2028"/>
      <c r="Q36" s="2028"/>
      <c r="R36" s="2028"/>
      <c r="S36" s="2028"/>
      <c r="T36" s="2028"/>
      <c r="U36" s="2028"/>
      <c r="V36" s="2028"/>
    </row>
    <row r="37" spans="1:22" ht="18" customHeight="1">
      <c r="A37" s="2136" t="s">
        <v>1838</v>
      </c>
      <c r="B37" s="2137"/>
      <c r="C37" s="2137"/>
      <c r="D37" s="2137"/>
      <c r="E37" s="2137"/>
      <c r="F37" s="2135"/>
      <c r="G37" s="2041"/>
      <c r="H37" s="2041"/>
      <c r="I37" s="2041"/>
      <c r="J37" s="2041"/>
      <c r="K37" s="2052"/>
      <c r="L37" s="2027"/>
      <c r="M37" s="2027"/>
      <c r="N37" s="2028"/>
      <c r="O37" s="2029"/>
      <c r="P37" s="2028"/>
      <c r="Q37" s="2028"/>
      <c r="R37" s="2028"/>
      <c r="S37" s="2028"/>
      <c r="T37" s="2028"/>
      <c r="U37" s="2028"/>
      <c r="V37" s="2028"/>
    </row>
    <row r="38" spans="1:22" ht="18" customHeight="1" thickBot="1">
      <c r="A38" s="2138" t="s">
        <v>1839</v>
      </c>
      <c r="B38" s="2139"/>
      <c r="C38" s="2139"/>
      <c r="D38" s="2139"/>
      <c r="E38" s="2139"/>
      <c r="F38" s="2140"/>
      <c r="G38" s="2060"/>
      <c r="H38" s="2060"/>
      <c r="I38" s="2060"/>
      <c r="J38" s="2041"/>
      <c r="K38" s="2052"/>
      <c r="L38" s="2027"/>
      <c r="M38" s="2027"/>
      <c r="N38" s="2028"/>
      <c r="O38" s="2029"/>
      <c r="P38" s="2028"/>
      <c r="Q38" s="2028"/>
      <c r="R38" s="2028"/>
      <c r="S38" s="2028"/>
      <c r="T38" s="2028"/>
      <c r="U38" s="2028"/>
      <c r="V38" s="2028"/>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1841</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1842</v>
      </c>
      <c r="B42" s="1794" t="s">
        <v>1843</v>
      </c>
      <c r="C42" s="1794" t="s">
        <v>1844</v>
      </c>
      <c r="D42" s="1794" t="s">
        <v>1845</v>
      </c>
      <c r="E42" s="1794" t="s">
        <v>1846</v>
      </c>
      <c r="F42" s="1794" t="s">
        <v>1847</v>
      </c>
      <c r="G42" s="1794" t="s">
        <v>1848</v>
      </c>
      <c r="H42" s="1794" t="s">
        <v>1849</v>
      </c>
      <c r="I42" s="1794" t="s">
        <v>1850</v>
      </c>
      <c r="J42" s="2149" t="s">
        <v>1851</v>
      </c>
      <c r="K42" s="2072" t="s">
        <v>1852</v>
      </c>
      <c r="L42" s="2072" t="s">
        <v>1853</v>
      </c>
      <c r="M42" s="2072" t="s">
        <v>1854</v>
      </c>
      <c r="N42" s="1794" t="s">
        <v>1855</v>
      </c>
      <c r="O42" s="1794" t="s">
        <v>1856</v>
      </c>
      <c r="P42" s="1794" t="s">
        <v>1857</v>
      </c>
      <c r="Q42" s="2071" t="s">
        <v>1858</v>
      </c>
      <c r="R42" s="2071" t="s">
        <v>1859</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O13" activePane="bottomRight" state="frozen"/>
      <selection activeCell="C50" sqref="C50"/>
      <selection pane="topRight" activeCell="C50" sqref="C50"/>
      <selection pane="bottomLeft" activeCell="C50" sqref="C50"/>
      <selection pane="bottomRight" activeCell="H13" sqref="H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1865</v>
      </c>
      <c r="AZ2" s="1269"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103644.78</v>
      </c>
      <c r="B3" s="14">
        <f>IF(C3="否",G5-AT5,G5)</f>
        <v>642216.18999999994</v>
      </c>
      <c r="C3" s="2165" t="s">
        <v>3049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1868</v>
      </c>
      <c r="B5" s="1802"/>
      <c r="C5" s="1802"/>
      <c r="D5" s="1805"/>
      <c r="E5" s="16" t="s">
        <v>1</v>
      </c>
      <c r="F5" s="16">
        <f>SUM(F13:F587)</f>
        <v>0</v>
      </c>
      <c r="G5" s="16">
        <f>SUM(G13:G587)</f>
        <v>674379.37</v>
      </c>
      <c r="H5" s="16">
        <f t="shared" ref="H5:AT5" si="0">SUM(H13:H656)</f>
        <v>609791.32999999996</v>
      </c>
      <c r="I5" s="16">
        <f t="shared" si="0"/>
        <v>462528.7</v>
      </c>
      <c r="J5" s="16">
        <f t="shared" si="0"/>
        <v>0</v>
      </c>
      <c r="K5" s="16">
        <f t="shared" si="0"/>
        <v>124699.67</v>
      </c>
      <c r="L5" s="16">
        <f t="shared" si="0"/>
        <v>0</v>
      </c>
      <c r="M5" s="16">
        <f t="shared" si="0"/>
        <v>22562.959999999999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32424.86</v>
      </c>
      <c r="AD5" s="16">
        <f t="shared" si="0"/>
        <v>6644.4</v>
      </c>
      <c r="AE5" s="16">
        <f t="shared" si="0"/>
        <v>0</v>
      </c>
      <c r="AF5" s="16">
        <f t="shared" si="0"/>
        <v>0</v>
      </c>
      <c r="AG5" s="16">
        <f t="shared" si="0"/>
        <v>0</v>
      </c>
      <c r="AH5" s="16">
        <f t="shared" si="0"/>
        <v>0</v>
      </c>
      <c r="AI5" s="16">
        <f t="shared" si="0"/>
        <v>0</v>
      </c>
      <c r="AJ5" s="16">
        <f t="shared" si="0"/>
        <v>0</v>
      </c>
      <c r="AK5" s="16">
        <f t="shared" si="0"/>
        <v>0</v>
      </c>
      <c r="AL5" s="16">
        <f t="shared" si="0"/>
        <v>20945.5</v>
      </c>
      <c r="AM5" s="16">
        <f t="shared" si="0"/>
        <v>0</v>
      </c>
      <c r="AN5" s="16">
        <f t="shared" si="0"/>
        <v>4834.96</v>
      </c>
      <c r="AO5" s="16">
        <f t="shared" si="0"/>
        <v>0</v>
      </c>
      <c r="AP5" s="16">
        <f t="shared" si="0"/>
        <v>0</v>
      </c>
      <c r="AQ5" s="16">
        <f t="shared" si="0"/>
        <v>0</v>
      </c>
      <c r="AR5" s="16">
        <f t="shared" si="0"/>
        <v>0</v>
      </c>
      <c r="AS5" s="16">
        <f t="shared" si="0"/>
        <v>0</v>
      </c>
      <c r="AT5" s="16">
        <f t="shared" si="0"/>
        <v>32163.18</v>
      </c>
      <c r="AU5" s="1801"/>
      <c r="AV5" s="15" t="s">
        <v>1868</v>
      </c>
      <c r="AW5" s="1802"/>
      <c r="AX5" s="1802"/>
      <c r="AY5" s="17" t="s">
        <v>3</v>
      </c>
      <c r="AZ5" s="18">
        <f t="shared" ref="AZ5:BT5" si="1">SUM(AZ13:AZ656)</f>
        <v>642216.18999999994</v>
      </c>
      <c r="BA5" s="18">
        <f t="shared" si="1"/>
        <v>609791.32999999996</v>
      </c>
      <c r="BB5" s="18">
        <f t="shared" si="1"/>
        <v>462528.7</v>
      </c>
      <c r="BC5" s="18">
        <f t="shared" si="1"/>
        <v>124699.67</v>
      </c>
      <c r="BD5" s="18">
        <f t="shared" si="1"/>
        <v>22562.959999999999</v>
      </c>
      <c r="BE5" s="18">
        <f t="shared" si="1"/>
        <v>0</v>
      </c>
      <c r="BF5" s="18">
        <f t="shared" si="1"/>
        <v>0</v>
      </c>
      <c r="BG5" s="18">
        <f t="shared" si="1"/>
        <v>0</v>
      </c>
      <c r="BH5" s="18">
        <f t="shared" si="1"/>
        <v>0</v>
      </c>
      <c r="BI5" s="18">
        <f t="shared" si="1"/>
        <v>0</v>
      </c>
      <c r="BJ5" s="18">
        <f t="shared" si="1"/>
        <v>0</v>
      </c>
      <c r="BK5" s="18">
        <f t="shared" si="1"/>
        <v>0</v>
      </c>
      <c r="BL5" s="18">
        <f t="shared" si="1"/>
        <v>32424.86</v>
      </c>
      <c r="BM5" s="18">
        <f t="shared" si="1"/>
        <v>6644.4</v>
      </c>
      <c r="BN5" s="18">
        <f t="shared" si="1"/>
        <v>0</v>
      </c>
      <c r="BO5" s="18">
        <f t="shared" si="1"/>
        <v>0</v>
      </c>
      <c r="BP5" s="18">
        <f t="shared" si="1"/>
        <v>0</v>
      </c>
      <c r="BQ5" s="18">
        <f t="shared" si="1"/>
        <v>20945.5</v>
      </c>
      <c r="BR5" s="18">
        <f t="shared" si="1"/>
        <v>4834.96</v>
      </c>
      <c r="BS5" s="18">
        <f t="shared" si="1"/>
        <v>0</v>
      </c>
      <c r="BT5" s="19">
        <f t="shared" si="1"/>
        <v>0</v>
      </c>
    </row>
    <row r="6" spans="1:72" s="2174" customFormat="1" ht="12.75">
      <c r="A6" s="15" t="s">
        <v>1869</v>
      </c>
      <c r="B6" s="2171"/>
      <c r="C6" s="2171"/>
      <c r="D6" s="2172"/>
      <c r="E6" s="16">
        <f>H6+AC6+AT6</f>
        <v>103644.78000000001</v>
      </c>
      <c r="F6" s="16" t="s">
        <v>1</v>
      </c>
      <c r="G6" s="16" t="s">
        <v>2</v>
      </c>
      <c r="H6" s="20">
        <f>SUMIF(I$12:AB$12,"总值",I6:AB6)</f>
        <v>98411.860000000015</v>
      </c>
      <c r="I6" s="16">
        <f t="shared" ref="I6:AB6" si="2">ROUND($A$3*I5/$B$3,2)</f>
        <v>74645.710000000006</v>
      </c>
      <c r="J6" s="16">
        <f t="shared" si="2"/>
        <v>0</v>
      </c>
      <c r="K6" s="16">
        <f t="shared" si="2"/>
        <v>20124.8</v>
      </c>
      <c r="L6" s="16">
        <f t="shared" si="2"/>
        <v>0</v>
      </c>
      <c r="M6" s="16">
        <f t="shared" si="2"/>
        <v>3641.35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5232.92</v>
      </c>
      <c r="AD6" s="16">
        <f t="shared" ref="AD6:AS6" si="3">ROUND($A$3*AD5/$B$3,2)</f>
        <v>1072.31</v>
      </c>
      <c r="AE6" s="16">
        <f t="shared" si="3"/>
        <v>0</v>
      </c>
      <c r="AF6" s="16">
        <f t="shared" si="3"/>
        <v>0</v>
      </c>
      <c r="AG6" s="16">
        <f t="shared" si="3"/>
        <v>0</v>
      </c>
      <c r="AH6" s="16">
        <f t="shared" si="3"/>
        <v>0</v>
      </c>
      <c r="AI6" s="16">
        <f t="shared" si="3"/>
        <v>0</v>
      </c>
      <c r="AJ6" s="16">
        <f t="shared" si="3"/>
        <v>0</v>
      </c>
      <c r="AK6" s="16">
        <f t="shared" si="3"/>
        <v>0</v>
      </c>
      <c r="AL6" s="16">
        <f t="shared" si="3"/>
        <v>3380.31</v>
      </c>
      <c r="AM6" s="16">
        <f t="shared" si="3"/>
        <v>0</v>
      </c>
      <c r="AN6" s="16">
        <f t="shared" si="3"/>
        <v>780.3</v>
      </c>
      <c r="AO6" s="16">
        <f t="shared" si="3"/>
        <v>0</v>
      </c>
      <c r="AP6" s="16">
        <f t="shared" si="3"/>
        <v>0</v>
      </c>
      <c r="AQ6" s="16">
        <f t="shared" si="3"/>
        <v>0</v>
      </c>
      <c r="AR6" s="16">
        <f t="shared" si="3"/>
        <v>0</v>
      </c>
      <c r="AS6" s="16">
        <f t="shared" si="3"/>
        <v>0</v>
      </c>
      <c r="AT6" s="20">
        <f>IF(C3="是",ROUND($A$3*AT5/$B$3,2),0)</f>
        <v>0</v>
      </c>
      <c r="AU6" s="2173"/>
      <c r="AV6" s="15" t="s">
        <v>1869</v>
      </c>
      <c r="AW6" s="2171"/>
      <c r="AX6" s="2171"/>
      <c r="AY6" s="21">
        <f>IF(AY3&gt;0,AY3,ROUND($A$3*AZ5/$B$3,2))</f>
        <v>103644.78</v>
      </c>
      <c r="AZ6" s="16" t="s">
        <v>3</v>
      </c>
      <c r="BA6" s="16">
        <f>ROUND($AY$6*BA5/$AZ$5,2)</f>
        <v>98411.86</v>
      </c>
      <c r="BB6" s="16">
        <f>ROUND($AY$6*BB5/$AZ$5,2)</f>
        <v>74645.710000000006</v>
      </c>
      <c r="BC6" s="16">
        <f t="shared" ref="BC6:BH6" si="4">ROUND($AY$6*BC5/$AZ$5,2)</f>
        <v>20124.8</v>
      </c>
      <c r="BD6" s="16">
        <f t="shared" si="4"/>
        <v>3641.35</v>
      </c>
      <c r="BE6" s="16">
        <f t="shared" si="4"/>
        <v>0</v>
      </c>
      <c r="BF6" s="16">
        <f t="shared" si="4"/>
        <v>0</v>
      </c>
      <c r="BG6" s="16">
        <f t="shared" si="4"/>
        <v>0</v>
      </c>
      <c r="BH6" s="16">
        <f t="shared" si="4"/>
        <v>0</v>
      </c>
      <c r="BI6" s="16">
        <f t="shared" ref="BI6:BT6" si="5">ROUND($AY$6*BI5/$AZ$5,2)</f>
        <v>0</v>
      </c>
      <c r="BJ6" s="16">
        <f t="shared" si="5"/>
        <v>0</v>
      </c>
      <c r="BK6" s="16">
        <f t="shared" si="5"/>
        <v>0</v>
      </c>
      <c r="BL6" s="16">
        <f t="shared" si="5"/>
        <v>5232.92</v>
      </c>
      <c r="BM6" s="16">
        <f t="shared" si="5"/>
        <v>1072.31</v>
      </c>
      <c r="BN6" s="16">
        <f t="shared" si="5"/>
        <v>0</v>
      </c>
      <c r="BO6" s="16">
        <f t="shared" si="5"/>
        <v>0</v>
      </c>
      <c r="BP6" s="16">
        <f t="shared" si="5"/>
        <v>0</v>
      </c>
      <c r="BQ6" s="16">
        <f t="shared" si="5"/>
        <v>3380.31</v>
      </c>
      <c r="BR6" s="16">
        <f t="shared" si="5"/>
        <v>780.3</v>
      </c>
      <c r="BS6" s="16">
        <f t="shared" si="5"/>
        <v>0</v>
      </c>
      <c r="BT6" s="22">
        <f t="shared" si="5"/>
        <v>0</v>
      </c>
    </row>
    <row r="7" spans="1:72" s="2164" customFormat="1" ht="24.75">
      <c r="A7" s="2106" t="s">
        <v>1870</v>
      </c>
      <c r="B7" s="2106" t="s">
        <v>1871</v>
      </c>
      <c r="C7" s="2106" t="s">
        <v>1872</v>
      </c>
      <c r="D7" s="2106" t="s">
        <v>1873</v>
      </c>
      <c r="E7" s="2106" t="s">
        <v>1874</v>
      </c>
      <c r="F7" s="2106" t="s">
        <v>1875</v>
      </c>
      <c r="G7" s="2175" t="s">
        <v>1876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1877</v>
      </c>
      <c r="AV7" s="23" t="s">
        <v>1878</v>
      </c>
      <c r="AW7" s="2163" t="s">
        <v>1879</v>
      </c>
      <c r="AX7" s="23" t="s">
        <v>1872</v>
      </c>
      <c r="AY7" s="1802" t="s">
        <v>1880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1881</v>
      </c>
      <c r="H8" s="2181" t="s">
        <v>1882</v>
      </c>
      <c r="I8" s="2182"/>
      <c r="J8" s="1817"/>
      <c r="K8" s="1817"/>
      <c r="L8" s="1817"/>
      <c r="M8" s="1817"/>
      <c r="N8" s="1817"/>
      <c r="O8" s="1817"/>
      <c r="P8" s="1817"/>
      <c r="Q8" s="1817"/>
      <c r="R8" s="1817"/>
      <c r="S8" s="1817"/>
      <c r="T8" s="1817"/>
      <c r="U8" s="1817"/>
      <c r="V8" s="2183"/>
      <c r="W8" s="1817"/>
      <c r="X8" s="1817"/>
      <c r="Y8" s="1817"/>
      <c r="Z8" s="1817"/>
      <c r="AA8" s="2183"/>
      <c r="AB8" s="2184"/>
      <c r="AC8" s="980" t="s">
        <v>1883</v>
      </c>
      <c r="AD8" s="2185"/>
      <c r="AE8" s="2177"/>
      <c r="AF8" s="1817"/>
      <c r="AG8" s="1817"/>
      <c r="AH8" s="1817"/>
      <c r="AI8" s="1817"/>
      <c r="AJ8" s="1817"/>
      <c r="AK8" s="1817"/>
      <c r="AL8" s="1817"/>
      <c r="AM8" s="1817"/>
      <c r="AN8" s="1817"/>
      <c r="AO8" s="1817"/>
      <c r="AP8" s="1817"/>
      <c r="AQ8" s="1817"/>
      <c r="AR8" s="1817"/>
      <c r="AS8" s="1817"/>
      <c r="AT8" s="1291" t="s">
        <v>1884</v>
      </c>
      <c r="AU8" s="2179" t="s">
        <v>1885</v>
      </c>
      <c r="AV8" s="1291"/>
      <c r="AW8" s="2162"/>
      <c r="AX8" s="1291"/>
      <c r="AY8" s="2163" t="s">
        <v>1886</v>
      </c>
      <c r="AZ8" s="1816" t="s">
        <v>1887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1888</v>
      </c>
      <c r="I9" s="2188" t="s">
        <v>3058</v>
      </c>
      <c r="J9" s="980"/>
      <c r="K9" s="2188" t="s">
        <v>3061</v>
      </c>
      <c r="L9" s="980"/>
      <c r="M9" s="2188" t="s">
        <v>3058</v>
      </c>
      <c r="N9" s="980"/>
      <c r="O9" s="2188"/>
      <c r="P9" s="980"/>
      <c r="Q9" s="2188"/>
      <c r="R9" s="980"/>
      <c r="S9" s="2188"/>
      <c r="T9" s="980"/>
      <c r="U9" s="2188"/>
      <c r="V9" s="980"/>
      <c r="W9" s="2188"/>
      <c r="X9" s="2189"/>
      <c r="Y9" s="2188"/>
      <c r="Z9" s="980"/>
      <c r="AA9" s="2188"/>
      <c r="AB9" s="980"/>
      <c r="AC9" s="2180"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90"/>
      <c r="AT9" s="2179"/>
      <c r="AU9" s="2179" t="s">
        <v>1891</v>
      </c>
      <c r="AV9" s="1291"/>
      <c r="AW9" s="2162"/>
      <c r="AX9" s="1291"/>
      <c r="AY9" s="28"/>
      <c r="AZ9" s="28" t="s">
        <v>1881</v>
      </c>
      <c r="BA9" s="2191" t="s">
        <v>1892</v>
      </c>
      <c r="BB9" s="2192"/>
      <c r="BC9" s="1337"/>
      <c r="BD9" s="1337"/>
      <c r="BE9" s="1337"/>
      <c r="BF9" s="1337"/>
      <c r="BG9" s="1337"/>
      <c r="BH9" s="1337"/>
      <c r="BI9" s="1337"/>
      <c r="BJ9" s="1337"/>
      <c r="BK9" s="2193"/>
      <c r="BL9" s="15" t="s">
        <v>1893</v>
      </c>
      <c r="BM9" s="1817"/>
      <c r="BN9" s="2182"/>
      <c r="BO9" s="1817"/>
      <c r="BP9" s="1817"/>
      <c r="BQ9" s="1817"/>
      <c r="BR9" s="1817"/>
      <c r="BS9" s="1817"/>
      <c r="BT9" s="26"/>
    </row>
    <row r="10" spans="1:72" s="2186" customFormat="1" ht="12.75">
      <c r="A10" s="2179"/>
      <c r="B10" s="2179"/>
      <c r="C10" s="2179"/>
      <c r="D10" s="2179"/>
      <c r="E10" s="2179"/>
      <c r="F10" s="2179"/>
      <c r="G10" s="1291"/>
      <c r="H10" s="28"/>
      <c r="I10" s="2188" t="s">
        <v>3059</v>
      </c>
      <c r="J10" s="980"/>
      <c r="K10" s="2194" t="s">
        <v>3062</v>
      </c>
      <c r="L10" s="980"/>
      <c r="M10" s="2194" t="s">
        <v>1377</v>
      </c>
      <c r="N10" s="980"/>
      <c r="O10" s="2194"/>
      <c r="P10" s="980"/>
      <c r="Q10" s="2194"/>
      <c r="R10" s="980"/>
      <c r="S10" s="2194"/>
      <c r="T10" s="980"/>
      <c r="U10" s="2194"/>
      <c r="V10" s="980"/>
      <c r="W10" s="2194"/>
      <c r="X10" s="980"/>
      <c r="Y10" s="2194"/>
      <c r="Z10" s="980"/>
      <c r="AA10" s="2194"/>
      <c r="AB10" s="980"/>
      <c r="AC10" s="1291"/>
      <c r="AD10" s="15" t="s">
        <v>1894</v>
      </c>
      <c r="AE10" s="2195"/>
      <c r="AF10" s="15" t="s">
        <v>1894</v>
      </c>
      <c r="AG10" s="2195"/>
      <c r="AH10" s="15" t="s">
        <v>1895</v>
      </c>
      <c r="AI10" s="2195"/>
      <c r="AJ10" s="15" t="s">
        <v>1895</v>
      </c>
      <c r="AK10" s="2195"/>
      <c r="AL10" s="15" t="s">
        <v>1896</v>
      </c>
      <c r="AM10" s="1297"/>
      <c r="AN10" s="15" t="s">
        <v>1896</v>
      </c>
      <c r="AO10" s="1297"/>
      <c r="AP10" s="15" t="s">
        <v>1897</v>
      </c>
      <c r="AQ10" s="1297"/>
      <c r="AR10" s="15" t="s">
        <v>1897</v>
      </c>
      <c r="AS10" s="1297"/>
      <c r="AT10" s="2179"/>
      <c r="AU10" s="2179"/>
      <c r="AV10" s="1291"/>
      <c r="AW10" s="2162"/>
      <c r="AX10" s="1291"/>
      <c r="AY10" s="28"/>
      <c r="AZ10" s="28"/>
      <c r="BA10" s="2196" t="s">
        <v>1888</v>
      </c>
      <c r="BB10" s="2197" t="str">
        <f>I9</f>
        <v>地上</v>
      </c>
      <c r="BC10" s="29" t="str">
        <f>K9</f>
        <v>地下</v>
      </c>
      <c r="BD10" s="29" t="str">
        <f>M9</f>
        <v>地上</v>
      </c>
      <c r="BE10" s="29">
        <f>O9</f>
        <v>0</v>
      </c>
      <c r="BF10" s="29">
        <f>Q9</f>
        <v>0</v>
      </c>
      <c r="BG10" s="29">
        <f>S9</f>
        <v>0</v>
      </c>
      <c r="BH10" s="29">
        <f>U9</f>
        <v>0</v>
      </c>
      <c r="BI10" s="29">
        <f>W9</f>
        <v>0</v>
      </c>
      <c r="BJ10" s="29">
        <f>Y9</f>
        <v>0</v>
      </c>
      <c r="BK10" s="29">
        <f>AA9</f>
        <v>0</v>
      </c>
      <c r="BL10" s="25" t="s">
        <v>1888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3060</v>
      </c>
      <c r="J11" s="2200"/>
      <c r="K11" s="2199" t="s">
        <v>3062</v>
      </c>
      <c r="L11" s="2200"/>
      <c r="M11" s="2199" t="s">
        <v>3063</v>
      </c>
      <c r="N11" s="2200"/>
      <c r="O11" s="2199"/>
      <c r="P11" s="2200"/>
      <c r="Q11" s="2199"/>
      <c r="R11" s="2200"/>
      <c r="S11" s="2199"/>
      <c r="T11" s="2200"/>
      <c r="U11" s="2199"/>
      <c r="V11" s="2200"/>
      <c r="W11" s="2199"/>
      <c r="X11" s="2200"/>
      <c r="Y11" s="2199"/>
      <c r="Z11" s="2200"/>
      <c r="AA11" s="2199"/>
      <c r="AB11" s="2200"/>
      <c r="AC11" s="1291"/>
      <c r="AD11" s="2201" t="s">
        <v>1898</v>
      </c>
      <c r="AE11" s="1818"/>
      <c r="AF11" s="2201" t="s">
        <v>1898</v>
      </c>
      <c r="AG11" s="1818"/>
      <c r="AH11" s="2201" t="s">
        <v>1899</v>
      </c>
      <c r="AI11" s="2202"/>
      <c r="AJ11" s="2201" t="s">
        <v>1899</v>
      </c>
      <c r="AK11" s="1818"/>
      <c r="AL11" s="1816"/>
      <c r="AM11" s="1818"/>
      <c r="AN11" s="1816"/>
      <c r="AO11" s="1818"/>
      <c r="AP11" s="1816"/>
      <c r="AQ11" s="1818"/>
      <c r="AR11" s="1816"/>
      <c r="AS11" s="1818"/>
      <c r="AT11" s="2162"/>
      <c r="AU11" s="2179"/>
      <c r="AV11" s="1291"/>
      <c r="AW11" s="2162"/>
      <c r="AX11" s="1291"/>
      <c r="AY11" s="28"/>
      <c r="AZ11" s="28"/>
      <c r="BA11" s="28"/>
      <c r="BB11" s="2184" t="str">
        <f>I10</f>
        <v>住宅</v>
      </c>
      <c r="BC11" s="2184" t="str">
        <f>K10</f>
        <v>车库</v>
      </c>
      <c r="BD11" s="2184" t="str">
        <f>M10</f>
        <v>商业</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1" t="s">
        <v>1901</v>
      </c>
      <c r="W12" s="11" t="s">
        <v>1900</v>
      </c>
      <c r="X12" s="11" t="s">
        <v>1901</v>
      </c>
      <c r="Y12" s="11" t="s">
        <v>1900</v>
      </c>
      <c r="Z12" s="11" t="s">
        <v>1901</v>
      </c>
      <c r="AA12" s="11" t="s">
        <v>1900</v>
      </c>
      <c r="AB12" s="11" t="s">
        <v>1901</v>
      </c>
      <c r="AC12" s="2206"/>
      <c r="AD12" s="180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4" t="s">
        <v>1901</v>
      </c>
      <c r="AT12" s="2207"/>
      <c r="AU12" s="2204"/>
      <c r="AV12" s="31"/>
      <c r="AW12" s="2163"/>
      <c r="AX12" s="31"/>
      <c r="AY12" s="2208"/>
      <c r="AZ12" s="28"/>
      <c r="BA12" s="2196"/>
      <c r="BB12" s="24" t="str">
        <f>I11</f>
        <v>普通住宅</v>
      </c>
      <c r="BC12" s="2209" t="str">
        <f>K11</f>
        <v>车库</v>
      </c>
      <c r="BD12" s="2209" t="str">
        <f>M11</f>
        <v>独立商业</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3057</v>
      </c>
      <c r="E13" s="16">
        <f>IF($C$3="是",ROUND($A$3*G13/$B$3,2),ROUND($A$3*(G13-AT13)/$B$3,2))</f>
        <v>103644.78</v>
      </c>
      <c r="F13" s="32"/>
      <c r="G13" s="33">
        <f>H13+AC13+AT13</f>
        <v>674379.37</v>
      </c>
      <c r="H13" s="20">
        <f>SUMIF(I$12:AB$12,"总值",I13:AB13)</f>
        <v>609791.32999999996</v>
      </c>
      <c r="I13" s="2211">
        <v>462528.7</v>
      </c>
      <c r="J13" s="2211"/>
      <c r="K13" s="2211">
        <v>124699.67</v>
      </c>
      <c r="L13" s="2211"/>
      <c r="M13" s="2211">
        <v>22562.959999999999</v>
      </c>
      <c r="N13" s="2211"/>
      <c r="O13" s="2211"/>
      <c r="P13" s="2211"/>
      <c r="Q13" s="2211"/>
      <c r="R13" s="2211"/>
      <c r="S13" s="2211"/>
      <c r="T13" s="2211"/>
      <c r="U13" s="2211"/>
      <c r="V13" s="2211"/>
      <c r="W13" s="2211"/>
      <c r="X13" s="2211"/>
      <c r="Y13" s="2211"/>
      <c r="Z13" s="2211"/>
      <c r="AA13" s="2211"/>
      <c r="AB13" s="2211"/>
      <c r="AC13" s="16">
        <f>SUMIF(AD$12:AS$12,"总值",AD13:AS13)</f>
        <v>32424.86</v>
      </c>
      <c r="AD13" s="2212">
        <v>6644.4</v>
      </c>
      <c r="AE13" s="2212"/>
      <c r="AF13" s="2212"/>
      <c r="AG13" s="2212"/>
      <c r="AH13" s="2212"/>
      <c r="AI13" s="2212"/>
      <c r="AJ13" s="2212"/>
      <c r="AK13" s="2212"/>
      <c r="AL13" s="2212">
        <f>3671.76+17273.74</f>
        <v>20945.5</v>
      </c>
      <c r="AM13" s="2212"/>
      <c r="AN13" s="2212">
        <v>4834.96</v>
      </c>
      <c r="AO13" s="2212"/>
      <c r="AP13" s="2212"/>
      <c r="AQ13" s="2212"/>
      <c r="AR13" s="2212"/>
      <c r="AS13" s="2212"/>
      <c r="AT13" s="2213">
        <v>32163.18</v>
      </c>
      <c r="AU13" s="2214"/>
      <c r="AV13" s="11">
        <f t="shared" ref="AV13:AX17" si="6">A13</f>
        <v>0</v>
      </c>
      <c r="AW13" s="11">
        <f t="shared" si="6"/>
        <v>0</v>
      </c>
      <c r="AX13" s="11">
        <f t="shared" si="6"/>
        <v>0</v>
      </c>
      <c r="AY13" s="1805">
        <f>ROUND($AY$6*AZ13/$AZ$5,2)</f>
        <v>103644.78</v>
      </c>
      <c r="AZ13" s="16">
        <f>BA13+BL13</f>
        <v>642216.18999999994</v>
      </c>
      <c r="BA13" s="16">
        <f>SUM(BB13:BK13)</f>
        <v>609791.32999999996</v>
      </c>
      <c r="BB13" s="16">
        <f>IF($D13="是",I13-J13,0)</f>
        <v>462528.7</v>
      </c>
      <c r="BC13" s="16">
        <f>IF($D13="是",K13-L13,0)</f>
        <v>124699.67</v>
      </c>
      <c r="BD13" s="16">
        <f>IF($D13="是",M13-N13,0)</f>
        <v>22562.959999999999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32424.86</v>
      </c>
      <c r="BM13" s="16">
        <f>IF($D13="是",AD13-AE13,0)</f>
        <v>6644.4</v>
      </c>
      <c r="BN13" s="16">
        <f>IF($D13="是",AF13-AG13,0)</f>
        <v>0</v>
      </c>
      <c r="BO13" s="16">
        <f>IF($D13="是",AH13-AI13,0)</f>
        <v>0</v>
      </c>
      <c r="BP13" s="16">
        <f>IF($D13="是",AJ13-AK13,0)</f>
        <v>0</v>
      </c>
      <c r="BQ13" s="16">
        <f>IF($D13="是",AL13-AM13,0)</f>
        <v>20945.5</v>
      </c>
      <c r="BR13" s="16">
        <f>IF($D13="是",AN13-AO13,0)</f>
        <v>4834.96</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1927</v>
      </c>
      <c r="B1" s="1391"/>
      <c r="C1" s="1391"/>
      <c r="D1" s="1391"/>
      <c r="E1" s="1391"/>
      <c r="F1" s="1391"/>
      <c r="G1" s="1391"/>
      <c r="H1" s="1391"/>
      <c r="I1" s="1391"/>
      <c r="J1" s="1391"/>
      <c r="K1" s="1391"/>
      <c r="L1" s="1391"/>
      <c r="M1" s="1391"/>
      <c r="N1" s="1391"/>
      <c r="O1" s="1391"/>
      <c r="P1" s="1391"/>
    </row>
    <row r="2" spans="1:16" ht="15">
      <c r="A2" s="3052" t="s">
        <v>1928</v>
      </c>
      <c r="B2" s="3052"/>
      <c r="C2" s="3052"/>
      <c r="D2" s="966" t="s">
        <v>1904</v>
      </c>
      <c r="E2" s="2224" t="s">
        <v>1905</v>
      </c>
      <c r="F2" s="1391"/>
      <c r="G2" s="2225"/>
      <c r="H2" s="2226"/>
      <c r="I2" s="2227" t="s">
        <v>1929</v>
      </c>
      <c r="J2" s="1391"/>
      <c r="K2" s="1391"/>
      <c r="L2" s="1391"/>
      <c r="M2" s="1391"/>
      <c r="N2" s="1426"/>
      <c r="O2" s="1391"/>
      <c r="P2" s="1391"/>
    </row>
    <row r="3" spans="1:16" ht="15.75" thickBot="1">
      <c r="A3" s="3053" t="s">
        <v>1902</v>
      </c>
      <c r="B3" s="3053"/>
      <c r="C3" s="3053"/>
      <c r="D3" s="46">
        <f>'数据-基础表'!AY6</f>
        <v>103644.78</v>
      </c>
      <c r="E3" s="46">
        <f>'数据-基础表'!AZ5</f>
        <v>642216.18999999994</v>
      </c>
      <c r="F3" s="1391"/>
      <c r="G3" s="1398"/>
      <c r="H3" s="1246" t="s">
        <v>1903</v>
      </c>
      <c r="I3" s="55">
        <f>ROUND('数据-基础表'!B3/'数据-基础表'!A3,2)</f>
        <v>6.2</v>
      </c>
      <c r="J3" s="1391"/>
      <c r="K3" s="1391"/>
      <c r="L3" s="1391"/>
      <c r="M3" s="1391"/>
      <c r="N3" s="1426"/>
      <c r="O3" s="1391"/>
      <c r="P3" s="1391"/>
    </row>
    <row r="4" spans="1:16" ht="15">
      <c r="A4" s="3054"/>
      <c r="B4" s="3055"/>
      <c r="C4" s="3056"/>
      <c r="D4" s="2228" t="s">
        <v>1904</v>
      </c>
      <c r="E4" s="2229" t="s">
        <v>1905</v>
      </c>
      <c r="F4" s="1391"/>
      <c r="G4" s="2230" t="s">
        <v>1930</v>
      </c>
      <c r="H4" s="1246" t="s">
        <v>1910</v>
      </c>
      <c r="I4" s="55">
        <f>ROUND(SUMIF('数据-基础表'!I9:AS9,"地上",'数据-基础表'!I5:AS5)/'数据-基础表'!A3,2)</f>
        <v>4.95</v>
      </c>
      <c r="J4" s="1391"/>
      <c r="K4" s="1391"/>
      <c r="L4" s="1391"/>
      <c r="M4" s="1391"/>
      <c r="N4" s="1426"/>
      <c r="O4" s="1391"/>
      <c r="P4" s="1391"/>
    </row>
    <row r="5" spans="1:16">
      <c r="A5" s="47" t="s">
        <v>1906</v>
      </c>
      <c r="B5" s="3057" t="s">
        <v>1907</v>
      </c>
      <c r="C5" s="3057"/>
      <c r="D5" s="48">
        <f>ROUND($D$3*E5/$E$3,2)</f>
        <v>74645.710000000006</v>
      </c>
      <c r="E5" s="49">
        <f>SUMIF('数据-基础表'!$11:$11,"住宅",'数据-基础表'!$5:$5)</f>
        <v>462528.7</v>
      </c>
      <c r="F5" s="1391"/>
      <c r="G5" s="1398"/>
      <c r="H5" s="1246" t="s">
        <v>1903</v>
      </c>
      <c r="I5" s="55">
        <f>ROUND(E31/D31,2)</f>
        <v>6.2</v>
      </c>
      <c r="J5" s="1391"/>
      <c r="K5" s="1391"/>
      <c r="L5" s="1391"/>
      <c r="M5" s="1391"/>
      <c r="N5" s="1391"/>
      <c r="O5" s="1391"/>
      <c r="P5" s="1391"/>
    </row>
    <row r="6" spans="1:16" ht="15" thickBot="1">
      <c r="A6" s="2231"/>
      <c r="B6" s="3057" t="s">
        <v>1908</v>
      </c>
      <c r="C6" s="3057"/>
      <c r="D6" s="48">
        <f>ROUND($D$3*E6/$E$3,2)</f>
        <v>28999.07</v>
      </c>
      <c r="E6" s="49">
        <f>E3-E5</f>
        <v>179687.48999999993</v>
      </c>
      <c r="F6" s="1391"/>
      <c r="G6" s="2232" t="s">
        <v>1909</v>
      </c>
      <c r="H6" s="1398" t="s">
        <v>1910</v>
      </c>
      <c r="I6" s="938">
        <f>ROUND(F31/D31,2)</f>
        <v>4.95</v>
      </c>
      <c r="J6" s="1391"/>
      <c r="K6" s="1391"/>
      <c r="L6" s="1391"/>
      <c r="M6" s="1391"/>
      <c r="N6" s="1391"/>
      <c r="O6" s="1391"/>
      <c r="P6" s="1391"/>
    </row>
    <row r="7" spans="1:16" ht="15">
      <c r="A7" s="3049"/>
      <c r="B7" s="3050"/>
      <c r="C7" s="3051"/>
      <c r="D7" s="2228" t="s">
        <v>1904</v>
      </c>
      <c r="E7" s="2233" t="s">
        <v>1911</v>
      </c>
      <c r="F7" s="1391"/>
      <c r="G7" s="2225" t="s">
        <v>1912</v>
      </c>
      <c r="H7" s="64"/>
      <c r="I7" s="420">
        <f>(F19+F21+F29)/D3</f>
        <v>4.7444363334072399</v>
      </c>
      <c r="J7" s="1391"/>
      <c r="K7" s="1391"/>
      <c r="L7" s="1391"/>
      <c r="M7" s="1391"/>
      <c r="N7" s="1391"/>
      <c r="O7" s="1391"/>
      <c r="P7" s="1391"/>
    </row>
    <row r="8" spans="1:16">
      <c r="A8" s="47" t="s">
        <v>1913</v>
      </c>
      <c r="B8" s="50" t="s">
        <v>1914</v>
      </c>
      <c r="C8" s="48" t="s">
        <v>1915</v>
      </c>
      <c r="D8" s="48">
        <f t="shared" ref="D8:D15" si="0">ROUND($D$3*E8/$E$3,2)</f>
        <v>78287.06</v>
      </c>
      <c r="E8" s="51">
        <f>SUMIF('数据-基础表'!BB10:BK10,"地上",'数据-基础表'!BB5:BK5)</f>
        <v>485091.66000000003</v>
      </c>
      <c r="F8" s="1391"/>
      <c r="G8" s="2234"/>
      <c r="H8" s="2234"/>
      <c r="I8" s="1391"/>
      <c r="J8" s="1391"/>
      <c r="K8" s="1391"/>
      <c r="L8" s="1391"/>
      <c r="M8" s="1391"/>
      <c r="N8" s="1391"/>
      <c r="O8" s="1391"/>
      <c r="P8" s="1391"/>
    </row>
    <row r="9" spans="1:16">
      <c r="A9" s="2235"/>
      <c r="B9" s="2236"/>
      <c r="C9" s="48" t="s">
        <v>1916</v>
      </c>
      <c r="D9" s="48">
        <f t="shared" si="0"/>
        <v>0</v>
      </c>
      <c r="E9" s="52">
        <v>0</v>
      </c>
      <c r="F9" s="1391"/>
      <c r="G9" s="2234"/>
      <c r="H9" s="2234"/>
      <c r="I9" s="1391"/>
      <c r="J9" s="1391"/>
      <c r="K9" s="1391"/>
      <c r="L9" s="1391"/>
      <c r="M9" s="1391"/>
      <c r="N9" s="1391"/>
      <c r="O9" s="1391"/>
      <c r="P9" s="1391"/>
    </row>
    <row r="10" spans="1:16">
      <c r="A10" s="2235"/>
      <c r="B10" s="2236"/>
      <c r="C10" s="48" t="s">
        <v>1925</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1917</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1918</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1919</v>
      </c>
      <c r="D13" s="48">
        <f t="shared" si="0"/>
        <v>20124.8</v>
      </c>
      <c r="E13" s="51">
        <f>SUMPRODUCT(('数据-基础表'!BB10:BK10="地下")*('数据-基础表'!BB11:BK11="车库")*('数据-基础表'!BB5:BK5))</f>
        <v>124699.67</v>
      </c>
      <c r="F13" s="1391"/>
      <c r="G13" s="2234"/>
      <c r="H13" s="2234"/>
      <c r="I13" s="1391"/>
      <c r="J13" s="1391"/>
      <c r="K13" s="1391"/>
      <c r="L13" s="1391"/>
      <c r="M13" s="1391"/>
      <c r="N13" s="1391"/>
      <c r="O13" s="1391"/>
      <c r="P13" s="1391"/>
    </row>
    <row r="14" spans="1:16">
      <c r="A14" s="2235"/>
      <c r="B14" s="2236"/>
      <c r="C14" s="48" t="s">
        <v>1931</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1926</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1920</v>
      </c>
      <c r="D16" s="50">
        <f>SUM(D8:D15)</f>
        <v>98411.86</v>
      </c>
      <c r="E16" s="53">
        <f>SUM(E8:E15)</f>
        <v>609791.33000000007</v>
      </c>
      <c r="F16" s="1391"/>
      <c r="G16" s="2234"/>
      <c r="H16" s="2237" t="s">
        <v>1932</v>
      </c>
      <c r="I16" s="2238"/>
      <c r="J16" s="1391"/>
      <c r="K16" s="3046" t="s">
        <v>1932</v>
      </c>
      <c r="L16" s="3047"/>
      <c r="M16" s="3047"/>
      <c r="N16" s="3047"/>
      <c r="O16" s="3047"/>
      <c r="P16" s="3048"/>
    </row>
    <row r="17" spans="1:19" ht="15">
      <c r="A17" s="2239" t="s">
        <v>1933</v>
      </c>
      <c r="B17" s="2240" t="s">
        <v>1934</v>
      </c>
      <c r="C17" s="2241" t="s">
        <v>1935</v>
      </c>
      <c r="D17" s="2242" t="s">
        <v>1923</v>
      </c>
      <c r="E17" s="2243" t="s">
        <v>1924</v>
      </c>
      <c r="F17" s="2244"/>
      <c r="G17" s="2245"/>
      <c r="H17" s="2246" t="s">
        <v>1936</v>
      </c>
      <c r="I17" s="2247" t="s">
        <v>1921</v>
      </c>
      <c r="J17" s="1391"/>
      <c r="K17" s="3043" t="s">
        <v>1937</v>
      </c>
      <c r="L17" s="3044"/>
      <c r="M17" s="3045"/>
      <c r="N17" s="3043" t="s">
        <v>1938</v>
      </c>
      <c r="O17" s="3044"/>
      <c r="P17" s="3045"/>
      <c r="R17" s="2225" t="s">
        <v>1939</v>
      </c>
      <c r="S17" s="64"/>
    </row>
    <row r="18" spans="1:19" ht="15">
      <c r="A18" s="2235"/>
      <c r="B18" s="2248"/>
      <c r="C18" s="2249"/>
      <c r="D18" s="2250"/>
      <c r="E18" s="2251" t="s">
        <v>1940</v>
      </c>
      <c r="F18" s="2252" t="s">
        <v>1941</v>
      </c>
      <c r="G18" s="2253" t="s">
        <v>1942</v>
      </c>
      <c r="H18" s="1261" t="s">
        <v>1943</v>
      </c>
      <c r="I18" s="2254" t="s">
        <v>1944</v>
      </c>
      <c r="J18" s="1391"/>
      <c r="K18" s="1261" t="s">
        <v>1945</v>
      </c>
      <c r="L18" s="2255" t="s">
        <v>1946</v>
      </c>
      <c r="M18" s="1045" t="s">
        <v>1947</v>
      </c>
      <c r="N18" s="1261" t="s">
        <v>1945</v>
      </c>
      <c r="O18" s="2255" t="s">
        <v>1946</v>
      </c>
      <c r="P18" s="1045" t="s">
        <v>1947</v>
      </c>
      <c r="R18" s="1246" t="s">
        <v>1948</v>
      </c>
      <c r="S18" s="1246" t="s">
        <v>1949</v>
      </c>
    </row>
    <row r="19" spans="1:19">
      <c r="A19" s="2256"/>
      <c r="B19" s="50" t="s">
        <v>1922</v>
      </c>
      <c r="C19" s="2943" t="s">
        <v>3064</v>
      </c>
      <c r="D19" s="48">
        <f>ROUND($D$3*E19/$E$3,2)</f>
        <v>74645.710000000006</v>
      </c>
      <c r="E19" s="56">
        <f t="shared" ref="E19:E26" si="1">SUM(F19:G19)</f>
        <v>462528.7</v>
      </c>
      <c r="F19" s="2211">
        <v>462528.7</v>
      </c>
      <c r="G19" s="58"/>
      <c r="H19" s="723">
        <f>ROUND($D$3*I19/$E$3,2)</f>
        <v>4228.1499999999996</v>
      </c>
      <c r="I19" s="51">
        <f t="shared" ref="I19:I26" si="2">IF($I$17="自定义",P19,M19)</f>
        <v>26198.959999999999</v>
      </c>
      <c r="J19" s="1391"/>
      <c r="K19" s="1390">
        <f t="shared" ref="K19:K26" si="3">ROUND(E$28*E19/E$27,2)</f>
        <v>19554.560000000001</v>
      </c>
      <c r="L19" s="1246">
        <f t="shared" ref="L19:L26" si="4">ROUND(IF(COUNTIF(C19,"*住宅*")&gt;0,E$29*E19/E$32,0),2)</f>
        <v>6644.4</v>
      </c>
      <c r="M19" s="1402">
        <f>K19+L19</f>
        <v>26198.959999999999</v>
      </c>
      <c r="N19" s="2257"/>
      <c r="O19" s="2258"/>
      <c r="P19" s="1402">
        <f>N19+O19</f>
        <v>0</v>
      </c>
      <c r="R19" s="1246">
        <f t="shared" ref="R19:S26" si="5">D19+H19</f>
        <v>78873.86</v>
      </c>
      <c r="S19" s="1247">
        <f t="shared" si="5"/>
        <v>488727.66000000003</v>
      </c>
    </row>
    <row r="20" spans="1:19">
      <c r="A20" s="2259"/>
      <c r="B20" s="50" t="s">
        <v>1950</v>
      </c>
      <c r="C20" s="2943" t="s">
        <v>3065</v>
      </c>
      <c r="D20" s="48">
        <f t="shared" ref="D20:D26" si="6">ROUND($D$3*E20/$E$3,2)</f>
        <v>20124.8</v>
      </c>
      <c r="E20" s="56">
        <f t="shared" si="1"/>
        <v>124699.67</v>
      </c>
      <c r="F20" s="57"/>
      <c r="G20" s="2211">
        <v>124699.67</v>
      </c>
      <c r="H20" s="723">
        <f t="shared" ref="H20:H26" si="7">ROUND($D$3*I20/$E$3,2)</f>
        <v>850.83</v>
      </c>
      <c r="I20" s="51">
        <f t="shared" si="2"/>
        <v>5271.99</v>
      </c>
      <c r="J20" s="1391"/>
      <c r="K20" s="1390">
        <f t="shared" si="3"/>
        <v>5271.99</v>
      </c>
      <c r="L20" s="1246">
        <f t="shared" si="4"/>
        <v>0</v>
      </c>
      <c r="M20" s="1402">
        <f t="shared" ref="M20:M26" si="8">K20+L20</f>
        <v>5271.99</v>
      </c>
      <c r="N20" s="2257"/>
      <c r="O20" s="2258"/>
      <c r="P20" s="1402">
        <f t="shared" ref="P20:P26" si="9">N20+O20</f>
        <v>0</v>
      </c>
      <c r="R20" s="1246">
        <f t="shared" si="5"/>
        <v>20975.63</v>
      </c>
      <c r="S20" s="1247">
        <f t="shared" si="5"/>
        <v>129971.66</v>
      </c>
    </row>
    <row r="21" spans="1:19">
      <c r="A21" s="2259"/>
      <c r="B21" s="50" t="s">
        <v>1950</v>
      </c>
      <c r="C21" s="2944" t="s">
        <v>3066</v>
      </c>
      <c r="D21" s="48">
        <f t="shared" si="6"/>
        <v>3641.35</v>
      </c>
      <c r="E21" s="56">
        <f t="shared" si="1"/>
        <v>22562.959999999999</v>
      </c>
      <c r="F21" s="2211">
        <v>22562.959999999999</v>
      </c>
      <c r="G21" s="58"/>
      <c r="H21" s="723">
        <f t="shared" si="7"/>
        <v>153.94999999999999</v>
      </c>
      <c r="I21" s="51">
        <f t="shared" si="2"/>
        <v>953.91</v>
      </c>
      <c r="J21" s="1391"/>
      <c r="K21" s="1390">
        <f t="shared" si="3"/>
        <v>953.91</v>
      </c>
      <c r="L21" s="1246">
        <f t="shared" si="4"/>
        <v>0</v>
      </c>
      <c r="M21" s="1402">
        <f t="shared" si="8"/>
        <v>953.91</v>
      </c>
      <c r="N21" s="2257"/>
      <c r="O21" s="2258"/>
      <c r="P21" s="1402">
        <f t="shared" si="9"/>
        <v>0</v>
      </c>
      <c r="R21" s="1246">
        <f t="shared" si="5"/>
        <v>3795.2999999999997</v>
      </c>
      <c r="S21" s="1247">
        <f t="shared" si="5"/>
        <v>23516.87</v>
      </c>
    </row>
    <row r="22" spans="1:19">
      <c r="A22" s="2259"/>
      <c r="B22" s="50" t="s">
        <v>1950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29.25" thickBot="1">
      <c r="A27" s="2259"/>
      <c r="B27" s="48"/>
      <c r="C27" s="2262" t="s">
        <v>1951</v>
      </c>
      <c r="D27" s="1392">
        <f>SUM(D19:D26)</f>
        <v>98411.860000000015</v>
      </c>
      <c r="E27" s="1393">
        <f>IF(SUM(E19:E26)='数据-基础表'!BA5,SUM(E19:E26),IF(F27="地上面积有误","面积有误","地下面积有误"))</f>
        <v>609791.32999999996</v>
      </c>
      <c r="F27" s="1392">
        <f>IF(SUM(F19:F26)=E8,SUM(F19:F26),"地上面积有误")</f>
        <v>485091.66000000003</v>
      </c>
      <c r="G27" s="1394">
        <f>SUM(G19:G26)</f>
        <v>124699.67</v>
      </c>
      <c r="H27" s="1395">
        <f>SUM(H19:H26)</f>
        <v>5232.9299999999994</v>
      </c>
      <c r="I27" s="1396">
        <f>SUM(I19:I26)</f>
        <v>32424.859999999997</v>
      </c>
      <c r="J27" s="1391"/>
      <c r="K27" s="1399">
        <f>SUM(K19:K26)</f>
        <v>25780.460000000003</v>
      </c>
      <c r="L27" s="1400">
        <f>SUM(L19:L26)</f>
        <v>6644.4</v>
      </c>
      <c r="M27" s="1403">
        <f>SUM(M19:M26)</f>
        <v>32424.859999999997</v>
      </c>
      <c r="N27" s="1399">
        <f t="shared" ref="N27:O27" si="10">SUM(N19:N26)</f>
        <v>0</v>
      </c>
      <c r="O27" s="1400">
        <f t="shared" si="10"/>
        <v>0</v>
      </c>
      <c r="P27" s="1401">
        <f>SUM(P19:P26)</f>
        <v>0</v>
      </c>
      <c r="R27" s="1248" t="str">
        <f>IF(SUM(R19:R26)=$D$3,SUM(R19:R26),SUM(R19:R26)&amp;"误差"&amp;ROUND(SUM(R19:R26)-$D$3,2))</f>
        <v>103644.79误差0.01</v>
      </c>
      <c r="S27" s="1246">
        <f>IF(SUM(S19:S26)=$E$3,SUM(S19:S26),SUM(S19:S26)&amp;"误差"&amp;ROUND(SUM(S19:S26)-E3,2))</f>
        <v>642216.19000000006</v>
      </c>
    </row>
    <row r="28" spans="1:19">
      <c r="A28" s="2259"/>
      <c r="B28" s="50" t="s">
        <v>1952</v>
      </c>
      <c r="C28" s="1258" t="s">
        <v>1953</v>
      </c>
      <c r="D28" s="48">
        <f>ROUND($D$3*E28/$E$3,2)</f>
        <v>4160.6099999999997</v>
      </c>
      <c r="E28" s="56">
        <f>SUM(F28:G28)</f>
        <v>25780.46</v>
      </c>
      <c r="F28" s="64">
        <f>'数据-基础表'!BQ5+'数据-基础表'!BS5</f>
        <v>20945.5</v>
      </c>
      <c r="G28" s="65">
        <f>'数据-基础表'!BR5+'数据-基础表'!BT5</f>
        <v>4834.96</v>
      </c>
      <c r="H28" s="1391"/>
      <c r="I28" s="1391"/>
      <c r="J28" s="1391"/>
      <c r="K28" s="1391"/>
      <c r="L28" s="1391"/>
      <c r="M28" s="1391"/>
      <c r="N28" s="1391"/>
      <c r="O28" s="1391"/>
      <c r="P28" s="1391"/>
    </row>
    <row r="29" spans="1:19">
      <c r="A29" s="2259"/>
      <c r="B29" s="50" t="s">
        <v>1952</v>
      </c>
      <c r="C29" s="2263" t="s">
        <v>1954</v>
      </c>
      <c r="D29" s="48">
        <f>ROUND($D$3*E29/$E$3,2)</f>
        <v>1072.31</v>
      </c>
      <c r="E29" s="56">
        <f>SUM(F29:G29)</f>
        <v>6644.4</v>
      </c>
      <c r="F29" s="66">
        <f>'数据-基础表'!BM5+'数据-基础表'!BO5</f>
        <v>6644.4</v>
      </c>
      <c r="G29" s="67">
        <f>'数据-基础表'!BN5+'数据-基础表'!BP5</f>
        <v>0</v>
      </c>
      <c r="H29" s="1391"/>
      <c r="I29" s="1391"/>
      <c r="J29" s="1391"/>
      <c r="K29" s="1391"/>
      <c r="L29" s="1391"/>
      <c r="M29" s="1391"/>
      <c r="N29" s="1391"/>
      <c r="O29" s="1391"/>
      <c r="P29" s="1391"/>
    </row>
    <row r="30" spans="1:19" ht="15">
      <c r="A30" s="2259"/>
      <c r="B30" s="50"/>
      <c r="C30" s="2264" t="s">
        <v>1951</v>
      </c>
      <c r="D30" s="1392">
        <f>SUM(D28:D29)</f>
        <v>5232.92</v>
      </c>
      <c r="E30" s="1392">
        <f>SUM(E28:E29)</f>
        <v>32424.86</v>
      </c>
      <c r="F30" s="1392">
        <f>SUM(F28:F29)</f>
        <v>27589.9</v>
      </c>
      <c r="G30" s="1394">
        <f>SUM(G28:G29)</f>
        <v>4834.96</v>
      </c>
      <c r="H30" s="1391"/>
      <c r="I30" s="1391"/>
      <c r="J30" s="1391"/>
      <c r="K30" s="1391"/>
      <c r="L30" s="1391"/>
      <c r="M30" s="1391"/>
      <c r="N30" s="1391"/>
      <c r="O30" s="1391"/>
      <c r="P30" s="1391"/>
    </row>
    <row r="31" spans="1:19" ht="15.75" thickBot="1">
      <c r="A31" s="2265"/>
      <c r="B31" s="2266"/>
      <c r="C31" s="1006" t="s">
        <v>1955</v>
      </c>
      <c r="D31" s="729">
        <f>D27+D30</f>
        <v>103644.78000000001</v>
      </c>
      <c r="E31" s="729">
        <f>E27+E30</f>
        <v>642216.18999999994</v>
      </c>
      <c r="F31" s="730">
        <f>F27+F30</f>
        <v>512681.56000000006</v>
      </c>
      <c r="G31" s="731">
        <f>G27+G30</f>
        <v>129534.63</v>
      </c>
      <c r="H31" s="1391"/>
      <c r="I31" s="1391"/>
      <c r="J31" s="1391"/>
      <c r="K31" s="1391"/>
      <c r="L31" s="1391"/>
      <c r="M31" s="1391"/>
      <c r="N31" s="1391"/>
      <c r="O31" s="1391"/>
      <c r="P31" s="1391"/>
    </row>
    <row r="32" spans="1:19">
      <c r="A32" s="2230"/>
      <c r="B32" s="2230" t="s">
        <v>1956</v>
      </c>
      <c r="C32" s="2230"/>
      <c r="D32" s="2230"/>
      <c r="E32" s="1273">
        <f>SUMIF(C19:C26,"*住宅*",E19:E26)</f>
        <v>462528.7</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10.37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1958</v>
      </c>
      <c r="B2" s="1265">
        <f>项目基本情况!D3</f>
        <v>43371</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1" t="s">
        <v>1963</v>
      </c>
      <c r="AA4" s="2241"/>
      <c r="AB4" s="2241"/>
      <c r="AC4" s="2241"/>
      <c r="AD4" s="2241"/>
      <c r="AE4" s="2239" t="s">
        <v>1964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1965</v>
      </c>
      <c r="B5" s="2286" t="s">
        <v>1966</v>
      </c>
      <c r="C5" s="2287" t="s">
        <v>1967</v>
      </c>
      <c r="D5" s="2288" t="s">
        <v>1968</v>
      </c>
      <c r="E5" s="1267" t="s">
        <v>1969</v>
      </c>
      <c r="F5" s="2289" t="s">
        <v>1970</v>
      </c>
      <c r="G5" s="1267" t="s">
        <v>1971</v>
      </c>
      <c r="H5" s="1267" t="s">
        <v>1972</v>
      </c>
      <c r="I5" s="1267" t="s">
        <v>1973</v>
      </c>
      <c r="J5" s="2290" t="s">
        <v>1974</v>
      </c>
      <c r="K5" s="2291" t="s">
        <v>1975</v>
      </c>
      <c r="L5" s="2292" t="s">
        <v>1976</v>
      </c>
      <c r="M5" s="2293" t="s">
        <v>1977</v>
      </c>
      <c r="N5" s="2294" t="s">
        <v>1978</v>
      </c>
      <c r="O5" s="2292" t="s">
        <v>1979</v>
      </c>
      <c r="P5" s="2295" t="s">
        <v>1980</v>
      </c>
      <c r="Q5" s="69" t="s">
        <v>1981</v>
      </c>
      <c r="R5" s="2296" t="s">
        <v>1982</v>
      </c>
      <c r="S5" s="2297" t="s">
        <v>1983</v>
      </c>
      <c r="T5" s="2298" t="s">
        <v>1984</v>
      </c>
      <c r="U5" s="1266" t="s">
        <v>1985</v>
      </c>
      <c r="V5" s="1267" t="s">
        <v>1986</v>
      </c>
      <c r="W5" s="1267" t="s">
        <v>1987</v>
      </c>
      <c r="X5" s="71"/>
      <c r="Y5" s="70" t="s">
        <v>1988</v>
      </c>
      <c r="Z5" s="2299" t="s">
        <v>1985</v>
      </c>
      <c r="AA5" s="1267" t="s">
        <v>1986</v>
      </c>
      <c r="AB5" s="1267" t="s">
        <v>1987</v>
      </c>
      <c r="AC5" s="71"/>
      <c r="AD5" s="71" t="s">
        <v>1988</v>
      </c>
      <c r="AE5" s="1266" t="s">
        <v>1989</v>
      </c>
      <c r="AF5" s="1267" t="s">
        <v>1990</v>
      </c>
      <c r="AG5" s="70" t="s">
        <v>1991</v>
      </c>
      <c r="AH5" s="1266" t="s">
        <v>1992</v>
      </c>
      <c r="AI5" s="2299" t="s">
        <v>1993</v>
      </c>
      <c r="AJ5" s="2299" t="s">
        <v>1994</v>
      </c>
      <c r="AK5" s="1267" t="s">
        <v>1995</v>
      </c>
      <c r="AL5" s="1267" t="s">
        <v>1996</v>
      </c>
      <c r="AM5" s="70" t="s">
        <v>1997</v>
      </c>
      <c r="AN5" s="2300" t="s">
        <v>1998</v>
      </c>
      <c r="AO5" s="2071" t="s">
        <v>1999</v>
      </c>
      <c r="AP5" s="1248" t="s">
        <v>2000</v>
      </c>
      <c r="AQ5" s="2301" t="s">
        <v>2001</v>
      </c>
      <c r="AR5" s="2301" t="s">
        <v>2002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住宅</v>
      </c>
      <c r="B6" s="2303" t="str">
        <f>IF(A6=0,"","经营性")</f>
        <v>经营性</v>
      </c>
      <c r="C6" s="2304" t="s">
        <v>3059</v>
      </c>
      <c r="D6" s="1050">
        <f>SUMIF(项目基本情况!D$12:I$12,C6,项目基本情况!D$14:I$14)</f>
        <v>70</v>
      </c>
      <c r="E6" s="1047">
        <f>IF(B6="","",SUMIF(项目基本情况!D$12:I$12,C6,项目基本情况!D$13:I$13))</f>
        <v>68641</v>
      </c>
      <c r="F6" s="72">
        <f>SUMIF(项目基本情况!D$12:I$12,C6,项目基本情况!D$15:I$15)</f>
        <v>69.23</v>
      </c>
      <c r="G6" s="73">
        <f>IF(ISERROR(ROUND(POWER(1+H6,D6-F6)*(POWER(1+H6,F6)-1)/(POWER(1+H6,D6)-1),3)),0,ROUND(POWER(1+H6,D6-F6)*(POWER(1+H6,F6)-1)/(POWER(1+H6,D6)-1),3))</f>
        <v>0.998</v>
      </c>
      <c r="H6" s="802">
        <v>0.04</v>
      </c>
      <c r="I6" s="802">
        <v>4.4999999999999998E-2</v>
      </c>
      <c r="J6" s="74">
        <v>8.5000000000000006E-2</v>
      </c>
      <c r="K6" s="1250">
        <f>SUMIF('数据-汇总表'!C$19:C$33,A6,'数据-汇总表'!E$19:E$33)</f>
        <v>462528.7</v>
      </c>
      <c r="L6" s="803">
        <v>2200</v>
      </c>
      <c r="M6" s="75">
        <f t="shared" ref="M6:M14" si="0">ROUND(K6*L6/10000,0)</f>
        <v>101756</v>
      </c>
      <c r="N6" s="801">
        <v>0.3</v>
      </c>
      <c r="O6" s="75">
        <f>IF($N$5="成新度","——",ROUND(M6*N6,0))</f>
        <v>30527</v>
      </c>
      <c r="P6" s="76">
        <f>IF($N$5="成新度","——",M6-O6)</f>
        <v>71229</v>
      </c>
      <c r="Q6" s="804">
        <v>0.1</v>
      </c>
      <c r="R6" s="77">
        <f ca="1">SUMIF('数据-汇总表'!C$19:C$33,A6,'数据-汇总表'!R$19:R$27)</f>
        <v>78873.86</v>
      </c>
      <c r="S6" s="54">
        <f>IF('数据-汇总表'!$I$17="按面积比例",SUMIF('数据-汇总表'!C$19:C$33,A6,'数据-汇总表'!K$19:K$33),SUMIF('数据-汇总表'!C$19:C$33,A6,'数据-汇总表'!N$19:N$33))</f>
        <v>19554.560000000001</v>
      </c>
      <c r="T6" s="1442">
        <f>ROUND($L$14*S6/10000,0)</f>
        <v>4302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c r="AL6" s="88"/>
      <c r="AM6" s="89"/>
      <c r="AN6" s="2305"/>
      <c r="AO6" s="55" t="e">
        <f ca="1">SUMIF(INDIRECT("'"&amp;AN6&amp;"'"&amp;"!A:A"),"总价",INDIRECT("'"&amp;AN6&amp;"'"&amp;"!B:B"))</f>
        <v>#REF!</v>
      </c>
      <c r="AP6" s="2306">
        <f>IF(C6="住宅",K6*L6,0)</f>
        <v>1017563140</v>
      </c>
      <c r="AQ6" s="55">
        <f>ROUND($L$14*$N$14*S6/10000,0)</f>
        <v>1721</v>
      </c>
      <c r="AR6" s="55">
        <f>ROUND($L$14*(1-$N$14)*S6/10000,0)</f>
        <v>2581</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车库</v>
      </c>
      <c r="B7" s="2303" t="str">
        <f t="shared" ref="B7:B13" si="1">IF(A7=0,"","经营性")</f>
        <v>经营性</v>
      </c>
      <c r="C7" s="2304" t="s">
        <v>3062</v>
      </c>
      <c r="D7" s="1050">
        <f>SUMIF(项目基本情况!D$12:I$12,C7,项目基本情况!D$14:I$14)</f>
        <v>50</v>
      </c>
      <c r="E7" s="1047">
        <f>IF(B7="","",SUMIF(项目基本情况!D$12:I$12,C7,项目基本情况!D$13:I$13))</f>
        <v>61336</v>
      </c>
      <c r="F7" s="72">
        <f>SUMIF(项目基本情况!D$12:I$12,C7,项目基本情况!D$15:I$15)</f>
        <v>49.21</v>
      </c>
      <c r="G7" s="73">
        <f t="shared" ref="G7:G11" si="2">IF(ISERROR(ROUND(POWER(1+H7,D7-F7)*(POWER(1+H7,F7)-1)/(POWER(1+H7,D7)-1),3)),0,ROUND(POWER(1+H7,D7-F7)*(POWER(1+H7,F7)-1)/(POWER(1+H7,D7)-1),3))</f>
        <v>0.996</v>
      </c>
      <c r="H7" s="802">
        <v>4.4999999999999998E-2</v>
      </c>
      <c r="I7" s="802">
        <v>0.05</v>
      </c>
      <c r="J7" s="74">
        <v>8.5000000000000006E-2</v>
      </c>
      <c r="K7" s="1250">
        <f>SUMIF('数据-汇总表'!C$19:C$33,A7,'数据-汇总表'!E$19:E$33)</f>
        <v>124699.67</v>
      </c>
      <c r="L7" s="803">
        <v>2200</v>
      </c>
      <c r="M7" s="75">
        <f t="shared" si="0"/>
        <v>27434</v>
      </c>
      <c r="N7" s="801">
        <v>0.5</v>
      </c>
      <c r="O7" s="75">
        <f t="shared" ref="O7:O14" si="3">IF($N$5="成新度","——",ROUND(M7*N7,0))</f>
        <v>13717</v>
      </c>
      <c r="P7" s="76">
        <f t="shared" ref="P7:P14" si="4">IF($N$5="成新度","——",M7-O7)</f>
        <v>13717</v>
      </c>
      <c r="Q7" s="804">
        <v>0.03</v>
      </c>
      <c r="R7" s="77">
        <f ca="1">SUMIF('数据-汇总表'!C$19:C$33,A7,'数据-汇总表'!R$19:R$27)</f>
        <v>20975.63</v>
      </c>
      <c r="S7" s="54">
        <f>IF('数据-汇总表'!$I$17="按面积比例",SUMIF('数据-汇总表'!C$19:C$33,A7,'数据-汇总表'!K$19:K$33),SUMIF('数据-汇总表'!C$19:C$33,A7,'数据-汇总表'!N$19:N$33))</f>
        <v>5271.99</v>
      </c>
      <c r="T7" s="1442">
        <f t="shared" ref="T7:T13" si="5">ROUND($L$14*S7/10000,0)</f>
        <v>1160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v>3819</v>
      </c>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464</v>
      </c>
      <c r="AR7" s="55">
        <f t="shared" ref="AR7:AR13" si="11">ROUND($L$14*(1-$N$14)*S7/10000,0)</f>
        <v>696</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独立商业</v>
      </c>
      <c r="B8" s="2303" t="str">
        <f t="shared" si="1"/>
        <v>经营性</v>
      </c>
      <c r="C8" s="2304" t="s">
        <v>1377</v>
      </c>
      <c r="D8" s="1050">
        <f>SUMIF(项目基本情况!D$12:I$12,C8,项目基本情况!D$14:I$14)</f>
        <v>40</v>
      </c>
      <c r="E8" s="1047">
        <f>IF(B8="","",SUMIF(项目基本情况!D$12:I$12,C8,项目基本情况!D$13:I$13))</f>
        <v>57684</v>
      </c>
      <c r="F8" s="72">
        <f>SUMIF(项目基本情况!D$12:I$12,C8,项目基本情况!D$15:I$15)</f>
        <v>39.21</v>
      </c>
      <c r="G8" s="73">
        <f t="shared" si="2"/>
        <v>0.99399999999999999</v>
      </c>
      <c r="H8" s="802">
        <v>5.5E-2</v>
      </c>
      <c r="I8" s="802">
        <v>0.06</v>
      </c>
      <c r="J8" s="74">
        <v>8.5000000000000006E-2</v>
      </c>
      <c r="K8" s="1250">
        <f>SUMIF('数据-汇总表'!C$19:C$33,A8,'数据-汇总表'!E$19:E$33)</f>
        <v>22562.959999999999</v>
      </c>
      <c r="L8" s="803">
        <v>2200</v>
      </c>
      <c r="M8" s="75">
        <f>ROUND(K8*L8/10000,0)</f>
        <v>4964</v>
      </c>
      <c r="N8" s="801">
        <v>0.4</v>
      </c>
      <c r="O8" s="75">
        <f t="shared" si="3"/>
        <v>1986</v>
      </c>
      <c r="P8" s="76">
        <f t="shared" si="4"/>
        <v>2978</v>
      </c>
      <c r="Q8" s="804">
        <v>0.15</v>
      </c>
      <c r="R8" s="77">
        <f ca="1">SUMIF('数据-汇总表'!C$19:C$33,A8,'数据-汇总表'!R$19:R$27)</f>
        <v>3795.2999999999997</v>
      </c>
      <c r="S8" s="54">
        <f>IF('数据-汇总表'!$I$17="按面积比例",SUMIF('数据-汇总表'!C$19:C$33,A8,'数据-汇总表'!K$19:K$33),SUMIF('数据-汇总表'!C$19:C$33,A8,'数据-汇总表'!N$19:N$33))</f>
        <v>953.91</v>
      </c>
      <c r="T8" s="1442">
        <f t="shared" si="5"/>
        <v>210</v>
      </c>
      <c r="U8" s="805"/>
      <c r="V8" s="806"/>
      <c r="W8" s="806"/>
      <c r="X8" s="1260"/>
      <c r="Y8" s="807"/>
      <c r="Z8" s="81"/>
      <c r="AA8" s="74"/>
      <c r="AB8" s="74"/>
      <c r="AC8" s="1260"/>
      <c r="AD8" s="82"/>
      <c r="AE8" s="1261">
        <f t="shared" ca="1" si="6"/>
        <v>0</v>
      </c>
      <c r="AF8" s="1803"/>
      <c r="AG8" s="147">
        <f t="shared" si="7"/>
        <v>0</v>
      </c>
      <c r="AH8" s="2211">
        <v>22562.959999999999</v>
      </c>
      <c r="AI8" s="85"/>
      <c r="AJ8" s="86"/>
      <c r="AK8" s="87"/>
      <c r="AL8" s="88"/>
      <c r="AM8" s="89"/>
      <c r="AN8" s="2305"/>
      <c r="AO8" s="55" t="e">
        <f t="shared" ca="1" si="8"/>
        <v>#REF!</v>
      </c>
      <c r="AP8" s="2306">
        <f t="shared" si="9"/>
        <v>0</v>
      </c>
      <c r="AQ8" s="55">
        <f t="shared" si="10"/>
        <v>84</v>
      </c>
      <c r="AR8" s="55">
        <f t="shared" si="11"/>
        <v>126</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2003</v>
      </c>
      <c r="B14" s="2303" t="s">
        <v>2004</v>
      </c>
      <c r="C14" s="2308" t="s">
        <v>2003</v>
      </c>
      <c r="D14" s="1050"/>
      <c r="E14" s="1047"/>
      <c r="F14" s="72"/>
      <c r="G14" s="73"/>
      <c r="H14" s="1249"/>
      <c r="I14" s="1249"/>
      <c r="J14" s="1249"/>
      <c r="K14" s="1250">
        <f>SUMIF('数据-汇总表'!C$19:C$33,A14,'数据-汇总表'!E$19:E$33)</f>
        <v>25780.46</v>
      </c>
      <c r="L14" s="91">
        <v>2200</v>
      </c>
      <c r="M14" s="75">
        <f t="shared" si="0"/>
        <v>5672</v>
      </c>
      <c r="N14" s="92">
        <v>0.4</v>
      </c>
      <c r="O14" s="75">
        <f t="shared" si="3"/>
        <v>2269</v>
      </c>
      <c r="P14" s="76">
        <f t="shared" si="4"/>
        <v>3403</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2005</v>
      </c>
      <c r="B15" s="2303" t="s">
        <v>2004</v>
      </c>
      <c r="C15" s="2308" t="s">
        <v>2006</v>
      </c>
      <c r="D15" s="1050"/>
      <c r="E15" s="1047"/>
      <c r="F15" s="72"/>
      <c r="G15" s="73"/>
      <c r="H15" s="1249"/>
      <c r="I15" s="1249"/>
      <c r="J15" s="1249"/>
      <c r="K15" s="1250">
        <f>SUMIF('数据-汇总表'!C$19:C$33,A15,'数据-汇总表'!E$19:E$33)</f>
        <v>6644.4</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2007</v>
      </c>
      <c r="B16" s="97"/>
      <c r="C16" s="1004"/>
      <c r="D16" s="2310"/>
      <c r="E16" s="97"/>
      <c r="F16" s="97"/>
      <c r="G16" s="98">
        <f>ROUND(SUMPRODUCT(G6:G13,K6:K13)/SUMPRODUCT((G6:G13&gt;0)*(K6:K13)),3)</f>
        <v>0.997</v>
      </c>
      <c r="H16" s="99">
        <f>ROUND(SUMPRODUCT(H6:H13,K6:K13)/SUMPRODUCT((H6:H13&gt;0)*(K6:K13)),3)</f>
        <v>4.2000000000000003E-2</v>
      </c>
      <c r="I16" s="100"/>
      <c r="J16" s="100"/>
      <c r="K16" s="101">
        <f>SUM(K6:K15)</f>
        <v>642216.18999999994</v>
      </c>
      <c r="L16" s="102">
        <f>ROUND(M16*10000/SUM(K6:K14),0)</f>
        <v>2200</v>
      </c>
      <c r="M16" s="102">
        <f>SUM(M6:M14)</f>
        <v>139826</v>
      </c>
      <c r="N16" s="103">
        <f>ROUND(SUMPRODUCT(M6:M14,N6:N14)/M16,3)</f>
        <v>0.34699999999999998</v>
      </c>
      <c r="O16" s="102">
        <f>SUM(O6:O14)</f>
        <v>48499</v>
      </c>
      <c r="P16" s="102">
        <f>SUM(P6:P14)</f>
        <v>91327</v>
      </c>
      <c r="Q16" s="104">
        <f>ROUND(SUMPRODUCT(Q6:Q13,K6:K13)/SUMPRODUCT((Q6:Q13&gt;0)*(K6:K13)),2)</f>
        <v>0.09</v>
      </c>
      <c r="R16" s="1254">
        <f ca="1">SUM(R6:R13)</f>
        <v>103644.79000000001</v>
      </c>
      <c r="S16" s="105">
        <f>SUM(S6:S13)</f>
        <v>25780.460000000003</v>
      </c>
      <c r="T16" s="106">
        <f>IF(SUMIF(T6:T13,"&lt;9E307")=M14,SUMIF(T6:T13,"&lt;9E307"),"有误，请检查")</f>
        <v>5672</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2009</v>
      </c>
      <c r="B19" s="112">
        <v>0</v>
      </c>
      <c r="C19" s="2273" t="s">
        <v>2010</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2011</v>
      </c>
      <c r="B20" s="113">
        <v>2.5</v>
      </c>
      <c r="C20" s="2273" t="s">
        <v>2012</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2013</v>
      </c>
      <c r="B21" s="113">
        <v>1</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2014</v>
      </c>
      <c r="B22" s="114">
        <f>B19+B20</f>
        <v>2.5</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2015</v>
      </c>
      <c r="B23" s="114">
        <f>B19+B21</f>
        <v>1</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2016</v>
      </c>
      <c r="B24" s="115">
        <f>B20-B23</f>
        <v>1.5</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2017</v>
      </c>
      <c r="B26" s="2316" t="s">
        <v>2018</v>
      </c>
      <c r="C26" s="2317" t="s">
        <v>2019</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2020</v>
      </c>
      <c r="B27" s="116"/>
      <c r="C27" s="1763" t="s">
        <v>2021</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2022</v>
      </c>
      <c r="B28" s="119"/>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2023</v>
      </c>
      <c r="B29" s="121"/>
      <c r="C29" s="1763" t="s">
        <v>2024</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2025</v>
      </c>
      <c r="B30" s="724">
        <v>150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2026</v>
      </c>
      <c r="B31" s="120">
        <f>B30-B32</f>
        <v>50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2027</v>
      </c>
      <c r="B32" s="725">
        <v>100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2028</v>
      </c>
      <c r="B33" s="726">
        <v>0.03</v>
      </c>
      <c r="C33" s="1762" t="s">
        <v>2029</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2030</v>
      </c>
      <c r="B34" s="122">
        <v>0.03</v>
      </c>
      <c r="C34" s="1762" t="s">
        <v>2031</v>
      </c>
      <c r="D34" s="2274" t="s">
        <v>2032</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2033</v>
      </c>
      <c r="B35" s="119">
        <v>150</v>
      </c>
      <c r="C35" s="1762" t="s">
        <v>2034</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2035</v>
      </c>
      <c r="B36" s="123">
        <v>1.4999999999999999E-2</v>
      </c>
      <c r="C36" s="1762" t="s">
        <v>2036</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2037</v>
      </c>
      <c r="B37" s="124">
        <v>0.03</v>
      </c>
      <c r="C37" s="1762" t="s">
        <v>2038</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2039</v>
      </c>
      <c r="B38" s="122">
        <v>0.03</v>
      </c>
      <c r="C38" s="1762" t="s">
        <v>2038</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2040</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2041</v>
      </c>
      <c r="B40" s="1299">
        <f ca="1">存贷款利率!G1</f>
        <v>4.7500000000000001E-2</v>
      </c>
      <c r="C40" s="1762" t="s">
        <v>2042</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2043</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2044</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2045</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2046</v>
      </c>
      <c r="B44" s="128">
        <v>7.0000000000000007E-2</v>
      </c>
      <c r="C44" s="1762" t="s">
        <v>2047</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2048</v>
      </c>
      <c r="B45" s="126">
        <v>0.03</v>
      </c>
      <c r="C45" s="1763" t="s">
        <v>2049</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2050</v>
      </c>
      <c r="B46" s="126">
        <v>0.02</v>
      </c>
      <c r="C46" s="1763" t="s">
        <v>2051</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2052</v>
      </c>
      <c r="B47" s="129"/>
      <c r="C47" s="1763" t="s">
        <v>2053</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2054</v>
      </c>
      <c r="B48" s="130">
        <v>0.04</v>
      </c>
      <c r="C48" s="1770" t="s">
        <v>2055</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2056</v>
      </c>
      <c r="B49" s="126">
        <v>5.0000000000000001E-4</v>
      </c>
      <c r="C49" s="1770" t="s">
        <v>2057</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2058</v>
      </c>
      <c r="B50" s="131">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2059</v>
      </c>
      <c r="B51" s="132">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2060</v>
      </c>
      <c r="B52" s="133">
        <f>SUMIF(A54:A63,B53,B54:B63)</f>
        <v>5</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2061</v>
      </c>
      <c r="B53" s="2332" t="s">
        <v>523</v>
      </c>
      <c r="C53" s="1426" t="s">
        <v>2062</v>
      </c>
      <c r="D53" s="2333" t="s">
        <v>2063</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2064</v>
      </c>
      <c r="B54" s="84">
        <v>20</v>
      </c>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2065</v>
      </c>
      <c r="B55" s="84">
        <v>16</v>
      </c>
      <c r="C55" s="1426">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2066</v>
      </c>
      <c r="B56" s="84">
        <v>12</v>
      </c>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2067</v>
      </c>
      <c r="B57" s="84">
        <v>8</v>
      </c>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2068</v>
      </c>
      <c r="B58" s="84">
        <v>5</v>
      </c>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2069</v>
      </c>
      <c r="B59" s="84">
        <v>4</v>
      </c>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2070</v>
      </c>
      <c r="B60" s="84">
        <v>3.5</v>
      </c>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2071</v>
      </c>
      <c r="B61" s="84">
        <v>3</v>
      </c>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2072</v>
      </c>
      <c r="B62" s="84">
        <v>2.5</v>
      </c>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2073</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8"/>
      <c r="L64" s="798"/>
    </row>
    <row r="65" spans="1:12" s="963" customFormat="1">
      <c r="A65" s="2337"/>
      <c r="D65" s="2338"/>
      <c r="K65" s="798"/>
      <c r="L65" s="798"/>
    </row>
    <row r="66" spans="1:12" s="963" customFormat="1">
      <c r="A66" s="2337"/>
      <c r="D66" s="2338"/>
      <c r="K66" s="798"/>
      <c r="L66" s="798"/>
    </row>
    <row r="67" spans="1:12" s="963" customFormat="1">
      <c r="A67" s="2337"/>
      <c r="D67" s="2338"/>
      <c r="K67" s="798"/>
      <c r="L67" s="798"/>
    </row>
    <row r="68" spans="1:12" s="963" customFormat="1">
      <c r="A68" s="2337"/>
      <c r="D68" s="2338"/>
      <c r="K68" s="798"/>
      <c r="L68" s="798"/>
    </row>
    <row r="69" spans="1:12" s="963" customFormat="1">
      <c r="A69" s="2337"/>
      <c r="D69" s="2338"/>
      <c r="K69" s="798"/>
      <c r="L69" s="798"/>
    </row>
    <row r="70" spans="1:12" s="963" customFormat="1">
      <c r="A70" s="2337"/>
      <c r="D70" s="2338"/>
      <c r="K70" s="798"/>
      <c r="L70" s="798"/>
    </row>
    <row r="71" spans="1:12" s="963" customFormat="1">
      <c r="A71" s="2337"/>
      <c r="D71" s="2338"/>
      <c r="K71" s="798"/>
      <c r="L71" s="798"/>
    </row>
    <row r="72" spans="1:12" s="963" customFormat="1">
      <c r="A72" s="2337"/>
      <c r="D72" s="2338"/>
      <c r="K72" s="798"/>
      <c r="L72" s="798"/>
    </row>
    <row r="73" spans="1:12" s="963" customFormat="1">
      <c r="A73" s="2337"/>
      <c r="D73" s="2338"/>
      <c r="K73" s="798"/>
      <c r="L73" s="798"/>
    </row>
    <row r="74" spans="1:12" s="963" customFormat="1">
      <c r="A74" s="2337"/>
      <c r="D74" s="2338"/>
      <c r="K74" s="798"/>
      <c r="L74" s="798"/>
    </row>
    <row r="75" spans="1:12" s="963" customFormat="1">
      <c r="A75" s="2337"/>
      <c r="D75" s="2338"/>
      <c r="K75" s="798"/>
      <c r="L75" s="798"/>
    </row>
    <row r="76" spans="1:12" s="963" customFormat="1">
      <c r="A76" s="2337"/>
      <c r="D76" s="2338"/>
      <c r="K76" s="798"/>
      <c r="L76" s="798"/>
    </row>
    <row r="77" spans="1:12" s="963" customFormat="1">
      <c r="A77" s="2337"/>
      <c r="D77" s="2338"/>
      <c r="K77" s="798"/>
      <c r="L77" s="798"/>
    </row>
    <row r="78" spans="1:12" s="963" customFormat="1">
      <c r="A78" s="2337"/>
      <c r="D78" s="2338"/>
      <c r="K78" s="798"/>
      <c r="L78" s="798"/>
    </row>
    <row r="79" spans="1:12" s="963" customFormat="1">
      <c r="A79" s="2337"/>
      <c r="D79" s="2338"/>
      <c r="K79" s="798"/>
      <c r="L79" s="798"/>
    </row>
    <row r="80" spans="1:12" s="963" customFormat="1">
      <c r="A80" s="2337"/>
      <c r="D80" s="2338"/>
      <c r="K80" s="798"/>
      <c r="L80" s="798"/>
    </row>
    <row r="81" spans="1:12" s="963" customFormat="1">
      <c r="A81" s="2337"/>
      <c r="D81" s="2338"/>
      <c r="K81" s="798"/>
      <c r="L81" s="798"/>
    </row>
    <row r="82" spans="1:12" s="963" customFormat="1">
      <c r="A82" s="2337"/>
      <c r="D82" s="2338"/>
      <c r="K82" s="798"/>
      <c r="L82" s="798"/>
    </row>
    <row r="83" spans="1:12" s="963" customFormat="1">
      <c r="A83" s="2337"/>
      <c r="D83" s="2338"/>
      <c r="K83" s="798"/>
      <c r="L83" s="798"/>
    </row>
    <row r="84" spans="1:12" s="963" customFormat="1">
      <c r="A84" s="2337"/>
      <c r="D84" s="2338"/>
      <c r="K84" s="798"/>
      <c r="L84" s="798"/>
    </row>
    <row r="85" spans="1:12" s="963" customFormat="1">
      <c r="A85" s="2337"/>
      <c r="D85" s="2338"/>
      <c r="K85" s="798"/>
      <c r="L85" s="798"/>
    </row>
    <row r="86" spans="1:12" s="963" customFormat="1">
      <c r="A86" s="2337"/>
      <c r="D86" s="2338"/>
      <c r="K86" s="798"/>
      <c r="L86" s="798"/>
    </row>
    <row r="87" spans="1:12" s="963" customFormat="1">
      <c r="A87" s="2337"/>
      <c r="D87" s="2338"/>
      <c r="K87" s="798"/>
      <c r="L87" s="798"/>
    </row>
    <row r="88" spans="1:12" s="963" customFormat="1">
      <c r="A88" s="2337"/>
      <c r="D88" s="2338"/>
      <c r="K88" s="798"/>
      <c r="L88" s="798"/>
    </row>
    <row r="89" spans="1:12" s="963" customFormat="1">
      <c r="A89" s="2337"/>
      <c r="D89" s="2338"/>
      <c r="K89" s="798"/>
      <c r="L89" s="798"/>
    </row>
    <row r="90" spans="1:12" s="963" customFormat="1">
      <c r="A90" s="2337"/>
      <c r="D90" s="2338"/>
      <c r="K90" s="798"/>
      <c r="L90" s="798"/>
    </row>
    <row r="91" spans="1:12" s="963" customFormat="1">
      <c r="A91" s="2337"/>
      <c r="D91" s="2338"/>
      <c r="K91" s="798"/>
      <c r="L91" s="798"/>
    </row>
    <row r="92" spans="1:12" s="963" customFormat="1">
      <c r="A92" s="2337"/>
      <c r="D92" s="2338"/>
      <c r="K92" s="798"/>
      <c r="L92" s="798"/>
    </row>
    <row r="93" spans="1:12" s="963" customFormat="1">
      <c r="A93" s="2337"/>
      <c r="D93" s="2338"/>
      <c r="K93" s="798"/>
      <c r="L93" s="798"/>
    </row>
    <row r="94" spans="1:12" s="963" customFormat="1">
      <c r="A94" s="2337"/>
      <c r="D94" s="2338"/>
      <c r="K94" s="798"/>
      <c r="L94" s="798"/>
    </row>
    <row r="95" spans="1:12" s="963" customFormat="1">
      <c r="A95" s="2337"/>
      <c r="D95" s="2338"/>
      <c r="K95" s="798"/>
      <c r="L95" s="798"/>
    </row>
    <row r="96" spans="1:12" s="963" customFormat="1">
      <c r="A96" s="2337"/>
      <c r="D96" s="2338"/>
      <c r="K96" s="798"/>
      <c r="L96" s="798"/>
    </row>
    <row r="97" spans="1:12" s="963" customFormat="1">
      <c r="A97" s="2337"/>
      <c r="D97" s="2338"/>
      <c r="K97" s="798"/>
      <c r="L97" s="798"/>
    </row>
    <row r="98" spans="1:12" s="963" customFormat="1">
      <c r="A98" s="2337"/>
      <c r="D98" s="2338"/>
      <c r="K98" s="798"/>
      <c r="L98" s="798"/>
    </row>
    <row r="99" spans="1:12" s="963" customFormat="1">
      <c r="A99" s="2337"/>
      <c r="D99" s="2338"/>
      <c r="K99" s="798"/>
      <c r="L99" s="798"/>
    </row>
    <row r="100" spans="1:12" s="963" customFormat="1">
      <c r="A100" s="2337"/>
      <c r="D100" s="2338"/>
      <c r="K100" s="798"/>
      <c r="L100" s="798"/>
    </row>
    <row r="101" spans="1:12" s="963" customFormat="1">
      <c r="A101" s="2337"/>
      <c r="D101" s="2338"/>
      <c r="K101" s="798"/>
      <c r="L101" s="798"/>
    </row>
    <row r="102" spans="1:12" s="963" customFormat="1">
      <c r="A102" s="2337"/>
      <c r="D102" s="2338"/>
      <c r="K102" s="798"/>
      <c r="L102" s="798"/>
    </row>
    <row r="103" spans="1:12" s="963" customFormat="1">
      <c r="A103" s="2337"/>
      <c r="D103" s="2338"/>
      <c r="K103" s="798"/>
      <c r="L103" s="798"/>
    </row>
    <row r="104" spans="1:12" s="963" customFormat="1">
      <c r="A104" s="2337"/>
      <c r="D104" s="2338"/>
      <c r="K104" s="798"/>
      <c r="L104" s="798"/>
    </row>
    <row r="105" spans="1:12" s="963" customFormat="1">
      <c r="A105" s="2337"/>
      <c r="D105" s="2338"/>
      <c r="K105" s="798"/>
      <c r="L105" s="798"/>
    </row>
    <row r="106" spans="1:12" s="963" customFormat="1">
      <c r="A106" s="2337"/>
      <c r="D106" s="2338"/>
      <c r="K106" s="798"/>
      <c r="L106" s="798"/>
    </row>
    <row r="107" spans="1:12" s="963" customFormat="1">
      <c r="A107" s="2337"/>
      <c r="D107" s="2338"/>
      <c r="K107" s="798"/>
      <c r="L107" s="798"/>
    </row>
    <row r="108" spans="1:12" s="963" customFormat="1">
      <c r="A108" s="2337"/>
      <c r="D108" s="2338"/>
      <c r="K108" s="798"/>
      <c r="L108" s="798"/>
    </row>
    <row r="109" spans="1:12" s="963" customFormat="1">
      <c r="A109" s="2337"/>
      <c r="D109" s="2338"/>
      <c r="K109" s="798"/>
      <c r="L109" s="798"/>
    </row>
    <row r="110" spans="1:12" s="963" customFormat="1">
      <c r="A110" s="2337"/>
      <c r="D110" s="2338"/>
      <c r="K110" s="798"/>
      <c r="L110" s="798"/>
    </row>
    <row r="111" spans="1:12" s="963" customFormat="1">
      <c r="A111" s="2337"/>
      <c r="D111" s="2338"/>
      <c r="K111" s="798"/>
      <c r="L111" s="798"/>
    </row>
    <row r="112" spans="1:12" s="963" customFormat="1">
      <c r="A112" s="2337"/>
      <c r="D112" s="2338"/>
      <c r="K112" s="798"/>
      <c r="L112" s="798"/>
    </row>
    <row r="113" spans="1:12" s="963" customFormat="1">
      <c r="A113" s="2337"/>
      <c r="D113" s="2338"/>
      <c r="K113" s="798"/>
      <c r="L113" s="798"/>
    </row>
    <row r="114" spans="1:12" s="963" customFormat="1">
      <c r="A114" s="2337"/>
      <c r="D114" s="2338"/>
      <c r="K114" s="798"/>
      <c r="L114" s="798"/>
    </row>
    <row r="115" spans="1:12" s="963" customFormat="1">
      <c r="A115" s="2337"/>
      <c r="D115" s="2338"/>
      <c r="K115" s="798"/>
      <c r="L115" s="798"/>
    </row>
    <row r="116" spans="1:12" s="963" customFormat="1">
      <c r="A116" s="2337"/>
      <c r="D116" s="2338"/>
      <c r="K116" s="798"/>
      <c r="L116" s="798"/>
    </row>
    <row r="117" spans="1:12" s="963" customFormat="1">
      <c r="A117" s="2337"/>
      <c r="D117" s="2338"/>
      <c r="K117" s="798"/>
      <c r="L117" s="798"/>
    </row>
    <row r="118" spans="1:12" s="963" customFormat="1">
      <c r="A118" s="2337"/>
      <c r="D118" s="2338"/>
      <c r="K118" s="798"/>
      <c r="L118" s="798"/>
    </row>
    <row r="119" spans="1:12" s="963" customFormat="1">
      <c r="A119" s="2337"/>
      <c r="D119" s="2338"/>
      <c r="K119" s="798"/>
      <c r="L119" s="798"/>
    </row>
    <row r="120" spans="1:12" s="963" customFormat="1">
      <c r="A120" s="2337"/>
      <c r="D120" s="2338"/>
      <c r="K120" s="798"/>
      <c r="L120" s="798"/>
    </row>
    <row r="121" spans="1:12" s="963" customFormat="1">
      <c r="A121" s="2337"/>
      <c r="D121" s="2338"/>
      <c r="K121" s="798"/>
      <c r="L121" s="798"/>
    </row>
    <row r="122" spans="1:12" s="963" customFormat="1">
      <c r="A122" s="2337"/>
      <c r="D122" s="2338"/>
      <c r="K122" s="798"/>
      <c r="L122" s="798"/>
    </row>
    <row r="123" spans="1:12" s="963" customFormat="1">
      <c r="A123" s="2337"/>
      <c r="D123" s="2338"/>
      <c r="K123" s="798"/>
      <c r="L123" s="798"/>
    </row>
    <row r="124" spans="1:12" s="963" customFormat="1">
      <c r="A124" s="2337"/>
      <c r="D124" s="2338"/>
      <c r="K124" s="798"/>
      <c r="L124" s="798"/>
    </row>
    <row r="125" spans="1:12" s="963" customFormat="1">
      <c r="A125" s="2337"/>
      <c r="D125" s="2338"/>
      <c r="K125" s="798"/>
      <c r="L125" s="798"/>
    </row>
    <row r="126" spans="1:12" s="963" customFormat="1">
      <c r="A126" s="2337"/>
      <c r="D126" s="2338"/>
      <c r="K126" s="798"/>
      <c r="L126" s="798"/>
    </row>
    <row r="127" spans="1:12" s="963" customFormat="1">
      <c r="A127" s="2337"/>
      <c r="D127" s="2338"/>
      <c r="K127" s="798"/>
      <c r="L127" s="798"/>
    </row>
    <row r="128" spans="1:12" s="963" customFormat="1">
      <c r="A128" s="2337"/>
      <c r="D128" s="2338"/>
      <c r="K128" s="798"/>
      <c r="L128" s="798"/>
    </row>
    <row r="129" spans="1:12" s="963" customFormat="1">
      <c r="A129" s="2337"/>
      <c r="D129" s="2338"/>
      <c r="K129" s="798"/>
      <c r="L129" s="798"/>
    </row>
    <row r="130" spans="1:12" s="963" customFormat="1">
      <c r="A130" s="2337"/>
      <c r="D130" s="2338"/>
      <c r="K130" s="798"/>
      <c r="L130" s="798"/>
    </row>
    <row r="131" spans="1:12" s="963" customFormat="1">
      <c r="A131" s="2337"/>
      <c r="D131" s="2338"/>
      <c r="K131" s="798"/>
      <c r="L131" s="798"/>
    </row>
    <row r="132" spans="1:12" s="963" customFormat="1">
      <c r="A132" s="2337"/>
      <c r="D132" s="2338"/>
      <c r="K132" s="798"/>
      <c r="L132" s="798"/>
    </row>
    <row r="133" spans="1:12" s="963"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8" t="s">
        <v>2074</v>
      </c>
      <c r="B1" s="3059"/>
      <c r="C1" s="3059"/>
      <c r="D1" s="3059"/>
      <c r="E1" s="3059"/>
      <c r="F1" s="3059"/>
      <c r="G1" s="305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54">
      <c r="A3" s="415" t="s">
        <v>2077</v>
      </c>
      <c r="B3" s="1267" t="s">
        <v>2078</v>
      </c>
      <c r="C3" s="2366" t="s">
        <v>2079</v>
      </c>
      <c r="D3" s="2367"/>
      <c r="E3" s="431" t="s">
        <v>2077</v>
      </c>
      <c r="F3" s="2368" t="s">
        <v>2080</v>
      </c>
      <c r="G3" s="2369" t="s">
        <v>2081</v>
      </c>
      <c r="H3" s="2364"/>
      <c r="I3" s="2364"/>
      <c r="J3" s="2364"/>
      <c r="K3" s="2364"/>
      <c r="L3" s="2364"/>
      <c r="M3" s="2364"/>
      <c r="N3" s="2364"/>
      <c r="O3" s="2364"/>
      <c r="P3" s="2364"/>
      <c r="Q3" s="2364"/>
      <c r="R3" s="2364"/>
    </row>
    <row r="4" spans="1:29" ht="41.25">
      <c r="A4" s="431"/>
      <c r="B4" s="1794" t="s">
        <v>2082</v>
      </c>
      <c r="C4" s="2370" t="s">
        <v>2083</v>
      </c>
      <c r="D4" s="2367"/>
      <c r="E4" s="2371"/>
      <c r="F4" s="42" t="s">
        <v>2084</v>
      </c>
      <c r="G4" s="2372" t="s">
        <v>2085</v>
      </c>
      <c r="H4" s="2364"/>
      <c r="I4" s="2364"/>
      <c r="J4" s="2364"/>
      <c r="K4" s="2364"/>
      <c r="L4" s="2364"/>
      <c r="M4" s="2364"/>
      <c r="N4" s="2364"/>
      <c r="O4" s="2364"/>
      <c r="P4" s="2364"/>
      <c r="Q4" s="2364"/>
      <c r="R4" s="2364"/>
    </row>
    <row r="5" spans="1:29" ht="41.25">
      <c r="A5" s="431"/>
      <c r="B5" s="1794" t="s">
        <v>2086</v>
      </c>
      <c r="C5" s="2370" t="s">
        <v>2087</v>
      </c>
      <c r="D5" s="2367"/>
      <c r="E5" s="2371"/>
      <c r="F5" s="1794" t="s">
        <v>2088</v>
      </c>
      <c r="G5" s="2372" t="s">
        <v>2089</v>
      </c>
      <c r="H5" s="2364"/>
      <c r="I5" s="2364"/>
      <c r="J5" s="2364"/>
      <c r="K5" s="2364"/>
      <c r="L5" s="2364"/>
      <c r="M5" s="2364"/>
      <c r="N5" s="2364"/>
      <c r="O5" s="2364"/>
      <c r="P5" s="2364"/>
      <c r="Q5" s="2364"/>
      <c r="R5" s="2364"/>
    </row>
    <row r="6" spans="1:29" ht="54">
      <c r="A6" s="431"/>
      <c r="B6" s="1794" t="s">
        <v>2090</v>
      </c>
      <c r="C6" s="2372" t="s">
        <v>2085</v>
      </c>
      <c r="D6" s="2367"/>
      <c r="E6" s="2371"/>
      <c r="F6" s="1794" t="s">
        <v>2091</v>
      </c>
      <c r="G6" s="2372" t="s">
        <v>2092</v>
      </c>
      <c r="H6" s="2364"/>
      <c r="I6" s="2364"/>
      <c r="J6" s="2364"/>
      <c r="K6" s="2364"/>
      <c r="L6" s="2364"/>
      <c r="M6" s="2364"/>
      <c r="N6" s="2364"/>
      <c r="O6" s="2364"/>
      <c r="P6" s="2364"/>
      <c r="Q6" s="2364"/>
      <c r="R6" s="2364"/>
    </row>
    <row r="7" spans="1:29" ht="41.25" thickBot="1">
      <c r="A7" s="431"/>
      <c r="B7" s="1794" t="s">
        <v>2088</v>
      </c>
      <c r="C7" s="2372" t="s">
        <v>2089</v>
      </c>
      <c r="D7" s="2373"/>
      <c r="E7" s="2374"/>
      <c r="F7" s="2375" t="s">
        <v>2093</v>
      </c>
      <c r="G7" s="2376" t="s">
        <v>2094</v>
      </c>
      <c r="H7" s="2364"/>
      <c r="I7" s="2364"/>
      <c r="J7" s="2364"/>
      <c r="K7" s="2364"/>
      <c r="L7" s="2364"/>
      <c r="M7" s="2364"/>
      <c r="N7" s="2364"/>
      <c r="O7" s="2364"/>
      <c r="P7" s="2364"/>
      <c r="Q7" s="2364"/>
      <c r="R7" s="2364"/>
    </row>
    <row r="8" spans="1:29" ht="27">
      <c r="A8" s="431"/>
      <c r="B8" s="1794" t="s">
        <v>2091</v>
      </c>
      <c r="C8" s="2372" t="s">
        <v>2092</v>
      </c>
      <c r="D8" s="2373"/>
      <c r="E8" s="2373"/>
      <c r="F8" s="1132"/>
      <c r="G8" s="1132"/>
      <c r="H8" s="2364"/>
      <c r="I8" s="2364"/>
      <c r="J8" s="2364"/>
      <c r="K8" s="2364"/>
      <c r="L8" s="2364"/>
      <c r="M8" s="2364"/>
      <c r="N8" s="2364"/>
      <c r="O8" s="2364"/>
      <c r="P8" s="2364"/>
      <c r="Q8" s="2364"/>
      <c r="R8" s="2364"/>
    </row>
    <row r="9" spans="1:29" ht="27">
      <c r="A9" s="431"/>
      <c r="B9" s="1794" t="s">
        <v>2095</v>
      </c>
      <c r="C9" s="2370" t="s">
        <v>2096</v>
      </c>
      <c r="D9" s="2367"/>
      <c r="E9" s="2373"/>
      <c r="F9" s="1132"/>
      <c r="G9" s="1132"/>
      <c r="H9" s="2364"/>
      <c r="I9" s="2364"/>
      <c r="J9" s="2364"/>
      <c r="K9" s="2364"/>
      <c r="L9" s="2364"/>
      <c r="M9" s="2364"/>
      <c r="N9" s="2364"/>
      <c r="O9" s="2364"/>
      <c r="P9" s="2364"/>
      <c r="Q9" s="2364"/>
      <c r="R9" s="2364"/>
    </row>
    <row r="10" spans="1:29" s="117" customFormat="1" ht="15.75" thickBot="1">
      <c r="A10" s="2377"/>
      <c r="B10" s="2378" t="s">
        <v>2097</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2098</v>
      </c>
      <c r="B13" s="2384"/>
      <c r="C13" s="2384"/>
      <c r="D13" s="2391"/>
      <c r="E13" s="2384"/>
      <c r="F13" s="2384"/>
      <c r="G13" s="2384"/>
    </row>
    <row r="14" spans="1:29" ht="15.75" thickBot="1">
      <c r="A14" s="2395"/>
      <c r="B14" s="2396"/>
      <c r="C14" s="2397" t="s">
        <v>2099</v>
      </c>
      <c r="D14" s="2367"/>
      <c r="E14" s="2398"/>
      <c r="F14" s="2398"/>
      <c r="G14" s="2361" t="s">
        <v>2100</v>
      </c>
    </row>
    <row r="15" spans="1:29" ht="57">
      <c r="A15" s="68" t="s">
        <v>2101</v>
      </c>
      <c r="B15" s="1266" t="s">
        <v>2078</v>
      </c>
      <c r="C15" s="2399" t="str">
        <f>C3</f>
        <v>估价对象周边居住用地比例、居住小区规模和社区发展完善程度，综合评价居住社区成熟度一般</v>
      </c>
      <c r="D15" s="2367"/>
      <c r="E15" s="2400" t="s">
        <v>2102</v>
      </c>
      <c r="F15" s="1266" t="s">
        <v>2103</v>
      </c>
      <c r="G15" s="135" t="str">
        <f>G3</f>
        <v>估价对象位于XX开发区，园区建设成熟度XX，产业集聚程度XX</v>
      </c>
    </row>
    <row r="16" spans="1:29" ht="42.75">
      <c r="A16" s="645"/>
      <c r="B16" s="2401" t="s">
        <v>2082</v>
      </c>
      <c r="C16" s="2402" t="str">
        <f>C4</f>
        <v>估价对象位于XX商圈，周边商业氛围成熟，人流量大，商业繁华度好</v>
      </c>
      <c r="D16" s="2367"/>
      <c r="E16" s="2403"/>
      <c r="F16" s="2404" t="s">
        <v>2084</v>
      </c>
      <c r="G16" s="136" t="str">
        <f>G4</f>
        <v>估价对象周边道路状况、公共交通通达情况、停车便捷程度，综合评价交通便捷度较好</v>
      </c>
    </row>
    <row r="17" spans="1:18" ht="42.75">
      <c r="A17" s="645"/>
      <c r="B17" s="2401" t="s">
        <v>2086</v>
      </c>
      <c r="C17" s="2402" t="str">
        <f>C5</f>
        <v>估价对象位于XX商圈，周边办公楼项目较多，入驻率高，办公集聚程度较好</v>
      </c>
      <c r="D17" s="2373"/>
      <c r="E17" s="2403"/>
      <c r="F17" s="2404" t="s">
        <v>2104</v>
      </c>
      <c r="G17" s="1568"/>
    </row>
    <row r="18" spans="1:18" ht="57">
      <c r="A18" s="645"/>
      <c r="B18" s="2404" t="s">
        <v>2090</v>
      </c>
      <c r="C18" s="136" t="str">
        <f>C6</f>
        <v>估价对象周边道路状况、公共交通通达情况、停车便捷程度，综合评价交通便捷度较好</v>
      </c>
      <c r="D18" s="2373"/>
      <c r="E18" s="2403"/>
      <c r="F18" s="2404" t="s">
        <v>2093</v>
      </c>
      <c r="G18" s="136" t="str">
        <f>G7</f>
        <v>该园区内是否有污染型企业，绿化情况，卫生条件，整体环境状况判断</v>
      </c>
    </row>
    <row r="19" spans="1:18" ht="28.5">
      <c r="A19" s="645"/>
      <c r="B19" s="2404" t="s">
        <v>2105</v>
      </c>
      <c r="C19" s="1568"/>
      <c r="D19" s="2367"/>
      <c r="E19" s="2403"/>
      <c r="F19" s="1794" t="s">
        <v>2088</v>
      </c>
      <c r="G19" s="136" t="str">
        <f>G5</f>
        <v>估价对象所在区域公共配套设施齐备情况</v>
      </c>
    </row>
    <row r="20" spans="1:18" ht="28.5">
      <c r="A20" s="645"/>
      <c r="B20" s="2404" t="s">
        <v>2106</v>
      </c>
      <c r="C20" s="2402" t="str">
        <f>C9</f>
        <v>区域自然环境：；人文环境；综合评价环境状况一般</v>
      </c>
      <c r="D20" s="2373"/>
      <c r="E20" s="2403"/>
      <c r="F20" s="1794" t="s">
        <v>2107</v>
      </c>
      <c r="G20" s="136" t="str">
        <f>G6</f>
        <v>估价对象所在区域基础设施水平</v>
      </c>
    </row>
    <row r="21" spans="1:18" ht="28.5">
      <c r="A21" s="645"/>
      <c r="B21" s="1794" t="s">
        <v>2088</v>
      </c>
      <c r="C21" s="136" t="str">
        <f>C7</f>
        <v>估价对象所在区域公共配套设施齐备情况</v>
      </c>
      <c r="D21" s="2367"/>
      <c r="E21" s="2403"/>
      <c r="F21" s="2404" t="s">
        <v>2108</v>
      </c>
      <c r="G21" s="2405"/>
    </row>
    <row r="22" spans="1:18" ht="13.5" customHeight="1">
      <c r="A22" s="645"/>
      <c r="B22" s="1794" t="s">
        <v>2091</v>
      </c>
      <c r="C22" s="136" t="str">
        <f>C8</f>
        <v>估价对象所在区域基础设施水平</v>
      </c>
      <c r="D22" s="2367"/>
      <c r="E22" s="2403"/>
      <c r="F22" s="2404" t="s">
        <v>2097</v>
      </c>
      <c r="G22" s="1568"/>
    </row>
    <row r="23" spans="1:18" s="2364" customFormat="1" ht="15.75" thickBot="1">
      <c r="A23" s="645"/>
      <c r="B23" s="2404" t="s">
        <v>2108</v>
      </c>
      <c r="C23" s="2405"/>
      <c r="D23" s="2392"/>
      <c r="E23" s="2406"/>
      <c r="F23" s="2407" t="s">
        <v>2109</v>
      </c>
      <c r="G23" s="2408"/>
      <c r="H23" s="2392"/>
      <c r="I23" s="2393"/>
      <c r="J23" s="2392"/>
      <c r="K23" s="2392"/>
      <c r="L23" s="2393"/>
      <c r="M23" s="2392"/>
      <c r="N23" s="2392"/>
      <c r="O23" s="2393"/>
      <c r="P23" s="2392"/>
      <c r="Q23" s="2392"/>
      <c r="R23" s="2394"/>
    </row>
    <row r="24" spans="1:18" s="2364" customFormat="1" ht="15.75" thickBot="1">
      <c r="A24" s="2409"/>
      <c r="B24" s="2407" t="s">
        <v>2110</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642216.18999999994</v>
      </c>
      <c r="C1" s="1741"/>
      <c r="D1" s="1741"/>
      <c r="E1" s="1741"/>
      <c r="F1" s="1741"/>
      <c r="G1" s="1739"/>
    </row>
    <row r="2" spans="1:10" ht="16.5">
      <c r="A2" s="1742" t="s">
        <v>1353</v>
      </c>
      <c r="B2" s="1742">
        <f>SUM(C14:C23)</f>
        <v>103644.78</v>
      </c>
      <c r="C2" s="1741"/>
      <c r="D2" s="1741"/>
      <c r="E2" s="1741"/>
      <c r="F2" s="1741"/>
      <c r="G2" s="1739"/>
    </row>
    <row r="3" spans="1:10" ht="16.5">
      <c r="A3" s="1742" t="s">
        <v>1362</v>
      </c>
      <c r="B3" s="1743">
        <f>项目基本情况!D3</f>
        <v>43371</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686644</v>
      </c>
      <c r="C5" s="1742">
        <f ca="1">ROUND(B5*10000/$B$1,0)</f>
        <v>10692</v>
      </c>
      <c r="D5" s="1742">
        <f ca="1">ROUND(B5*10000/$B$2,0)</f>
        <v>66250</v>
      </c>
      <c r="E5" s="1741"/>
      <c r="F5" s="1739"/>
      <c r="G5" s="1739"/>
    </row>
    <row r="6" spans="1:10" ht="16.5">
      <c r="A6" s="1742" t="s">
        <v>1356</v>
      </c>
      <c r="B6" s="1742">
        <f ca="1">SUM(G14:G23)</f>
        <v>686644</v>
      </c>
      <c r="C6" s="1742">
        <f ca="1">ROUND(B6*10000/$B$1,0)</f>
        <v>10692</v>
      </c>
      <c r="D6" s="1742">
        <f ca="1">ROUND(B6*10000/$B$2,0)</f>
        <v>66250</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642216.18999999994</v>
      </c>
      <c r="C14" s="1740">
        <f>结果表!C118</f>
        <v>103644.78</v>
      </c>
      <c r="D14" s="1740">
        <f ca="1">结果表!H118</f>
        <v>686644</v>
      </c>
      <c r="E14" s="1740">
        <f ca="1">ROUND(D14*10000/B14,0)</f>
        <v>10692</v>
      </c>
      <c r="F14" s="1740">
        <f ca="1">ROUND(D14*10000/C14,0)</f>
        <v>66250</v>
      </c>
      <c r="G14" s="1740">
        <f ca="1">结果表!D122</f>
        <v>686644</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2111</v>
      </c>
      <c r="B1" s="2415"/>
      <c r="C1" s="2416"/>
      <c r="D1" s="2415"/>
      <c r="E1" s="2415"/>
      <c r="F1" s="2417" t="s">
        <v>2112</v>
      </c>
      <c r="G1" s="2068" t="s">
        <v>2113</v>
      </c>
      <c r="H1" s="2418" t="str">
        <f>IF(G1="现房","——","估价对象范围")</f>
        <v>估价对象范围</v>
      </c>
      <c r="I1" s="2419" t="s">
        <v>3114</v>
      </c>
    </row>
    <row r="2" spans="1:12" ht="21.75" customHeight="1" thickBot="1">
      <c r="A2" s="3093" t="str">
        <f>项目基本情况!S2</f>
        <v>武汉洪山区大洲村K2地块出让国有建设用地使用权及在建建筑物房地产</v>
      </c>
      <c r="B2" s="3094"/>
      <c r="C2" s="3094"/>
      <c r="D2" s="3094"/>
      <c r="E2" s="3094"/>
      <c r="F2" s="3094"/>
      <c r="G2" s="3094"/>
      <c r="H2" s="3094"/>
      <c r="I2" s="3095"/>
    </row>
    <row r="3" spans="1:12" ht="12.75">
      <c r="A3" s="3097" t="s">
        <v>2114</v>
      </c>
      <c r="B3" s="3098"/>
      <c r="C3" s="3098"/>
      <c r="D3" s="3098"/>
      <c r="E3" s="3098"/>
      <c r="F3" s="3098"/>
      <c r="G3" s="3098"/>
      <c r="H3" s="3098"/>
      <c r="I3" s="3098"/>
    </row>
    <row r="4" spans="1:12" ht="14.25">
      <c r="A4" s="2422" t="s">
        <v>2115</v>
      </c>
      <c r="B4" s="2423" t="s">
        <v>2116</v>
      </c>
      <c r="C4" s="2424" t="s">
        <v>3115</v>
      </c>
      <c r="D4" s="2424" t="s">
        <v>3116</v>
      </c>
      <c r="E4" s="3090" t="s">
        <v>2117</v>
      </c>
      <c r="F4" s="3091"/>
      <c r="G4" s="3091"/>
      <c r="H4" s="3091"/>
      <c r="I4" s="3099"/>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73" t="s">
        <v>2118</v>
      </c>
      <c r="B5" s="3011">
        <v>25</v>
      </c>
      <c r="C5" s="3076"/>
      <c r="D5" s="3096"/>
      <c r="E5" s="140" t="s">
        <v>2119</v>
      </c>
      <c r="F5" s="2426"/>
      <c r="G5" s="2426"/>
      <c r="H5" s="2426"/>
      <c r="I5" s="1830"/>
    </row>
    <row r="6" spans="1:12" ht="12.75">
      <c r="A6" s="3073"/>
      <c r="B6" s="3011"/>
      <c r="C6" s="3077"/>
      <c r="D6" s="3096"/>
      <c r="E6" s="140" t="s">
        <v>2120</v>
      </c>
      <c r="F6" s="2426"/>
      <c r="G6" s="2426"/>
      <c r="H6" s="2426"/>
      <c r="I6" s="1830"/>
    </row>
    <row r="7" spans="1:12" ht="12.75">
      <c r="A7" s="3073"/>
      <c r="B7" s="3011"/>
      <c r="C7" s="3078"/>
      <c r="D7" s="3096"/>
      <c r="E7" s="140" t="s">
        <v>2121</v>
      </c>
      <c r="F7" s="2426"/>
      <c r="G7" s="2426"/>
      <c r="H7" s="2426"/>
      <c r="I7" s="1830"/>
    </row>
    <row r="8" spans="1:12" ht="12.75">
      <c r="A8" s="3073" t="s">
        <v>2122</v>
      </c>
      <c r="B8" s="3011">
        <v>15</v>
      </c>
      <c r="C8" s="3076"/>
      <c r="D8" s="3096"/>
      <c r="E8" s="140" t="s">
        <v>2123</v>
      </c>
      <c r="F8" s="2426"/>
      <c r="G8" s="2426"/>
      <c r="H8" s="2426"/>
      <c r="I8" s="1830"/>
    </row>
    <row r="9" spans="1:12" ht="12.75">
      <c r="A9" s="3073"/>
      <c r="B9" s="3011"/>
      <c r="C9" s="3078"/>
      <c r="D9" s="3096"/>
      <c r="E9" s="140" t="s">
        <v>2124</v>
      </c>
      <c r="F9" s="2426"/>
      <c r="G9" s="2426"/>
      <c r="H9" s="2426"/>
      <c r="I9" s="1830"/>
    </row>
    <row r="10" spans="1:12" ht="12.75">
      <c r="A10" s="3073" t="s">
        <v>2125</v>
      </c>
      <c r="B10" s="3011">
        <v>15</v>
      </c>
      <c r="C10" s="3076"/>
      <c r="D10" s="3096"/>
      <c r="E10" s="140" t="s">
        <v>2126</v>
      </c>
      <c r="F10" s="2426"/>
      <c r="G10" s="2426"/>
      <c r="H10" s="2426"/>
      <c r="I10" s="1830"/>
    </row>
    <row r="11" spans="1:12" ht="12.75">
      <c r="A11" s="3073"/>
      <c r="B11" s="3011"/>
      <c r="C11" s="3078"/>
      <c r="D11" s="3096"/>
      <c r="E11" s="140" t="s">
        <v>2127</v>
      </c>
      <c r="F11" s="2426"/>
      <c r="G11" s="2426"/>
      <c r="H11" s="2426"/>
      <c r="I11" s="1830"/>
    </row>
    <row r="12" spans="1:12" ht="12.75">
      <c r="A12" s="3073" t="s">
        <v>2128</v>
      </c>
      <c r="B12" s="3011">
        <v>15</v>
      </c>
      <c r="C12" s="3076"/>
      <c r="D12" s="3096"/>
      <c r="E12" s="140" t="s">
        <v>2129</v>
      </c>
      <c r="F12" s="2426"/>
      <c r="G12" s="2426"/>
      <c r="H12" s="2426"/>
      <c r="I12" s="1830"/>
    </row>
    <row r="13" spans="1:12" ht="12.75">
      <c r="A13" s="3073"/>
      <c r="B13" s="3011"/>
      <c r="C13" s="3078"/>
      <c r="D13" s="3096"/>
      <c r="E13" s="140" t="s">
        <v>2130</v>
      </c>
      <c r="F13" s="2426"/>
      <c r="G13" s="2426"/>
      <c r="H13" s="2426"/>
      <c r="I13" s="1830"/>
    </row>
    <row r="14" spans="1:12" ht="12.75">
      <c r="A14" s="3073" t="s">
        <v>2131</v>
      </c>
      <c r="B14" s="3011">
        <v>30</v>
      </c>
      <c r="C14" s="3076">
        <v>5</v>
      </c>
      <c r="D14" s="3096">
        <v>5</v>
      </c>
      <c r="E14" s="140" t="s">
        <v>2132</v>
      </c>
      <c r="F14" s="2426"/>
      <c r="G14" s="2426"/>
      <c r="H14" s="2426"/>
      <c r="I14" s="1830"/>
    </row>
    <row r="15" spans="1:12" ht="12.75">
      <c r="A15" s="3073"/>
      <c r="B15" s="3011"/>
      <c r="C15" s="3077"/>
      <c r="D15" s="3096"/>
      <c r="E15" s="140" t="s">
        <v>2133</v>
      </c>
      <c r="F15" s="2426"/>
      <c r="G15" s="2426"/>
      <c r="H15" s="2426"/>
      <c r="I15" s="1830"/>
    </row>
    <row r="16" spans="1:12" ht="12.75">
      <c r="A16" s="3073"/>
      <c r="B16" s="3011"/>
      <c r="C16" s="3078"/>
      <c r="D16" s="3096"/>
      <c r="E16" s="140" t="s">
        <v>2134</v>
      </c>
      <c r="F16" s="2426"/>
      <c r="G16" s="2426"/>
      <c r="H16" s="2426"/>
      <c r="I16" s="1830"/>
    </row>
    <row r="17" spans="1:35" ht="15">
      <c r="A17" s="2427" t="s">
        <v>2135</v>
      </c>
      <c r="B17" s="64"/>
      <c r="C17" s="141">
        <f>SUM(C5:C16)</f>
        <v>5</v>
      </c>
      <c r="D17" s="141">
        <f>SUM(D5:D16)</f>
        <v>5</v>
      </c>
      <c r="E17" s="138"/>
      <c r="F17" s="138"/>
      <c r="G17" s="138"/>
      <c r="H17" s="138"/>
      <c r="I17" s="138"/>
      <c r="K17" s="2425"/>
      <c r="L17" s="2428" t="s">
        <v>2136</v>
      </c>
      <c r="M17" s="2428" t="s">
        <v>2137</v>
      </c>
    </row>
    <row r="18" spans="1:35" ht="15.75" thickBot="1">
      <c r="A18" s="2429" t="s">
        <v>2138</v>
      </c>
      <c r="B18" s="2430"/>
      <c r="C18" s="142">
        <f>ROUND(C17/SUM(C17:D17),2)</f>
        <v>0.5</v>
      </c>
      <c r="D18" s="142">
        <f>1-C18</f>
        <v>0.5</v>
      </c>
      <c r="E18" s="138"/>
      <c r="F18" s="138"/>
      <c r="G18" s="138"/>
      <c r="H18" s="138"/>
      <c r="I18" s="138"/>
      <c r="K18" s="2425" t="s">
        <v>2139</v>
      </c>
      <c r="L18" s="2425">
        <f>IF(C1="",'数据-汇总表'!E3,SUMIF(项目类型,C1,'数据-汇总表'!E17:E26)+SUMIF(项目类型,C1,'数据-汇总表'!I17:I26))</f>
        <v>642216.18999999994</v>
      </c>
      <c r="M18" s="2425">
        <f>IF(C1="",'数据-汇总表'!E3,SUMIF(项目类型,C1,'数据-汇总表'!E17:E26))</f>
        <v>642216.18999999994</v>
      </c>
    </row>
    <row r="19" spans="1:35" ht="15">
      <c r="A19" s="2431" t="s">
        <v>2140</v>
      </c>
      <c r="B19" s="2432" t="s">
        <v>2141</v>
      </c>
      <c r="C19" s="143">
        <f ca="1">SUMIF(INDIRECT("'"&amp;C4&amp;"'"&amp;"!A:A"),结果表!B19,INDIRECT("'"&amp;C4&amp;"'"&amp;"!B:B"))</f>
        <v>625065</v>
      </c>
      <c r="D19" s="144">
        <f ca="1">SUMIF(INDIRECT("'"&amp;D4&amp;"'"&amp;"!A:A"),结果表!B19,INDIRECT("'"&amp;D4&amp;"'"&amp;"!B:B"))</f>
        <v>748222</v>
      </c>
      <c r="E19" s="2431" t="s">
        <v>2142</v>
      </c>
      <c r="F19" s="2432" t="s">
        <v>2141</v>
      </c>
      <c r="G19" s="145">
        <f ca="1">ROUND(C19*$C$18+D19*$D$18,0)</f>
        <v>686644</v>
      </c>
      <c r="H19" s="2433" t="s">
        <v>2143</v>
      </c>
      <c r="I19" s="138"/>
      <c r="K19" s="2425" t="s">
        <v>2144</v>
      </c>
      <c r="L19" s="2425">
        <f>IF(C1="",'数据-汇总表'!D3,SUMIF(项目类型,C1,'数据-汇总表'!D17:D26)+SUMIF(项目类型,C1,'数据-汇总表'!H17:H27))</f>
        <v>103644.78</v>
      </c>
      <c r="M19" s="2425">
        <f>IF(C1="",'数据-汇总表'!D3,SUMIF(项目类型,C1,'数据-汇总表'!D17:D26))</f>
        <v>103644.78</v>
      </c>
    </row>
    <row r="20" spans="1:35" ht="15">
      <c r="A20" s="2434"/>
      <c r="B20" s="1246" t="s">
        <v>2145</v>
      </c>
      <c r="C20" s="146">
        <f ca="1">SUMIF(INDIRECT("'"&amp;C4&amp;"'"&amp;"!A:A"),结果表!B20,INDIRECT("'"&amp;C4&amp;"'"&amp;"!B:B"))</f>
        <v>9733</v>
      </c>
      <c r="D20" s="147">
        <f ca="1">SUMIF(INDIRECT("'"&amp;D4&amp;"'"&amp;"!A:A"),结果表!B20,INDIRECT("'"&amp;D4&amp;"'"&amp;"!B:B"))</f>
        <v>11651</v>
      </c>
      <c r="E20" s="2434"/>
      <c r="F20" s="1246" t="s">
        <v>2145</v>
      </c>
      <c r="G20" s="148">
        <f ca="1">ROUND(C20*$C$18+D20*$D$18,0)</f>
        <v>10692</v>
      </c>
      <c r="H20" s="979" t="s">
        <v>2146</v>
      </c>
      <c r="I20" s="138"/>
    </row>
    <row r="21" spans="1:35" ht="15" customHeight="1" thickBot="1">
      <c r="A21" s="999"/>
      <c r="B21" s="2435" t="s">
        <v>2147</v>
      </c>
      <c r="C21" s="789">
        <f ca="1">ROUND(C19*10000/L19,0)</f>
        <v>60308</v>
      </c>
      <c r="D21" s="790">
        <f ca="1">ROUND(D19*10000/L19,0)</f>
        <v>72191</v>
      </c>
      <c r="E21" s="999"/>
      <c r="F21" s="2435" t="s">
        <v>2147</v>
      </c>
      <c r="G21" s="149">
        <f ca="1">ROUND(G19*10000/L19,0)</f>
        <v>66250</v>
      </c>
      <c r="H21" s="2436" t="s">
        <v>2146</v>
      </c>
      <c r="I21" s="138"/>
    </row>
    <row r="22" spans="1:35" ht="15" thickBot="1">
      <c r="A22" s="2277" t="s">
        <v>2148</v>
      </c>
      <c r="B22" s="2437"/>
      <c r="C22" s="2438"/>
      <c r="D22" s="791">
        <f ca="1">IF(C19&lt;D19,D19/C19-1,C19/D19-1)</f>
        <v>0.19703070880628415</v>
      </c>
      <c r="E22" s="138"/>
      <c r="F22" s="138"/>
      <c r="G22" s="138"/>
      <c r="H22" s="138"/>
      <c r="I22" s="138"/>
    </row>
    <row r="23" spans="1:35" ht="13.5" thickBot="1">
      <c r="A23" s="2415"/>
      <c r="B23" s="2415"/>
      <c r="C23" s="2415"/>
      <c r="D23" s="2415"/>
      <c r="E23" s="138"/>
      <c r="F23" s="138"/>
      <c r="G23" s="138"/>
      <c r="H23" s="138"/>
      <c r="I23" s="138"/>
    </row>
    <row r="24" spans="1:35" ht="14.25">
      <c r="A24" s="3067" t="s">
        <v>2149</v>
      </c>
      <c r="B24" s="2432" t="s">
        <v>2141</v>
      </c>
      <c r="C24" s="145">
        <f>IF(B30=0,0,D30)</f>
        <v>0</v>
      </c>
      <c r="D24" s="2439"/>
      <c r="E24" s="138"/>
      <c r="F24" s="138"/>
      <c r="G24" s="138"/>
      <c r="H24" s="138"/>
      <c r="I24" s="138"/>
    </row>
    <row r="25" spans="1:35" ht="14.25">
      <c r="A25" s="3068"/>
      <c r="B25" s="1246" t="s">
        <v>2145</v>
      </c>
      <c r="C25" s="150">
        <f>IF(B30=0,0,C30)</f>
        <v>0</v>
      </c>
      <c r="D25" s="2440"/>
      <c r="E25" s="138"/>
      <c r="F25" s="138"/>
      <c r="G25" s="138"/>
      <c r="H25" s="138"/>
      <c r="I25" s="138"/>
    </row>
    <row r="26" spans="1:35" ht="13.5" customHeight="1">
      <c r="A26" s="2441" t="s">
        <v>2150</v>
      </c>
      <c r="B26" s="151" t="s">
        <v>2151</v>
      </c>
      <c r="C26" s="151" t="s">
        <v>2152</v>
      </c>
      <c r="D26" s="152" t="s">
        <v>2153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2154</v>
      </c>
      <c r="B30" s="151"/>
      <c r="C30" s="151"/>
      <c r="D30" s="151"/>
      <c r="E30" s="2924" t="s">
        <v>3029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686644</v>
      </c>
      <c r="D32" s="2446" t="s">
        <v>2156</v>
      </c>
      <c r="E32" s="138"/>
      <c r="F32" s="138"/>
      <c r="G32" s="138"/>
      <c r="H32" s="138"/>
      <c r="I32" s="138"/>
    </row>
    <row r="33" spans="1:15" ht="15">
      <c r="A33" s="956" t="s">
        <v>2157</v>
      </c>
      <c r="B33" s="2447"/>
      <c r="C33" s="2448" t="s">
        <v>3203</v>
      </c>
      <c r="D33" s="2449" t="s">
        <v>3115</v>
      </c>
      <c r="E33" s="2450" t="s">
        <v>2158</v>
      </c>
      <c r="F33" s="2451" t="str">
        <f>IF(D32="楼面单价","取值（单价）","取值（总价）")</f>
        <v>取值（总价）</v>
      </c>
      <c r="G33" s="138"/>
      <c r="H33" s="138"/>
      <c r="I33" s="138"/>
    </row>
    <row r="34" spans="1:15" ht="15">
      <c r="A34" s="2452"/>
      <c r="B34" s="2453" t="s">
        <v>2159</v>
      </c>
      <c r="C34" s="157">
        <f ca="1">IF(C33="自定义",F34,C32-C35)</f>
        <v>612486</v>
      </c>
      <c r="D34" s="1054">
        <f ca="1">IF(C33="自定义",ROUND(C34/C32,3),IF(C33="收益比率",SUMIF(INDIRECT("'"&amp;D33&amp;"'"&amp;"!b:b"),"土地收益比率",INDIRECT("'"&amp;D33&amp;"'"&amp;"!c:c")),SUMIF(INDIRECT("'"&amp;D33&amp;"'"&amp;"!b:b"),"土地成本比率",INDIRECT("'"&amp;D33&amp;"'"&amp;"!c:c"))))</f>
        <v>0.89200000000000002</v>
      </c>
      <c r="E34" s="2454" t="s">
        <v>2160</v>
      </c>
      <c r="F34" s="1735"/>
      <c r="G34" s="138"/>
      <c r="H34" s="138"/>
      <c r="I34" s="138"/>
    </row>
    <row r="35" spans="1:15" ht="15.75" thickBot="1">
      <c r="A35" s="2455"/>
      <c r="B35" s="2456" t="s">
        <v>2161</v>
      </c>
      <c r="C35" s="1440">
        <f ca="1">IF(C33="自定义",F35,ROUND(C32*D35,0))</f>
        <v>74158</v>
      </c>
      <c r="D35" s="1441">
        <f ca="1">IF(C33="自定义",ROUND(C35/C32,3),IF(C33="收益比率",SUMIF(INDIRECT("'"&amp;D33&amp;"'"&amp;"!b:b"),"建筑物收益比率",INDIRECT("'"&amp;D33&amp;"'"&amp;"!c:c")),SUMIF(INDIRECT("'"&amp;D33&amp;"'"&amp;"!b:b"),"建筑物成本比率",INDIRECT("'"&amp;D33&amp;"'"&amp;"!c:c"))))</f>
        <v>0.108</v>
      </c>
      <c r="E35" s="2457" t="s">
        <v>2162</v>
      </c>
      <c r="F35" s="163"/>
      <c r="G35" s="138"/>
      <c r="H35" s="138"/>
      <c r="I35" s="138"/>
    </row>
    <row r="36" spans="1:15" ht="15.75" thickBot="1">
      <c r="A36" s="3085" t="s">
        <v>2163</v>
      </c>
      <c r="B36" s="2458" t="s">
        <v>2164</v>
      </c>
      <c r="C36" s="154"/>
      <c r="D36" s="2459"/>
      <c r="E36" s="2460"/>
      <c r="F36" s="2461"/>
      <c r="G36" s="138"/>
      <c r="H36" s="138"/>
      <c r="I36" s="138"/>
    </row>
    <row r="37" spans="1:15" ht="15.75" thickBot="1">
      <c r="A37" s="3086"/>
      <c r="B37" s="2263" t="s">
        <v>2165</v>
      </c>
      <c r="C37" s="156"/>
      <c r="D37" s="1391"/>
      <c r="E37" s="1391"/>
      <c r="F37" s="2461"/>
      <c r="G37" s="138"/>
      <c r="H37" s="138"/>
      <c r="I37" s="138"/>
    </row>
    <row r="38" spans="1:15" ht="15.75" thickBot="1">
      <c r="A38" s="3087"/>
      <c r="B38" s="2462" t="s">
        <v>2166</v>
      </c>
      <c r="C38" s="727"/>
      <c r="D38" s="2463" t="s">
        <v>2167</v>
      </c>
      <c r="E38" s="1391"/>
      <c r="F38" s="2461"/>
      <c r="G38" s="138"/>
      <c r="H38" s="138"/>
      <c r="I38" s="138"/>
    </row>
    <row r="39" spans="1:15" ht="15">
      <c r="A39" s="2434" t="s">
        <v>2168</v>
      </c>
      <c r="B39" s="2464" t="s">
        <v>2169</v>
      </c>
      <c r="C39" s="2465" t="s">
        <v>2170</v>
      </c>
      <c r="D39" s="2465" t="s">
        <v>2171</v>
      </c>
      <c r="E39" s="2466" t="s">
        <v>2172</v>
      </c>
      <c r="F39" s="2461"/>
      <c r="G39" s="138"/>
      <c r="H39" s="138"/>
      <c r="I39" s="138"/>
    </row>
    <row r="40" spans="1:15" ht="14.25">
      <c r="A40" s="2467" t="s">
        <v>2173</v>
      </c>
      <c r="B40" s="158"/>
      <c r="C40" s="159"/>
      <c r="D40" s="159"/>
      <c r="E40" s="160"/>
      <c r="F40" s="2461"/>
      <c r="G40" s="138"/>
      <c r="H40" s="138"/>
      <c r="I40" s="138"/>
    </row>
    <row r="41" spans="1:15" ht="14.25">
      <c r="A41" s="2467" t="s">
        <v>2174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064" t="s">
        <v>2177</v>
      </c>
      <c r="B45" s="3065"/>
      <c r="C45" s="3066"/>
      <c r="D45" s="164">
        <f ca="1">ROUND(H101*F45,0)</f>
        <v>686644</v>
      </c>
      <c r="E45" s="165" t="s">
        <v>2178</v>
      </c>
      <c r="F45" s="166">
        <v>1</v>
      </c>
      <c r="G45" s="167" t="s">
        <v>2179</v>
      </c>
      <c r="H45" s="138"/>
      <c r="I45" s="138"/>
      <c r="J45" s="3124" t="s">
        <v>2180</v>
      </c>
      <c r="K45" s="3124"/>
      <c r="L45" s="3124"/>
      <c r="M45" s="3124"/>
      <c r="N45" s="3124"/>
      <c r="O45" s="3124"/>
    </row>
    <row r="46" spans="1:15" ht="14.25" customHeight="1">
      <c r="A46" s="3061" t="s">
        <v>2181</v>
      </c>
      <c r="B46" s="3062"/>
      <c r="C46" s="3062"/>
      <c r="D46" s="3062"/>
      <c r="E46" s="3062"/>
      <c r="F46" s="3062"/>
      <c r="G46" s="3063"/>
      <c r="H46" s="2477"/>
      <c r="I46" s="168"/>
      <c r="J46" s="1808">
        <v>1</v>
      </c>
      <c r="K46" s="3124" t="s">
        <v>2182</v>
      </c>
      <c r="L46" s="3124"/>
      <c r="M46" s="3144"/>
      <c r="N46" s="3144"/>
      <c r="O46" s="3144"/>
    </row>
    <row r="47" spans="1:15" ht="12" customHeight="1">
      <c r="A47" s="169" t="s">
        <v>2183</v>
      </c>
      <c r="B47" s="170"/>
      <c r="C47" s="171"/>
      <c r="D47" s="172" t="s">
        <v>2184</v>
      </c>
      <c r="E47" s="24" t="s">
        <v>2185</v>
      </c>
      <c r="F47" s="173" t="s">
        <v>2186</v>
      </c>
      <c r="G47" s="174" t="s">
        <v>2187</v>
      </c>
      <c r="H47" s="2477"/>
      <c r="I47" s="168"/>
      <c r="J47" s="1808">
        <v>2</v>
      </c>
      <c r="K47" s="3124" t="s">
        <v>2188</v>
      </c>
      <c r="L47" s="3124"/>
      <c r="M47" s="3145">
        <f>'数据-取费表'!B2</f>
        <v>43371</v>
      </c>
      <c r="N47" s="3145"/>
      <c r="O47" s="3145"/>
    </row>
    <row r="48" spans="1:15" ht="25.5">
      <c r="A48" s="3092" t="s">
        <v>2189</v>
      </c>
      <c r="B48" s="3075"/>
      <c r="C48" s="3075"/>
      <c r="D48" s="140">
        <f>IF(H48="情况1",0,IF(H48="情况2",D52,IF(H48="情况3",D53,IF(H48="情况4",D54))))</f>
        <v>0</v>
      </c>
      <c r="E48" s="1797" t="str">
        <f>IF(H48="情况4","(销售额-原购置价)×税（费）率","销售额×税（费）率")</f>
        <v>销售额×税（费）率</v>
      </c>
      <c r="F48" s="175" t="str">
        <f>IF(H48="情况1","免征",'数据-取费表'!B41)</f>
        <v>免征</v>
      </c>
      <c r="G48" s="2478" t="s">
        <v>2190</v>
      </c>
      <c r="H48" s="2479" t="s">
        <v>2191</v>
      </c>
      <c r="I48" s="2477"/>
      <c r="J48" s="1808">
        <v>3</v>
      </c>
      <c r="K48" s="3124" t="s">
        <v>2192</v>
      </c>
      <c r="L48" s="3124"/>
      <c r="M48" s="3146">
        <f ca="1">H101</f>
        <v>686644</v>
      </c>
      <c r="N48" s="3146"/>
      <c r="O48" s="3146"/>
    </row>
    <row r="49" spans="1:35" ht="25.5" customHeight="1">
      <c r="A49" s="176" t="s">
        <v>2193</v>
      </c>
      <c r="B49" s="3060" t="s">
        <v>2194</v>
      </c>
      <c r="C49" s="3060"/>
      <c r="D49" s="177">
        <v>0</v>
      </c>
      <c r="E49" s="23" t="s">
        <v>2195</v>
      </c>
      <c r="F49" s="28" t="s">
        <v>34</v>
      </c>
      <c r="G49" s="3130"/>
      <c r="H49" s="138"/>
      <c r="I49" s="2480"/>
      <c r="J49" s="1808">
        <v>4</v>
      </c>
      <c r="K49" s="3124" t="str">
        <f>IF(项目基本情况!E8="房地产抵押价值","房地产抵押价值","抵押担保权已注销时的房地产抵押价值")</f>
        <v>房地产抵押价值</v>
      </c>
      <c r="L49" s="3124"/>
      <c r="M49" s="3146">
        <f ca="1">IF(项目基本情况!E8="房地产抵押价值",H107,H109)</f>
        <v>686644</v>
      </c>
      <c r="N49" s="3146"/>
      <c r="O49" s="3146"/>
    </row>
    <row r="50" spans="1:35" ht="25.5" customHeight="1">
      <c r="A50" s="178"/>
      <c r="B50" s="3060" t="s">
        <v>2196</v>
      </c>
      <c r="C50" s="3060"/>
      <c r="D50" s="179"/>
      <c r="E50" s="31"/>
      <c r="F50" s="180"/>
      <c r="G50" s="3131"/>
      <c r="H50" s="138"/>
      <c r="I50" s="2480"/>
      <c r="J50" s="3124" t="s">
        <v>2197</v>
      </c>
      <c r="K50" s="3124"/>
      <c r="L50" s="3124"/>
      <c r="M50" s="3124"/>
      <c r="N50" s="3124"/>
      <c r="O50" s="3124"/>
    </row>
    <row r="51" spans="1:35" ht="12" customHeight="1">
      <c r="A51" s="181"/>
      <c r="B51" s="3060" t="s">
        <v>2198</v>
      </c>
      <c r="C51" s="3060"/>
      <c r="D51" s="182"/>
      <c r="E51" s="30"/>
      <c r="F51" s="180"/>
      <c r="G51" s="3132"/>
      <c r="H51" s="138"/>
      <c r="I51" s="2480"/>
      <c r="J51" s="2481" t="s">
        <v>2199</v>
      </c>
      <c r="K51" s="3124" t="s">
        <v>2200</v>
      </c>
      <c r="L51" s="3124"/>
      <c r="M51" s="2481" t="s">
        <v>2201</v>
      </c>
      <c r="N51" s="2481" t="s">
        <v>2202</v>
      </c>
      <c r="O51" s="2481" t="s">
        <v>2203</v>
      </c>
    </row>
    <row r="52" spans="1:35" ht="24" customHeight="1">
      <c r="A52" s="183" t="s">
        <v>2204</v>
      </c>
      <c r="B52" s="3060" t="s">
        <v>2205</v>
      </c>
      <c r="C52" s="3060"/>
      <c r="D52" s="182">
        <f ca="1">ROUND(D45*'数据-取费表'!B41/(1+'数据-取费表'!C42),0)</f>
        <v>36621</v>
      </c>
      <c r="E52" s="11" t="s">
        <v>2206</v>
      </c>
      <c r="F52" s="184">
        <f>'数据-取费表'!B41</f>
        <v>5.6000000000000001E-2</v>
      </c>
      <c r="G52" s="2482"/>
      <c r="H52" s="138"/>
      <c r="I52" s="2480"/>
      <c r="J52" s="1808">
        <v>1</v>
      </c>
      <c r="K52" s="3125" t="s">
        <v>2207</v>
      </c>
      <c r="L52" s="3125"/>
      <c r="M52" s="1750">
        <f>D48</f>
        <v>0</v>
      </c>
      <c r="N52" s="1808" t="str">
        <f>E48</f>
        <v>销售额×税（费）率</v>
      </c>
      <c r="O52" s="1751" t="str">
        <f>F48</f>
        <v>免征</v>
      </c>
    </row>
    <row r="53" spans="1:35" ht="12" customHeight="1">
      <c r="A53" s="183" t="s">
        <v>2208</v>
      </c>
      <c r="B53" s="3083" t="s">
        <v>2209</v>
      </c>
      <c r="C53" s="3084"/>
      <c r="D53" s="182">
        <f ca="1">ROUND(D45*'数据-取费表'!B41/(1+'数据-取费表'!C42),0)</f>
        <v>36621</v>
      </c>
      <c r="E53" s="11" t="s">
        <v>2206</v>
      </c>
      <c r="F53" s="184">
        <f>'数据-取费表'!B41</f>
        <v>5.6000000000000001E-2</v>
      </c>
      <c r="G53" s="2482"/>
      <c r="H53" s="138"/>
      <c r="I53" s="2480"/>
      <c r="J53" s="1808">
        <v>2</v>
      </c>
      <c r="K53" s="3125" t="s">
        <v>2210</v>
      </c>
      <c r="L53" s="3125"/>
      <c r="M53" s="1750">
        <f t="shared" ref="M53:O54" ca="1" si="0">D55</f>
        <v>343</v>
      </c>
      <c r="N53" s="1808" t="str">
        <f t="shared" si="0"/>
        <v>销售额×税（费）率</v>
      </c>
      <c r="O53" s="1751">
        <f t="shared" si="0"/>
        <v>5.0000000000000001E-4</v>
      </c>
    </row>
    <row r="54" spans="1:35" ht="12" customHeight="1">
      <c r="A54" s="183" t="s">
        <v>2211</v>
      </c>
      <c r="B54" s="3083" t="s">
        <v>2212</v>
      </c>
      <c r="C54" s="3084"/>
      <c r="D54" s="182">
        <f ca="1">C68</f>
        <v>36621</v>
      </c>
      <c r="E54" s="30" t="s">
        <v>2213</v>
      </c>
      <c r="F54" s="184">
        <f>'数据-取费表'!B41</f>
        <v>5.6000000000000001E-2</v>
      </c>
      <c r="G54" s="2482"/>
      <c r="H54" s="2483"/>
      <c r="I54" s="2480"/>
      <c r="J54" s="1808">
        <v>3</v>
      </c>
      <c r="K54" s="3125" t="s">
        <v>2214</v>
      </c>
      <c r="L54" s="3125"/>
      <c r="M54" s="1750">
        <f t="shared" ca="1" si="0"/>
        <v>388640</v>
      </c>
      <c r="N54" s="1808" t="str">
        <f t="shared" si="0"/>
        <v>增值额×税（费）率</v>
      </c>
      <c r="O54" s="1752" t="str">
        <f t="shared" si="0"/>
        <v>——</v>
      </c>
    </row>
    <row r="55" spans="1:35" ht="24" customHeight="1">
      <c r="A55" s="3074" t="s">
        <v>2215</v>
      </c>
      <c r="B55" s="3075"/>
      <c r="C55" s="3075"/>
      <c r="D55" s="185">
        <f ca="1">IF(H55="个人住宅",0,ROUND(D45*I55,0))</f>
        <v>343</v>
      </c>
      <c r="E55" s="11" t="s">
        <v>2216</v>
      </c>
      <c r="F55" s="184">
        <f>IF(H55="正常",I55,"免征")</f>
        <v>5.0000000000000001E-4</v>
      </c>
      <c r="G55" s="2482"/>
      <c r="H55" s="2479" t="s">
        <v>2217</v>
      </c>
      <c r="I55" s="186">
        <f>'数据-取费表'!B49</f>
        <v>5.0000000000000001E-4</v>
      </c>
      <c r="J55" s="1808" t="str">
        <f>IF(H59="非个人房产","",4)</f>
        <v/>
      </c>
      <c r="K55" s="3125" t="str">
        <f>IF(H59="非个人房产","——","个人所得税")</f>
        <v>——</v>
      </c>
      <c r="L55" s="3125"/>
      <c r="M55" s="1753" t="str">
        <f>D59</f>
        <v>——</v>
      </c>
      <c r="N55" s="1806" t="str">
        <f>E59</f>
        <v>——</v>
      </c>
      <c r="O55" s="1754" t="str">
        <f>F59</f>
        <v>——</v>
      </c>
    </row>
    <row r="56" spans="1:35" ht="24.75">
      <c r="A56" s="3074" t="s">
        <v>2218</v>
      </c>
      <c r="B56" s="3075"/>
      <c r="C56" s="3075"/>
      <c r="D56" s="185">
        <f ca="1">IF(H56="个人住宅",D57,D58)</f>
        <v>388640</v>
      </c>
      <c r="E56" s="11" t="s">
        <v>2219</v>
      </c>
      <c r="F56" s="184" t="str">
        <f>IF(H56="正常",F58,"免征")</f>
        <v>——</v>
      </c>
      <c r="G56" s="2484" t="s">
        <v>2220</v>
      </c>
      <c r="H56" s="2485" t="s">
        <v>2217</v>
      </c>
      <c r="I56" s="2486"/>
      <c r="J56" s="1808" t="str">
        <f>IF(项目基本情况!K6="上海银行",IF(J55="",4,J55+1),"")</f>
        <v/>
      </c>
      <c r="K56" s="3148" t="str">
        <f>IF(项目基本情况!K6="上海银行","其他处置费用","")</f>
        <v/>
      </c>
      <c r="L56" s="3149"/>
      <c r="M56" s="1750" t="str">
        <f>IF(项目基本情况!K6="上海银行",M69,"")</f>
        <v/>
      </c>
      <c r="N56" s="3151" t="str">
        <f>IF(项目基本情况!K6="上海银行","包含处置中涉及的律师、诉讼、拍卖、评估等费用","")</f>
        <v/>
      </c>
      <c r="O56" s="3152"/>
    </row>
    <row r="57" spans="1:35" ht="12.75">
      <c r="A57" s="183" t="s">
        <v>2193</v>
      </c>
      <c r="B57" s="3090" t="s">
        <v>2221</v>
      </c>
      <c r="C57" s="3099"/>
      <c r="D57" s="187">
        <v>0</v>
      </c>
      <c r="E57" s="23" t="s">
        <v>2195</v>
      </c>
      <c r="F57" s="155"/>
      <c r="G57" s="2482"/>
      <c r="H57" s="2486"/>
      <c r="I57" s="2486"/>
      <c r="J57" s="3125">
        <f>IF(AND(J55="",J56=""),4,IF(项目基本情况!K6="上海银行",结果表!J56+1,结果表!J55+1))</f>
        <v>4</v>
      </c>
      <c r="K57" s="3125" t="s">
        <v>2222</v>
      </c>
      <c r="L57" s="2487" t="s">
        <v>2223</v>
      </c>
      <c r="M57" s="1755"/>
      <c r="N57" s="1756">
        <f ca="1">SUMIF(M52:M56,"&lt;9e307")</f>
        <v>388983</v>
      </c>
      <c r="O57" s="2488"/>
      <c r="P57" s="1749">
        <f ca="1">N57/M49</f>
        <v>0.56649879704766959</v>
      </c>
    </row>
    <row r="58" spans="1:35" ht="24.75">
      <c r="A58" s="183" t="s">
        <v>2204</v>
      </c>
      <c r="B58" s="3090" t="s">
        <v>2224</v>
      </c>
      <c r="C58" s="3091"/>
      <c r="D58" s="185">
        <f ca="1">IF(H58="转让取得",C81,C97)</f>
        <v>388640</v>
      </c>
      <c r="E58" s="11" t="s">
        <v>2219</v>
      </c>
      <c r="F58" s="24" t="s">
        <v>34</v>
      </c>
      <c r="G58" s="2482"/>
      <c r="H58" s="2485" t="s">
        <v>2225</v>
      </c>
      <c r="I58" s="2486"/>
      <c r="J58" s="3125"/>
      <c r="K58" s="3125"/>
      <c r="L58" s="2487" t="s">
        <v>2226</v>
      </c>
      <c r="M58" s="1757"/>
      <c r="N58" s="2489" t="str">
        <f ca="1">NUMBERSTRING(INT(N57*10000),2)&amp;"元整"</f>
        <v>叁拾捌亿捌仟玖佰捌拾叁万元整</v>
      </c>
      <c r="O58" s="2490"/>
    </row>
    <row r="59" spans="1:35" ht="24.75" thickBot="1">
      <c r="A59" s="3128" t="s">
        <v>2227</v>
      </c>
      <c r="B59" s="3129"/>
      <c r="C59" s="3129"/>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126">
        <f>J57+1</f>
        <v>5</v>
      </c>
      <c r="K59" s="3125" t="s">
        <v>2229</v>
      </c>
      <c r="L59" s="1808" t="s">
        <v>2223</v>
      </c>
      <c r="M59" s="1758"/>
      <c r="N59" s="1759">
        <f ca="1">M49-N57</f>
        <v>297661</v>
      </c>
      <c r="O59" s="2492"/>
    </row>
    <row r="60" spans="1:35" ht="12" customHeight="1">
      <c r="A60" s="2493"/>
      <c r="B60" s="2415"/>
      <c r="C60" s="2415"/>
      <c r="D60" s="2415"/>
      <c r="E60" s="2163"/>
      <c r="F60" s="2486"/>
      <c r="G60" s="2486"/>
      <c r="H60" s="2494"/>
      <c r="I60" s="138"/>
      <c r="J60" s="3127"/>
      <c r="K60" s="3125"/>
      <c r="L60" s="2487" t="s">
        <v>2226</v>
      </c>
      <c r="M60" s="1757"/>
      <c r="N60" s="2489" t="str">
        <f ca="1">NUMBERSTRING(INT(N59*10000),2)&amp;"元整"</f>
        <v>贰拾玖亿柒仟陆佰陆拾壹万元整</v>
      </c>
      <c r="O60" s="2490"/>
    </row>
    <row r="61" spans="1:35" ht="13.5" thickBot="1">
      <c r="A61" s="3072" t="s">
        <v>2230</v>
      </c>
      <c r="B61" s="3072"/>
      <c r="C61" s="3072"/>
      <c r="D61" s="3072"/>
      <c r="E61" s="3072"/>
      <c r="F61" s="2486"/>
      <c r="G61" s="2486"/>
      <c r="H61" s="2494"/>
      <c r="I61" s="138"/>
      <c r="J61" s="1808">
        <f>J59+1</f>
        <v>6</v>
      </c>
      <c r="K61" s="3125" t="s">
        <v>2231</v>
      </c>
      <c r="L61" s="3125"/>
      <c r="M61" s="1760"/>
      <c r="N61" s="1761">
        <f ca="1">ROUND(N59*10000/'数据-汇总表'!E3,0)</f>
        <v>4635</v>
      </c>
      <c r="O61" s="2495"/>
    </row>
    <row r="62" spans="1:35" ht="12.75">
      <c r="A62" s="3088" t="s">
        <v>2232</v>
      </c>
      <c r="B62" s="3089"/>
      <c r="C62" s="1800"/>
      <c r="D62" s="1800" t="s">
        <v>2233</v>
      </c>
      <c r="E62" s="192" t="s">
        <v>2234</v>
      </c>
      <c r="F62" s="2486"/>
      <c r="G62" s="2486"/>
      <c r="H62" s="2494"/>
      <c r="I62" s="138"/>
    </row>
    <row r="63" spans="1:35" ht="12.75">
      <c r="A63" s="203" t="s">
        <v>775</v>
      </c>
      <c r="B63" s="193" t="s">
        <v>2235</v>
      </c>
      <c r="C63" s="194">
        <f ca="1">ROUND((C64+C65)/(1+'数据-取费表'!C42),0)</f>
        <v>653947</v>
      </c>
      <c r="D63" s="195"/>
      <c r="E63" s="196"/>
      <c r="F63" s="2486"/>
      <c r="G63" s="2486"/>
      <c r="H63" s="2494"/>
      <c r="I63" s="138"/>
      <c r="J63" s="3150" t="s">
        <v>2236</v>
      </c>
      <c r="K63" s="2496" t="s">
        <v>2237</v>
      </c>
      <c r="L63" s="1748">
        <f ca="1">IF(M49&gt;10000,M49*0.5%,IF(AND(M49&gt;1000,M49&lt;=10000),M49*1%,IF(AND(M49&gt;100,M49&lt;=1000),M49*3%,IF(AND(M49&gt;10,M49&lt;=100),M49*5%,M49*8%))))</f>
        <v>3433.2200000000003</v>
      </c>
      <c r="M63" s="24">
        <f ca="1">ROUND(L63,1)</f>
        <v>3433.2</v>
      </c>
      <c r="Z63" s="2420"/>
      <c r="AI63" s="2421"/>
    </row>
    <row r="64" spans="1:35" ht="14.25" customHeight="1">
      <c r="A64" s="197" t="s">
        <v>770</v>
      </c>
      <c r="B64" s="198" t="s">
        <v>2238</v>
      </c>
      <c r="C64" s="199">
        <f ca="1">D45</f>
        <v>686644</v>
      </c>
      <c r="D64" s="200" t="s">
        <v>32</v>
      </c>
      <c r="E64" s="201"/>
      <c r="F64" s="2486"/>
      <c r="G64" s="2486"/>
      <c r="H64" s="2494"/>
      <c r="I64" s="138"/>
      <c r="J64" s="3150"/>
      <c r="K64" s="2496" t="s">
        <v>2239</v>
      </c>
      <c r="L64" s="1748">
        <f ca="1">IF(M49&gt;2000,M49*0.5%,IF(AND(M49&gt;1000,M49&lt;=2000),M49*0.6%,IF(AND(M49&gt;500,M49&lt;=1000),M49*0.7%,IF(AND(M49&gt;200,M49&lt;=500),M49*0.8%,IF(AND(M49&gt;100,M49&lt;=200),M49*0.9%,IF(AND(M49&gt;50,M49&lt;=100),M49*1%,IF(AND(M49&gt;20,M49&lt;=50),M49*1.5%,IF(AND(M49&gt;10,M49&lt;=20),M49*2%,IF(AND(M49&gt;1,M49&lt;=10),M49*2.5%)))))))))</f>
        <v>3433.2200000000003</v>
      </c>
      <c r="M64" s="24">
        <f t="shared" ref="M64:M65" ca="1" si="1">ROUND(L64,1)</f>
        <v>3433.2</v>
      </c>
      <c r="N64" s="138" t="s">
        <v>2240</v>
      </c>
      <c r="Z64" s="2420"/>
      <c r="AI64" s="2421"/>
    </row>
    <row r="65" spans="1:35" ht="14.25" customHeight="1">
      <c r="A65" s="197" t="s">
        <v>771</v>
      </c>
      <c r="B65" s="198" t="s">
        <v>2241</v>
      </c>
      <c r="C65" s="202"/>
      <c r="D65" s="200"/>
      <c r="E65" s="201"/>
      <c r="F65" s="2486"/>
      <c r="G65" s="2486"/>
      <c r="H65" s="2494"/>
      <c r="I65" s="138"/>
      <c r="J65" s="3150"/>
      <c r="K65" s="2496" t="s">
        <v>2242</v>
      </c>
      <c r="L65" s="1748">
        <f ca="1">IF(M49&gt;1000,M49*0.1%,IF(AND(M49&gt;500,M49&lt;=1000),M49*0.5%,IF(AND(M49&gt;50,M49&lt;=500),M49*1%,IF(AND(M49&gt;1,M49&lt;=50),M49*1.5%))))</f>
        <v>686.64400000000001</v>
      </c>
      <c r="M65" s="24">
        <f t="shared" ca="1" si="1"/>
        <v>686.6</v>
      </c>
      <c r="N65" s="138" t="s">
        <v>2240</v>
      </c>
      <c r="Z65" s="2420"/>
      <c r="AI65" s="2421"/>
    </row>
    <row r="66" spans="1:35" ht="14.25" customHeight="1">
      <c r="A66" s="203" t="s">
        <v>772</v>
      </c>
      <c r="B66" s="204" t="s">
        <v>2243</v>
      </c>
      <c r="C66" s="205"/>
      <c r="D66" s="206" t="s">
        <v>32</v>
      </c>
      <c r="E66" s="1772" t="s">
        <v>1371</v>
      </c>
      <c r="F66" s="2486"/>
      <c r="G66" s="2486"/>
      <c r="H66" s="2494"/>
      <c r="I66" s="138"/>
      <c r="J66" s="3150"/>
      <c r="K66" s="2496" t="s">
        <v>2244</v>
      </c>
      <c r="L66" s="1748">
        <f ca="1">M49*0.5%</f>
        <v>3433.2200000000003</v>
      </c>
      <c r="M66" s="24">
        <f ca="1">IF(L66&gt;0.5,0.5,ROUND(L66,0))</f>
        <v>0.5</v>
      </c>
      <c r="N66" s="138" t="s">
        <v>2245</v>
      </c>
      <c r="Z66" s="2420"/>
      <c r="AI66" s="2421"/>
    </row>
    <row r="67" spans="1:35" ht="14.25" customHeight="1">
      <c r="A67" s="203" t="s">
        <v>773</v>
      </c>
      <c r="B67" s="204" t="s">
        <v>2246</v>
      </c>
      <c r="C67" s="207">
        <f ca="1">C63-C66</f>
        <v>653947</v>
      </c>
      <c r="D67" s="200" t="s">
        <v>32</v>
      </c>
      <c r="E67" s="201"/>
      <c r="F67" s="2486"/>
      <c r="G67" s="2486"/>
      <c r="H67" s="2494"/>
      <c r="I67" s="138"/>
      <c r="J67" s="3150"/>
      <c r="K67" s="2496" t="s">
        <v>2247</v>
      </c>
      <c r="L67" s="1748">
        <f ca="1">IF(M49&gt;=10000,(8.25+(M49-10000)*0.01%),IF(AND(M49&gt;=8000,M49&lt;10000),(7.85+(M49-8000)*0.02%),IF(AND(M49&gt;=5000,M49&lt;8000),(6.65+(M49-5000)*0.04%),IF(AND(M49&gt;=2000,M49&lt;5000),(4.25+(PM49-2000)*0.08%),IF(AND(M49&gt;=1000,M49&lt;2000),(2.75+(M49-1000)*0.15%),IF(AND(M49&gt;=100,M49&lt;1000),(0.5+(M49-100)*0.25%),IF(AND(M49&gt;0,M49&lt;100),M49*0.5%)))))))</f>
        <v>75.914400000000001</v>
      </c>
      <c r="M67" s="24">
        <f ca="1">ROUND(L67*0.9,1)</f>
        <v>68.3</v>
      </c>
      <c r="Z67" s="2420"/>
      <c r="AI67" s="2421"/>
    </row>
    <row r="68" spans="1:35" ht="14.25" customHeight="1" thickBot="1">
      <c r="A68" s="208" t="s">
        <v>774</v>
      </c>
      <c r="B68" s="209" t="s">
        <v>2248</v>
      </c>
      <c r="C68" s="210">
        <f ca="1">IF(C67&lt;=0,0,ROUND(C67*D68,0))</f>
        <v>36621</v>
      </c>
      <c r="D68" s="211">
        <f>'数据-取费表'!B41</f>
        <v>5.6000000000000001E-2</v>
      </c>
      <c r="E68" s="212"/>
      <c r="F68" s="2486"/>
      <c r="G68" s="2486"/>
      <c r="H68" s="2494"/>
      <c r="I68" s="138"/>
      <c r="J68" s="3150"/>
      <c r="K68" s="2496" t="s">
        <v>2249</v>
      </c>
      <c r="L68" s="1748">
        <f ca="1">IF(M49&gt;10000,M49*0.5%,IF(AND(M49&gt;5000,M49&lt;=10000),M49*1%,IF(AND(M49&gt;1000,M49&lt;=5000),M49*2%,IF(AND(M49&gt;200,M49&lt;=1000),M49*3%,M49*5%))))</f>
        <v>3433.2200000000003</v>
      </c>
      <c r="M68" s="24">
        <f ca="1">ROUND(L68,1)</f>
        <v>3433.2</v>
      </c>
      <c r="Z68" s="2420"/>
      <c r="AI68" s="2421"/>
    </row>
    <row r="69" spans="1:35" s="2443" customFormat="1" ht="16.5" customHeight="1">
      <c r="A69" s="2497"/>
      <c r="B69" s="2498"/>
      <c r="C69" s="2499"/>
      <c r="D69" s="2500"/>
      <c r="E69" s="2501"/>
      <c r="F69" s="2163"/>
      <c r="G69" s="2163"/>
      <c r="H69" s="2162"/>
      <c r="I69" s="2415"/>
      <c r="J69" s="3150"/>
      <c r="K69" s="2496" t="s">
        <v>2250</v>
      </c>
      <c r="L69" s="2502"/>
      <c r="M69" s="24">
        <f ca="1">ROUND(SUM(M63:M68),0)</f>
        <v>11055</v>
      </c>
      <c r="N69" s="1749">
        <f ca="1">M69/M49</f>
        <v>1.6100046020936613E-2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9" t="s">
        <v>2251</v>
      </c>
      <c r="B70" s="3110"/>
      <c r="C70" s="3110"/>
      <c r="D70" s="3110"/>
      <c r="E70" s="3110"/>
      <c r="F70" s="3110"/>
      <c r="G70" s="3110"/>
      <c r="H70" s="311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8" t="s">
        <v>2232</v>
      </c>
      <c r="B71" s="3089"/>
      <c r="C71" s="1800"/>
      <c r="D71" s="1800"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653947</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3924</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083" t="s">
        <v>2260</v>
      </c>
      <c r="F76" s="3060"/>
      <c r="G76" s="3060"/>
      <c r="H76" s="310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4.0500000000000001E-2</v>
      </c>
      <c r="E77" s="15" t="s">
        <v>2262</v>
      </c>
      <c r="F77" s="224"/>
      <c r="G77" s="2510" t="s">
        <v>2263</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3924</v>
      </c>
      <c r="D78" s="226">
        <f>'数据-取费表'!B43</f>
        <v>6.000000000000001E-3</v>
      </c>
      <c r="E78" s="3069" t="s">
        <v>2265</v>
      </c>
      <c r="F78" s="3070"/>
      <c r="G78" s="3070"/>
      <c r="H78" s="307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650023</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165.65316004077471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388640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9" t="s">
        <v>2269</v>
      </c>
      <c r="B83" s="3110"/>
      <c r="C83" s="3110"/>
      <c r="D83" s="3110"/>
      <c r="E83" s="3110"/>
      <c r="F83" s="3110"/>
      <c r="G83" s="3110"/>
      <c r="H83" s="311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8" t="s">
        <v>2232</v>
      </c>
      <c r="B84" s="3089"/>
      <c r="C84" s="1800"/>
      <c r="D84" s="1800"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653947</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3924</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c r="D88" s="226"/>
      <c r="E88" s="237" t="s">
        <v>2272</v>
      </c>
      <c r="F88" s="1796"/>
      <c r="G88" s="238"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0</v>
      </c>
      <c r="D89" s="226">
        <f>'数据-取费表'!B48+'数据-取费表'!B49</f>
        <v>4.0500000000000001E-2</v>
      </c>
      <c r="E89" s="237" t="s">
        <v>2274</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0</v>
      </c>
      <c r="D91" s="226"/>
      <c r="E91" s="3069" t="s">
        <v>2278</v>
      </c>
      <c r="F91" s="3070"/>
      <c r="G91" s="3070"/>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0</v>
      </c>
      <c r="D92" s="226">
        <v>0.1</v>
      </c>
      <c r="E92" s="3069" t="s">
        <v>2282</v>
      </c>
      <c r="F92" s="3070"/>
      <c r="G92" s="3070"/>
      <c r="H92" s="307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3924</v>
      </c>
      <c r="D93" s="226">
        <f>'数据-取费表'!B43</f>
        <v>6.000000000000001E-3</v>
      </c>
      <c r="E93" s="3069" t="s">
        <v>2265</v>
      </c>
      <c r="F93" s="3070"/>
      <c r="G93" s="3070"/>
      <c r="H93" s="307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0</v>
      </c>
      <c r="D94" s="226">
        <v>0.2</v>
      </c>
      <c r="E94" s="3080" t="s">
        <v>2286</v>
      </c>
      <c r="F94" s="3081"/>
      <c r="G94" s="3081"/>
      <c r="H94" s="308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650023</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165.65316004077471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388640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2287</v>
      </c>
      <c r="B99" s="2415"/>
      <c r="C99" s="2415"/>
      <c r="D99" s="2415"/>
      <c r="E99" s="2163"/>
      <c r="F99" s="2163"/>
      <c r="G99" s="2163"/>
      <c r="H99" s="2162"/>
      <c r="I99" s="138"/>
    </row>
    <row r="100" spans="1:35" ht="18.75" customHeight="1">
      <c r="A100" s="3054" t="s">
        <v>2288</v>
      </c>
      <c r="B100" s="3055"/>
      <c r="C100" s="3055"/>
      <c r="D100" s="3071"/>
      <c r="E100" s="3055" t="s">
        <v>2289</v>
      </c>
      <c r="F100" s="3055"/>
      <c r="G100" s="3055"/>
      <c r="H100" s="3071"/>
      <c r="I100" s="138"/>
    </row>
    <row r="101" spans="1:35" ht="18.75" customHeight="1">
      <c r="A101" s="3133" t="s">
        <v>2290</v>
      </c>
      <c r="B101" s="3134"/>
      <c r="C101" s="736" t="str">
        <f>C4</f>
        <v>成本法</v>
      </c>
      <c r="D101" s="737" t="str">
        <f>D4</f>
        <v>假设开发法</v>
      </c>
      <c r="E101" s="3147" t="s">
        <v>2291</v>
      </c>
      <c r="F101" s="3101"/>
      <c r="G101" s="2517" t="s">
        <v>2292</v>
      </c>
      <c r="H101" s="1044">
        <f ca="1">H118</f>
        <v>686644</v>
      </c>
      <c r="I101" s="138"/>
    </row>
    <row r="102" spans="1:35" ht="18.75" customHeight="1">
      <c r="A102" s="3103" t="s">
        <v>2293</v>
      </c>
      <c r="B102" s="2517" t="s">
        <v>2292</v>
      </c>
      <c r="C102" s="736">
        <f ca="1">C19</f>
        <v>625065</v>
      </c>
      <c r="D102" s="737">
        <f ca="1">D19</f>
        <v>748222</v>
      </c>
      <c r="E102" s="3147"/>
      <c r="F102" s="3101"/>
      <c r="G102" s="2517" t="s">
        <v>2294</v>
      </c>
      <c r="H102" s="371">
        <f ca="1">I118</f>
        <v>10692</v>
      </c>
      <c r="I102" s="138"/>
    </row>
    <row r="103" spans="1:35" ht="42.75" customHeight="1">
      <c r="A103" s="3103"/>
      <c r="B103" s="2517" t="s">
        <v>2294</v>
      </c>
      <c r="C103" s="738">
        <f ca="1">C20</f>
        <v>9733</v>
      </c>
      <c r="D103" s="739">
        <f ca="1">D20</f>
        <v>11651</v>
      </c>
      <c r="E103" s="3142" t="s">
        <v>2295</v>
      </c>
      <c r="F103" s="3143"/>
      <c r="G103" s="2518" t="s">
        <v>2296</v>
      </c>
      <c r="H103" s="1044">
        <f>IF(D36="正常操作",H104+H105+H106,H105+H106)</f>
        <v>0</v>
      </c>
      <c r="I103" s="138"/>
    </row>
    <row r="104" spans="1:35" ht="18.75" customHeight="1">
      <c r="A104" s="3103" t="s">
        <v>2297</v>
      </c>
      <c r="B104" s="2519" t="s">
        <v>2292</v>
      </c>
      <c r="C104" s="740">
        <f ca="1">H118</f>
        <v>686644</v>
      </c>
      <c r="D104" s="741"/>
      <c r="E104" s="2263" t="s">
        <v>2298</v>
      </c>
      <c r="F104" s="2255"/>
      <c r="G104" s="2518" t="s">
        <v>2296</v>
      </c>
      <c r="H104" s="1045">
        <f>IF(D36="同一抵押权人同一抵押物续贷",C36&amp;"（未扣减，详见特别提示）",C36)</f>
        <v>0</v>
      </c>
      <c r="I104" s="138"/>
    </row>
    <row r="105" spans="1:35" ht="18.75" customHeight="1" thickBot="1">
      <c r="A105" s="3104"/>
      <c r="B105" s="2520" t="s">
        <v>2294</v>
      </c>
      <c r="C105" s="742">
        <f ca="1">I118</f>
        <v>10692</v>
      </c>
      <c r="D105" s="743"/>
      <c r="E105" s="2263" t="s">
        <v>2299</v>
      </c>
      <c r="F105" s="2255"/>
      <c r="G105" s="2518" t="s">
        <v>2296</v>
      </c>
      <c r="H105" s="1045">
        <f>C37</f>
        <v>0</v>
      </c>
      <c r="I105" s="138"/>
    </row>
    <row r="106" spans="1:35" ht="18.75" customHeight="1">
      <c r="A106" s="2415" t="s">
        <v>2300</v>
      </c>
      <c r="B106" s="2415"/>
      <c r="C106" s="2415"/>
      <c r="D106" s="2415"/>
      <c r="E106" s="2521" t="s">
        <v>2301</v>
      </c>
      <c r="F106" s="2255"/>
      <c r="G106" s="2518" t="s">
        <v>2296</v>
      </c>
      <c r="H106" s="1045">
        <f>C38</f>
        <v>0</v>
      </c>
      <c r="I106" s="138"/>
    </row>
    <row r="107" spans="1:35" ht="18.75" customHeight="1">
      <c r="A107" s="138"/>
      <c r="B107" s="138"/>
      <c r="C107" s="138"/>
      <c r="D107" s="138"/>
      <c r="E107" s="3100" t="str">
        <f>IF(项目基本情况!E8="已注销","——","3.房地产抵押价值")</f>
        <v>3.房地产抵押价值</v>
      </c>
      <c r="F107" s="3101"/>
      <c r="G107" s="2517" t="s">
        <v>2292</v>
      </c>
      <c r="H107" s="1044">
        <f ca="1">IF(E107="——","——",H101-H103)</f>
        <v>686644</v>
      </c>
      <c r="I107" s="138"/>
    </row>
    <row r="108" spans="1:35" ht="18.75" customHeight="1">
      <c r="A108" s="138"/>
      <c r="B108" s="138"/>
      <c r="C108" s="138"/>
      <c r="D108" s="138"/>
      <c r="E108" s="3100"/>
      <c r="F108" s="3101"/>
      <c r="G108" s="2517" t="s">
        <v>2294</v>
      </c>
      <c r="H108" s="371">
        <f ca="1">ROUND(H107*10000/'数据-汇总表'!E3,0)</f>
        <v>10692</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17" t="s">
        <v>2292</v>
      </c>
      <c r="H109" s="348" t="str">
        <f>IF(E109="——","——",H101-H105-H106)</f>
        <v>——</v>
      </c>
      <c r="I109" s="138"/>
    </row>
    <row r="110" spans="1:35" ht="18.75" customHeight="1">
      <c r="A110" s="138"/>
      <c r="B110" s="138"/>
      <c r="C110" s="138"/>
      <c r="D110" s="138"/>
      <c r="E110" s="3100"/>
      <c r="F110" s="3101"/>
      <c r="G110" s="2517" t="s">
        <v>2294</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7" t="s">
        <v>2292</v>
      </c>
      <c r="H111" s="1044" t="str">
        <f>IF(E111="——","——",N59)</f>
        <v>——</v>
      </c>
      <c r="I111" s="138"/>
    </row>
    <row r="112" spans="1:35" ht="18.75" customHeight="1" thickBot="1">
      <c r="A112" s="138"/>
      <c r="B112" s="138"/>
      <c r="C112" s="138"/>
      <c r="D112" s="138"/>
      <c r="E112" s="3137"/>
      <c r="F112" s="3138"/>
      <c r="G112" s="2522" t="s">
        <v>2294</v>
      </c>
      <c r="H112" s="790" t="str">
        <f>IF(E111="——","——",N61)</f>
        <v>——</v>
      </c>
      <c r="I112" s="138"/>
    </row>
    <row r="113" spans="1:11" ht="18.75" customHeight="1">
      <c r="A113" s="138"/>
      <c r="B113" s="138"/>
      <c r="C113" s="138"/>
      <c r="D113" s="138"/>
      <c r="E113" s="3105" t="s">
        <v>2300</v>
      </c>
      <c r="F113" s="3105"/>
      <c r="G113" s="3105"/>
      <c r="H113" s="3105"/>
      <c r="I113" s="138"/>
    </row>
    <row r="114" spans="1:11" ht="3.75" customHeight="1">
      <c r="A114" s="2415"/>
      <c r="B114" s="2415"/>
      <c r="C114" s="2415"/>
      <c r="D114" s="2415"/>
      <c r="E114" s="2493"/>
      <c r="F114" s="2493"/>
      <c r="G114" s="2493"/>
      <c r="H114" s="2493"/>
      <c r="I114" s="2415"/>
    </row>
    <row r="115" spans="1:11" ht="18.75" customHeight="1">
      <c r="A115" s="3118" t="s">
        <v>2302</v>
      </c>
      <c r="B115" s="3119"/>
      <c r="C115" s="3119"/>
      <c r="D115" s="3119"/>
      <c r="E115" s="3119"/>
      <c r="F115" s="3119"/>
      <c r="G115" s="3119"/>
      <c r="H115" s="3119"/>
      <c r="I115" s="3120"/>
    </row>
    <row r="116" spans="1:11" ht="27" customHeight="1">
      <c r="A116" s="3011" t="s">
        <v>2303</v>
      </c>
      <c r="B116" s="3106" t="s">
        <v>2304</v>
      </c>
      <c r="C116" s="3106" t="s">
        <v>2305</v>
      </c>
      <c r="D116" s="3122" t="s">
        <v>2306</v>
      </c>
      <c r="E116" s="3123"/>
      <c r="F116" s="3114" t="s">
        <v>2307</v>
      </c>
      <c r="G116" s="3114"/>
      <c r="H116" s="3011" t="s">
        <v>2308</v>
      </c>
      <c r="I116" s="3011"/>
    </row>
    <row r="117" spans="1:11" ht="18.75" customHeight="1">
      <c r="A117" s="3011"/>
      <c r="B117" s="3107"/>
      <c r="C117" s="3107"/>
      <c r="D117" s="1794" t="s">
        <v>2309</v>
      </c>
      <c r="E117" s="1794" t="s">
        <v>2310</v>
      </c>
      <c r="F117" s="1794" t="s">
        <v>2309</v>
      </c>
      <c r="G117" s="1794" t="s">
        <v>2311</v>
      </c>
      <c r="H117" s="1794" t="s">
        <v>2309</v>
      </c>
      <c r="I117" s="1794" t="s">
        <v>2311</v>
      </c>
    </row>
    <row r="118" spans="1:11" ht="24.75" customHeight="1">
      <c r="A118" s="2523" t="str">
        <f>项目基本情况!S2</f>
        <v>武汉洪山区大洲村K2地块出让国有建设用地使用权及在建建筑物房地产</v>
      </c>
      <c r="B118" s="1794">
        <f>M18</f>
        <v>642216.18999999994</v>
      </c>
      <c r="C118" s="1794">
        <f>M19</f>
        <v>103644.78</v>
      </c>
      <c r="D118" s="1794">
        <f ca="1">ROUND(IF(D32="总价",C34,E118*B118/10000),0)</f>
        <v>612486</v>
      </c>
      <c r="E118" s="1794">
        <f ca="1">ROUND(IF(C33="自定义",IF(D32="楼面单价",C34,D118*10000/B118),I118-G118),0)</f>
        <v>9537</v>
      </c>
      <c r="F118" s="1794">
        <f ca="1">ROUND(IF(D32="总价",C35,G118*B118/10000),0)</f>
        <v>74158</v>
      </c>
      <c r="G118" s="1794">
        <f ca="1">ROUND(IF(D32="楼面单价",C35,F118*10000/B118),0)</f>
        <v>1155</v>
      </c>
      <c r="H118" s="1794">
        <f ca="1">ROUND(IF(D32="总价",C32,I118*B118/10000),0)</f>
        <v>686644</v>
      </c>
      <c r="I118" s="1794">
        <f ca="1">ROUND(IF(D32="楼面单价",C32,H118*10000/B118),0)</f>
        <v>10692</v>
      </c>
    </row>
    <row r="119" spans="1:11" ht="31.5" customHeight="1">
      <c r="A119" s="3011" t="s">
        <v>2312</v>
      </c>
      <c r="B119" s="3011"/>
      <c r="C119" s="3011"/>
      <c r="D119" s="3111" t="str">
        <f ca="1">NUMBERSTRING(INT(D118*10000),2)&amp;"元整"</f>
        <v>陆拾壹亿贰仟肆佰捌拾陆万元整</v>
      </c>
      <c r="E119" s="3113"/>
      <c r="F119" s="3111" t="str">
        <f ca="1">NUMBERSTRING(INT(F118*10000),2)&amp;"元整"</f>
        <v>柒亿肆仟壹佰伍拾捌万元整</v>
      </c>
      <c r="G119" s="3113"/>
      <c r="H119" s="3111" t="str">
        <f ca="1">NUMBERSTRING(INT(H118*10000),2)&amp;"元整"</f>
        <v>陆拾捌亿陆仟陆佰肆拾肆万元整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20" t="str">
        <f>IF(D120=0,"故，本次评估不存在"&amp;A120,"故，本次评估"&amp;A120&amp;"为人民币"&amp;D120&amp;"万元整。")</f>
        <v>故，本次评估不存在估价师知悉的法定优先受偿款</v>
      </c>
    </row>
    <row r="121" spans="1:11" ht="18.75" customHeight="1">
      <c r="A121" s="3115" t="s">
        <v>2312</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686644</v>
      </c>
      <c r="E122" s="3140"/>
      <c r="F122" s="3140"/>
      <c r="G122" s="3140"/>
      <c r="H122" s="3140"/>
      <c r="I122" s="3141"/>
    </row>
    <row r="123" spans="1:11" ht="18.75" customHeight="1">
      <c r="A123" s="3011" t="s">
        <v>2312</v>
      </c>
      <c r="B123" s="3011"/>
      <c r="C123" s="3011"/>
      <c r="D123" s="3111" t="str">
        <f ca="1">NUMBERSTRING(INT(D122*10000),2)&amp;"元整"</f>
        <v>陆拾捌亿陆仟陆佰肆拾肆万元整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2312</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2312</v>
      </c>
      <c r="B127" s="3011"/>
      <c r="C127" s="3011"/>
      <c r="D127" s="3111" t="e">
        <f>NUMBERSTRING(INT(D126*10000),2)&amp;"元整"</f>
        <v>#VALUE!</v>
      </c>
      <c r="E127" s="3112"/>
      <c r="F127" s="3112"/>
      <c r="G127" s="3112"/>
      <c r="H127" s="3112"/>
      <c r="I127" s="3113"/>
    </row>
    <row r="128" spans="1:11" ht="21.75" customHeight="1">
      <c r="A128" s="3121" t="s">
        <v>2313</v>
      </c>
      <c r="B128" s="3121"/>
      <c r="C128" s="3121"/>
      <c r="D128" s="3121"/>
      <c r="E128" s="3121"/>
      <c r="F128" s="3121"/>
      <c r="G128" s="3121"/>
      <c r="H128" s="3121"/>
      <c r="I128" s="3121"/>
    </row>
    <row r="129" spans="1:35" ht="21.75" customHeight="1">
      <c r="A129" s="2524" t="s">
        <v>2314</v>
      </c>
      <c r="B129" s="2525"/>
      <c r="C129" s="2526" t="s">
        <v>2315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2316</v>
      </c>
      <c r="G135" s="2541"/>
      <c r="H135" s="2541"/>
      <c r="I135" s="2542" t="s">
        <v>2317</v>
      </c>
    </row>
    <row r="136" spans="1:35" ht="21.75" customHeight="1">
      <c r="A136" s="795"/>
      <c r="B136" s="2543"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2319</v>
      </c>
    </row>
    <row r="139" spans="1:35" ht="21.75" customHeight="1">
      <c r="A139" s="795"/>
      <c r="B139" s="2543" t="s">
        <v>2320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2319</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6"/>
      <c r="C1" s="242"/>
      <c r="D1" s="242"/>
      <c r="E1" s="242"/>
      <c r="F1" s="242"/>
      <c r="G1" s="1378">
        <f>MATCH(B1,'数据-取费表'!A6:A16,0)+5</f>
        <v>9</v>
      </c>
    </row>
    <row r="2" spans="1:9" s="244" customFormat="1" ht="18" customHeight="1">
      <c r="A2" s="245" t="s">
        <v>2322</v>
      </c>
      <c r="B2" s="246">
        <f ca="1">IF(D2="——",C52,C52-E2)</f>
        <v>625065</v>
      </c>
      <c r="C2" s="243" t="s">
        <v>2323</v>
      </c>
      <c r="D2" s="2546" t="s">
        <v>70</v>
      </c>
      <c r="E2" s="1439">
        <f ca="1">SUMIF(INDIRECT("'"&amp;G2&amp;"'"&amp;"!A:A"),"承租人权益价值",INDIRECT("'"&amp;G2&amp;"'"&amp;"!c:c"))</f>
        <v>0</v>
      </c>
      <c r="F2" s="2547" t="s">
        <v>2323</v>
      </c>
      <c r="G2" s="2548" t="s">
        <v>3068</v>
      </c>
    </row>
    <row r="3" spans="1:9" s="244" customFormat="1" ht="18" customHeight="1" thickBot="1">
      <c r="A3" s="247" t="s">
        <v>2324</v>
      </c>
      <c r="B3" s="248">
        <f ca="1">ROUND(B2*10000/(IF(B1="",'数据-汇总表'!E3,INDIRECT("'数据-取费表'!k"&amp;$G$1))),0)</f>
        <v>9733</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473697</v>
      </c>
      <c r="D5" s="255" t="s">
        <v>2329</v>
      </c>
      <c r="E5" s="256" t="s">
        <v>2330</v>
      </c>
      <c r="F5" s="256" t="s">
        <v>2331</v>
      </c>
      <c r="G5" s="257"/>
    </row>
    <row r="6" spans="1:9" s="258" customFormat="1" ht="13.5" customHeight="1">
      <c r="A6" s="948" t="s">
        <v>2332</v>
      </c>
      <c r="B6" s="259" t="s">
        <v>2333</v>
      </c>
      <c r="C6" s="260">
        <f>'土地比较法-住宅、综合'!B2</f>
        <v>455259</v>
      </c>
      <c r="D6" s="261"/>
      <c r="E6" s="262"/>
      <c r="F6" s="262"/>
      <c r="G6" s="263"/>
    </row>
    <row r="7" spans="1:9" s="258" customFormat="1" ht="13.5" customHeight="1">
      <c r="A7" s="948" t="s">
        <v>2334</v>
      </c>
      <c r="B7" s="259" t="s">
        <v>2335</v>
      </c>
      <c r="C7" s="264">
        <f>ROUND(C6*F7,0)</f>
        <v>18438</v>
      </c>
      <c r="D7" s="264"/>
      <c r="E7" s="262"/>
      <c r="F7" s="265">
        <f>'数据-取费表'!B48+'数据-取费表'!B49</f>
        <v>4.0500000000000001E-2</v>
      </c>
      <c r="G7" s="263"/>
    </row>
    <row r="8" spans="1:9" s="267" customFormat="1">
      <c r="A8" s="948" t="s">
        <v>2336</v>
      </c>
      <c r="B8" s="259" t="s">
        <v>2337</v>
      </c>
      <c r="C8" s="264">
        <f>IF(G8="已包含在土地购买价格中","0",IF(B1="",'数据-取费表'!B29,IF(G9="全部缴纳",C9+C10,H9)))</f>
        <v>0</v>
      </c>
      <c r="D8" s="266"/>
      <c r="E8" s="264"/>
      <c r="F8" s="265"/>
      <c r="G8" s="2549" t="s">
        <v>3166</v>
      </c>
    </row>
    <row r="9" spans="1:9" s="258" customFormat="1" ht="13.5" customHeight="1">
      <c r="A9" s="949" t="s">
        <v>800</v>
      </c>
      <c r="B9" s="268" t="s">
        <v>2338</v>
      </c>
      <c r="C9" s="269">
        <f ca="1">ROUND(D9*E9/10000,0)</f>
        <v>0</v>
      </c>
      <c r="D9" s="1031">
        <f ca="1">IF(B1="",'数据-汇总表'!E5,IF(INDIRECT("'数据-取费表'!c"&amp;$G$1)="住宅",INDIRECT("'数据-取费表'!k"&amp;$G$1),0))</f>
        <v>462528.7</v>
      </c>
      <c r="E9" s="269">
        <f>'数据-取费表'!B27</f>
        <v>0</v>
      </c>
      <c r="F9" s="265"/>
      <c r="G9" s="2550"/>
      <c r="H9" s="1389"/>
      <c r="I9" s="2551" t="s">
        <v>2339</v>
      </c>
    </row>
    <row r="10" spans="1:9" s="258" customFormat="1" ht="13.5" customHeight="1">
      <c r="A10" s="949" t="s">
        <v>801</v>
      </c>
      <c r="B10" s="268" t="s">
        <v>2340</v>
      </c>
      <c r="C10" s="269">
        <f ca="1">ROUND(D10*E10/10000,0)</f>
        <v>0</v>
      </c>
      <c r="D10" s="1031">
        <f ca="1">IF(B1="",'数据-汇总表'!E6,IF(INDIRECT("'数据-取费表'!c"&amp;$G$1)="住宅",INDIRECT("'数据-取费表'!s"&amp;$G$1),INDIRECT("'数据-取费表'!k"&amp;$G$1)+INDIRECT("'数据-取费表'!s"&amp;$G$1)))</f>
        <v>179687.48999999993</v>
      </c>
      <c r="E10" s="269">
        <f>'数据-取费表'!B28</f>
        <v>0</v>
      </c>
      <c r="F10" s="265"/>
      <c r="G10" s="270"/>
    </row>
    <row r="11" spans="1:9" s="258" customFormat="1" ht="13.5" hidden="1" customHeight="1">
      <c r="A11" s="271" t="s">
        <v>7</v>
      </c>
      <c r="B11" s="259" t="s">
        <v>2341</v>
      </c>
      <c r="C11" s="255"/>
      <c r="D11" s="1033"/>
      <c r="E11" s="262"/>
      <c r="F11" s="262"/>
      <c r="G11" s="263"/>
    </row>
    <row r="12" spans="1:9" s="258" customFormat="1" ht="13.5" hidden="1" customHeight="1">
      <c r="A12" s="271" t="s">
        <v>8</v>
      </c>
      <c r="B12" s="259" t="s">
        <v>2342</v>
      </c>
      <c r="C12" s="255">
        <v>0</v>
      </c>
      <c r="D12" s="1033"/>
      <c r="E12" s="272"/>
      <c r="F12" s="265">
        <v>3.0499999999999999E-2</v>
      </c>
      <c r="G12" s="263"/>
    </row>
    <row r="13" spans="1:9" s="258" customFormat="1" ht="13.5" hidden="1" customHeight="1">
      <c r="A13" s="271" t="s">
        <v>9</v>
      </c>
      <c r="B13" s="259" t="s">
        <v>2343</v>
      </c>
      <c r="C13" s="255"/>
      <c r="D13" s="1033"/>
      <c r="E13" s="262"/>
      <c r="F13" s="262"/>
      <c r="G13" s="263"/>
    </row>
    <row r="14" spans="1:9" s="258" customFormat="1" ht="13.5" hidden="1" customHeight="1">
      <c r="A14" s="271" t="s">
        <v>10</v>
      </c>
      <c r="B14" s="259" t="s">
        <v>2344</v>
      </c>
      <c r="C14" s="255"/>
      <c r="D14" s="1033"/>
      <c r="E14" s="262"/>
      <c r="F14" s="262"/>
      <c r="G14" s="263" t="s">
        <v>2345</v>
      </c>
    </row>
    <row r="15" spans="1:9" s="258" customFormat="1" ht="13.5" hidden="1" customHeight="1">
      <c r="A15" s="271" t="s">
        <v>11</v>
      </c>
      <c r="B15" s="259" t="s">
        <v>2346</v>
      </c>
      <c r="C15" s="264"/>
      <c r="D15" s="1033"/>
      <c r="E15" s="262"/>
      <c r="F15" s="262"/>
      <c r="G15" s="263" t="s">
        <v>2347</v>
      </c>
    </row>
    <row r="16" spans="1:9" s="258" customFormat="1" ht="13.5" hidden="1" customHeight="1">
      <c r="A16" s="271" t="s">
        <v>12</v>
      </c>
      <c r="B16" s="259" t="s">
        <v>2344</v>
      </c>
      <c r="C16" s="264"/>
      <c r="D16" s="1033"/>
      <c r="E16" s="262"/>
      <c r="F16" s="262"/>
      <c r="G16" s="263"/>
    </row>
    <row r="17" spans="1:7" s="258" customFormat="1" ht="13.5" hidden="1" customHeight="1">
      <c r="A17" s="271" t="s">
        <v>13</v>
      </c>
      <c r="B17" s="259" t="s">
        <v>2348</v>
      </c>
      <c r="C17" s="273"/>
      <c r="D17" s="1034"/>
      <c r="E17" s="273"/>
      <c r="F17" s="273"/>
      <c r="G17" s="263" t="s">
        <v>2347</v>
      </c>
    </row>
    <row r="18" spans="1:7" s="258" customFormat="1" ht="13.5" hidden="1" customHeight="1">
      <c r="A18" s="271" t="s">
        <v>14</v>
      </c>
      <c r="B18" s="259" t="s">
        <v>2349</v>
      </c>
      <c r="C18" s="264">
        <v>0</v>
      </c>
      <c r="D18" s="1033"/>
      <c r="E18" s="262"/>
      <c r="F18" s="265">
        <v>3.0499999999999999E-2</v>
      </c>
      <c r="G18" s="263" t="s">
        <v>2350</v>
      </c>
    </row>
    <row r="19" spans="1:7" s="267" customFormat="1" ht="13.5" customHeight="1">
      <c r="A19" s="299" t="s">
        <v>2351</v>
      </c>
      <c r="B19" s="254" t="s">
        <v>2352</v>
      </c>
      <c r="C19" s="255" t="str">
        <f>IF(G19="已包含在土地取得成本中","0",ROUND(D19*E19/10000,0))</f>
        <v>0</v>
      </c>
      <c r="D19" s="1035">
        <f ca="1">D9+D10</f>
        <v>642216.18999999994</v>
      </c>
      <c r="E19" s="255">
        <f>'数据-取费表'!B31</f>
        <v>50</v>
      </c>
      <c r="F19" s="275"/>
      <c r="G19" s="2549" t="s">
        <v>3161</v>
      </c>
    </row>
    <row r="20" spans="1:7" s="258" customFormat="1" ht="13.5" customHeight="1">
      <c r="A20" s="299" t="s">
        <v>2353</v>
      </c>
      <c r="B20" s="254" t="s">
        <v>2354</v>
      </c>
      <c r="C20" s="276">
        <f>ROUND((C5+C19)*F20,0)</f>
        <v>14211</v>
      </c>
      <c r="D20" s="276"/>
      <c r="E20" s="276"/>
      <c r="F20" s="277">
        <f>'数据-取费表'!B37</f>
        <v>0.03</v>
      </c>
      <c r="G20" s="278" t="s">
        <v>2355</v>
      </c>
    </row>
    <row r="21" spans="1:7" s="258" customFormat="1" ht="13.5" customHeight="1">
      <c r="A21" s="299" t="s">
        <v>2356</v>
      </c>
      <c r="B21" s="254" t="s">
        <v>2357</v>
      </c>
      <c r="C21" s="279">
        <f>F21</f>
        <v>0.03</v>
      </c>
      <c r="D21" s="280" t="s">
        <v>2358</v>
      </c>
      <c r="E21" s="276"/>
      <c r="F21" s="277">
        <f>'数据-取费表'!B38</f>
        <v>0.03</v>
      </c>
      <c r="G21" s="278" t="s">
        <v>2359</v>
      </c>
    </row>
    <row r="22" spans="1:7" s="258" customFormat="1" ht="13.5" customHeight="1">
      <c r="A22" s="299" t="s">
        <v>2360</v>
      </c>
      <c r="B22" s="254" t="s">
        <v>2361</v>
      </c>
      <c r="C22" s="1353">
        <f ca="1">ROUND(SUM(C23:C25),0)</f>
        <v>22835</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50" t="s">
        <v>2362</v>
      </c>
      <c r="B23" s="259" t="s">
        <v>2363</v>
      </c>
      <c r="C23" s="1354">
        <f ca="1">ROUND(IF('数据-取费表'!B22&lt;=1,C5*F22*'数据-取费表'!B23,C5*(POWER((1+F22),'数据-取费表'!B23)-1)),0)</f>
        <v>22501</v>
      </c>
      <c r="D23" s="282"/>
      <c r="E23" s="282"/>
      <c r="F23" s="283"/>
      <c r="G23" s="284" t="s">
        <v>2364</v>
      </c>
    </row>
    <row r="24" spans="1:7" s="258" customFormat="1" ht="13.5" customHeight="1">
      <c r="A24" s="950" t="s">
        <v>2365</v>
      </c>
      <c r="B24" s="259" t="s">
        <v>2366</v>
      </c>
      <c r="C24" s="1354">
        <f ca="1">ROUND(IF('数据-取费表'!B22&lt;=1,C19*F22*('数据-取费表'!B19/2+'数据-取费表'!G28),C19*(POWER((1+F22),('数据-取费表'!B19/2+'数据-取费表'!G28))-1)),0)</f>
        <v>0</v>
      </c>
      <c r="D24" s="282"/>
      <c r="E24" s="282"/>
      <c r="F24" s="283"/>
      <c r="G24" s="284" t="s">
        <v>2367</v>
      </c>
    </row>
    <row r="25" spans="1:7" s="258" customFormat="1" ht="24">
      <c r="A25" s="950" t="s">
        <v>2368</v>
      </c>
      <c r="B25" s="259" t="s">
        <v>2369</v>
      </c>
      <c r="C25" s="1354">
        <f ca="1">ROUND(IF('数据-取费表'!B22&lt;=1,C20*F22*'数据-取费表'!B23/2,C20*(POWER((1+F22),'数据-取费表'!B23/2)-1)),0)</f>
        <v>334</v>
      </c>
      <c r="D25" s="282"/>
      <c r="E25" s="285"/>
      <c r="F25" s="283"/>
      <c r="G25" s="286" t="s">
        <v>2370</v>
      </c>
    </row>
    <row r="26" spans="1:7" s="258" customFormat="1">
      <c r="A26" s="950"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0</v>
      </c>
      <c r="D27" s="279">
        <f ca="1">C29</f>
        <v>0</v>
      </c>
      <c r="E27" s="280" t="s">
        <v>2374</v>
      </c>
      <c r="F27" s="290">
        <f ca="1">IF(B1="",'数据-取费表'!Q16,INDIRECT("'数据-取费表'!q"&amp;$G$1))</f>
        <v>0.09</v>
      </c>
      <c r="G27" s="291" t="s">
        <v>2375</v>
      </c>
    </row>
    <row r="28" spans="1:7" s="258" customFormat="1" ht="13.5" customHeight="1">
      <c r="A28" s="950" t="s">
        <v>791</v>
      </c>
      <c r="B28" s="292" t="s">
        <v>2376</v>
      </c>
      <c r="C28" s="293">
        <f ca="1">ROUND((C5+C19+C20)*F27*'数据-取费表'!G28/'数据-取费表'!B20,0)</f>
        <v>0</v>
      </c>
      <c r="D28" s="279"/>
      <c r="E28" s="280"/>
      <c r="F28" s="290"/>
      <c r="G28" s="291"/>
    </row>
    <row r="29" spans="1:7" s="258" customFormat="1" ht="13.5" customHeight="1">
      <c r="A29" s="950" t="s">
        <v>792</v>
      </c>
      <c r="B29" s="292" t="s">
        <v>2377</v>
      </c>
      <c r="C29" s="282">
        <f ca="1">ROUND(C21*F27*'数据-取费表'!G28/'数据-取费表'!B20,4)</f>
        <v>0</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557580</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54940</v>
      </c>
      <c r="D33" s="276"/>
      <c r="E33" s="256"/>
      <c r="F33" s="285"/>
      <c r="G33" s="278"/>
    </row>
    <row r="34" spans="1:7" s="302" customFormat="1" ht="13.5" customHeight="1">
      <c r="A34" s="950" t="s">
        <v>791</v>
      </c>
      <c r="B34" s="259" t="s">
        <v>2385</v>
      </c>
      <c r="C34" s="264">
        <f ca="1">IF(B1="",IF(F34=100%,'数据-取费表'!M16,'数据-取费表'!O16),IF(F34=100%,INDIRECT("'数据-取费表'!m"&amp;$G$1)+INDIRECT("'数据-取费表'!t"&amp;$G$1),INDIRECT("'数据-取费表'!o"&amp;$G$1)+INDIRECT("'数据-取费表'!aq"&amp;$G$1)))</f>
        <v>48499</v>
      </c>
      <c r="D34" s="261"/>
      <c r="E34" s="264"/>
      <c r="F34" s="301">
        <f ca="1">IF('数据-取费表'!B24=0,1,IF(B1="",'数据-取费表'!N16,INDIRECT("'数据-取费表'!n"&amp;$G$1)))</f>
        <v>0.34699999999999998</v>
      </c>
      <c r="G34" s="263" t="s">
        <v>2386</v>
      </c>
    </row>
    <row r="35" spans="1:7" ht="13.5" customHeight="1">
      <c r="A35" s="950" t="s">
        <v>796</v>
      </c>
      <c r="B35" s="259" t="s">
        <v>2387</v>
      </c>
      <c r="C35" s="264">
        <f ca="1">ROUND(C34*F35,0)</f>
        <v>1455</v>
      </c>
      <c r="D35" s="264"/>
      <c r="E35" s="264"/>
      <c r="F35" s="303">
        <f>'数据-取费表'!B33</f>
        <v>0.03</v>
      </c>
      <c r="G35" s="263" t="s">
        <v>2388</v>
      </c>
    </row>
    <row r="36" spans="1:7" ht="24">
      <c r="A36" s="950" t="s">
        <v>797</v>
      </c>
      <c r="B36" s="259" t="s">
        <v>2389</v>
      </c>
      <c r="C36" s="264">
        <f ca="1">ROUND(IF(B1="",SUMIF('数据-取费表'!C:C,"住宅",IF(F34=100%,'数据-取费表'!M:M,'数据-取费表'!O:O))*F36,IF(INDIRECT("'数据-取费表'!c"&amp;$G$1)="住宅",IF(F34=100%,INDIRECT("'数据-取费表'!m"&amp;$G$1)*F36,INDIRECT("'数据-取费表'!o"&amp;$G$1)*F36),0)),0)</f>
        <v>916</v>
      </c>
      <c r="D36" s="264"/>
      <c r="E36" s="264"/>
      <c r="F36" s="303">
        <f>'数据-取费表'!B34</f>
        <v>0.03</v>
      </c>
      <c r="G36" s="304" t="s">
        <v>2390</v>
      </c>
    </row>
    <row r="37" spans="1:7" s="302" customFormat="1" ht="13.5" customHeight="1">
      <c r="A37" s="950" t="s">
        <v>798</v>
      </c>
      <c r="B37" s="259" t="s">
        <v>2391</v>
      </c>
      <c r="C37" s="293">
        <f ca="1">ROUND(E37*D37*F34/10000,0)</f>
        <v>3343</v>
      </c>
      <c r="D37" s="261">
        <f ca="1">D19</f>
        <v>642216.18999999994</v>
      </c>
      <c r="E37" s="293">
        <f>'数据-取费表'!B35</f>
        <v>150</v>
      </c>
      <c r="F37" s="303"/>
      <c r="G37" s="305" t="s">
        <v>2392</v>
      </c>
    </row>
    <row r="38" spans="1:7" ht="13.5" customHeight="1">
      <c r="A38" s="950" t="s">
        <v>799</v>
      </c>
      <c r="B38" s="259" t="s">
        <v>2393</v>
      </c>
      <c r="C38" s="264">
        <f ca="1">ROUND(C34*F38,0)</f>
        <v>727</v>
      </c>
      <c r="D38" s="264"/>
      <c r="E38" s="264"/>
      <c r="F38" s="303">
        <f>'数据-取费表'!B36</f>
        <v>1.4999999999999999E-2</v>
      </c>
      <c r="G38" s="263" t="s">
        <v>2388</v>
      </c>
    </row>
    <row r="39" spans="1:7" s="258" customFormat="1" ht="13.5" customHeight="1">
      <c r="A39" s="299" t="s">
        <v>2394</v>
      </c>
      <c r="B39" s="254" t="s">
        <v>2395</v>
      </c>
      <c r="C39" s="276">
        <f ca="1">ROUND(C33*F20,0)</f>
        <v>1648</v>
      </c>
      <c r="D39" s="276"/>
      <c r="E39" s="276"/>
      <c r="F39" s="277"/>
      <c r="G39" s="278" t="s">
        <v>2396</v>
      </c>
    </row>
    <row r="40" spans="1:7" s="258" customFormat="1" ht="13.5" customHeight="1">
      <c r="A40" s="299" t="s">
        <v>2397</v>
      </c>
      <c r="B40" s="254" t="s">
        <v>2398</v>
      </c>
      <c r="C40" s="1727">
        <f>F21</f>
        <v>0.03</v>
      </c>
      <c r="D40" s="280" t="s">
        <v>2399</v>
      </c>
      <c r="E40" s="276"/>
      <c r="F40" s="277"/>
      <c r="G40" s="278" t="s">
        <v>2400</v>
      </c>
    </row>
    <row r="41" spans="1:7" s="258" customFormat="1" ht="13.5" customHeight="1">
      <c r="A41" s="299" t="s">
        <v>2401</v>
      </c>
      <c r="B41" s="254" t="s">
        <v>2402</v>
      </c>
      <c r="C41" s="276">
        <f ca="1">ROUND(SUM(C42:C43),0)</f>
        <v>0</v>
      </c>
      <c r="D41" s="279">
        <f ca="1">C44</f>
        <v>0</v>
      </c>
      <c r="E41" s="280" t="s">
        <v>2399</v>
      </c>
      <c r="F41" s="281"/>
      <c r="G41" s="278" t="str">
        <f>IF('数据-取费表'!B22&lt;=1,"单利计息","复利计息")</f>
        <v>复利计息</v>
      </c>
    </row>
    <row r="42" spans="1:7" ht="13.5" customHeight="1">
      <c r="A42" s="950" t="s">
        <v>791</v>
      </c>
      <c r="B42" s="259" t="s">
        <v>2403</v>
      </c>
      <c r="C42" s="282">
        <f ca="1">ROUND(IF('数据-取费表'!B22&lt;=1,C33*F22*'数据-取费表'!G28/2,C33*(POWER((1+F22),'数据-取费表'!G28/2)-1)),0)</f>
        <v>0</v>
      </c>
      <c r="D42" s="282"/>
      <c r="E42" s="282"/>
      <c r="F42" s="283"/>
      <c r="G42" s="3153" t="s">
        <v>2404</v>
      </c>
    </row>
    <row r="43" spans="1:7" ht="13.5" customHeight="1">
      <c r="A43" s="950" t="s">
        <v>792</v>
      </c>
      <c r="B43" s="259" t="s">
        <v>2405</v>
      </c>
      <c r="C43" s="282">
        <f ca="1">ROUND(IF('数据-取费表'!B22&lt;=1,C39*F22*'数据-取费表'!G28/2,C39*(POWER((1+F22),'数据-取费表'!G28/2)-1)),0)</f>
        <v>0</v>
      </c>
      <c r="D43" s="282"/>
      <c r="E43" s="282"/>
      <c r="F43" s="283"/>
      <c r="G43" s="3154"/>
    </row>
    <row r="44" spans="1:7" ht="13.5" customHeight="1">
      <c r="A44" s="950" t="s">
        <v>793</v>
      </c>
      <c r="B44" s="259" t="s">
        <v>2406</v>
      </c>
      <c r="C44" s="282">
        <f ca="1">ROUND(IF('数据-取费表'!B22&lt;=1,C40*F22*'数据-取费表'!G28/2,C40*(POWER((1+F22),'数据-取费表'!G28/2)-1)),4)</f>
        <v>0</v>
      </c>
      <c r="D44" s="282"/>
      <c r="E44" s="282"/>
      <c r="F44" s="283"/>
      <c r="G44" s="3155"/>
    </row>
    <row r="45" spans="1:7" s="258" customFormat="1" ht="13.5" customHeight="1">
      <c r="A45" s="299" t="s">
        <v>2407</v>
      </c>
      <c r="B45" s="288" t="s">
        <v>2373</v>
      </c>
      <c r="C45" s="289">
        <f ca="1">C46</f>
        <v>5093</v>
      </c>
      <c r="D45" s="279">
        <f ca="1">C47</f>
        <v>2.7000000000000001E-3</v>
      </c>
      <c r="E45" s="280" t="s">
        <v>2399</v>
      </c>
      <c r="F45" s="290"/>
      <c r="G45" s="291" t="s">
        <v>2408</v>
      </c>
    </row>
    <row r="46" spans="1:7" s="258" customFormat="1" ht="13.5" customHeight="1">
      <c r="A46" s="950" t="s">
        <v>791</v>
      </c>
      <c r="B46" s="292" t="s">
        <v>2409</v>
      </c>
      <c r="C46" s="293">
        <f ca="1">ROUND((C33+C39)*F27,0)</f>
        <v>5093</v>
      </c>
      <c r="D46" s="307"/>
      <c r="E46" s="280"/>
      <c r="F46" s="290"/>
      <c r="G46" s="291"/>
    </row>
    <row r="47" spans="1:7" s="258" customFormat="1" ht="13.5" customHeight="1">
      <c r="A47" s="950" t="s">
        <v>792</v>
      </c>
      <c r="B47" s="292" t="s">
        <v>2410</v>
      </c>
      <c r="C47" s="282">
        <f ca="1">ROUND(C40*F27,4)</f>
        <v>2.7000000000000001E-3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67485</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67485</v>
      </c>
      <c r="D51" s="276"/>
      <c r="E51" s="276"/>
      <c r="F51" s="308"/>
      <c r="G51" s="278" t="s">
        <v>2420</v>
      </c>
    </row>
    <row r="52" spans="1:7" s="252" customFormat="1" ht="16.5" thickBot="1">
      <c r="A52" s="309" t="s">
        <v>2421</v>
      </c>
      <c r="B52" s="310"/>
      <c r="C52" s="311">
        <f ca="1">C31+C51</f>
        <v>625065</v>
      </c>
      <c r="D52" s="310"/>
      <c r="E52" s="310"/>
      <c r="F52" s="310"/>
      <c r="G52" s="312"/>
    </row>
    <row r="55" spans="1:7" ht="15">
      <c r="B55" s="314" t="s">
        <v>2422</v>
      </c>
      <c r="C55" s="315"/>
    </row>
    <row r="56" spans="1:7">
      <c r="B56" s="317" t="s">
        <v>1513</v>
      </c>
      <c r="C56" s="319">
        <f ca="1">1-C57</f>
        <v>0.89200000000000002</v>
      </c>
    </row>
    <row r="57" spans="1:7">
      <c r="B57" s="317" t="s">
        <v>1514</v>
      </c>
      <c r="C57" s="318">
        <f ca="1">ROUND(C51/C52,3)</f>
        <v>0.108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0" sqref="B40"/>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7" t="str">
        <f>项目基本情况!B1</f>
        <v>武汉洪山区大洲村K2地块出让国有建设用地使用权及在建建筑物房地产抵押价值预评估</v>
      </c>
      <c r="C37" s="2967"/>
      <c r="D37" s="2967"/>
      <c r="E37" s="2967"/>
      <c r="F37" s="2967"/>
      <c r="G37" s="2967"/>
      <c r="H37" s="2967"/>
      <c r="I37" s="2967"/>
    </row>
    <row r="38" spans="1:9">
      <c r="A38" s="1015"/>
      <c r="B38" s="1015"/>
    </row>
    <row r="39" spans="1:9">
      <c r="A39" s="1013" t="s">
        <v>818</v>
      </c>
      <c r="B39" s="1013" t="s">
        <v>820</v>
      </c>
    </row>
    <row r="40" spans="1:9">
      <c r="A40" s="1013"/>
      <c r="B40" s="1941" t="str">
        <f>项目基本情况!B5</f>
        <v>金科地产集团武汉有限公司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王鹏（注册号：1120050019)、刘敬东（注册号：1120020033)</v>
      </c>
    </row>
    <row r="47" spans="1:9">
      <c r="A47" s="1013"/>
      <c r="B47" s="1013" t="str">
        <f>项目基本情况!K5</f>
        <v/>
      </c>
    </row>
    <row r="48" spans="1:9">
      <c r="A48" s="1013" t="s">
        <v>818</v>
      </c>
      <c r="B48" s="1013" t="s">
        <v>824</v>
      </c>
    </row>
    <row r="49" spans="2:2">
      <c r="B49" s="1941" t="str">
        <f>"康正预评字"&amp;项目基本情况!B2&amp;"号"</f>
        <v>康正预评字2018-1-0702-P02DYGJ9号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6"/>
      <c r="C1" s="2552" t="s">
        <v>2423</v>
      </c>
      <c r="D1" s="242"/>
      <c r="E1" s="242"/>
      <c r="F1" s="242"/>
      <c r="G1" s="1378">
        <f>MATCH(B1,'数据-取费表'!A6:A16,0)+5</f>
        <v>9</v>
      </c>
      <c r="H1" s="1281" t="str">
        <f>IF(ISERROR(FIND("住宅",B1)),"非住宅","住宅")</f>
        <v>非住宅</v>
      </c>
    </row>
    <row r="2" spans="1:8" s="244" customFormat="1" ht="18" customHeight="1">
      <c r="A2" s="245" t="s">
        <v>2322</v>
      </c>
      <c r="B2" s="246">
        <f ca="1">ROUND(IF(D2="——",C52/10000,C52/10000-E2),0)</f>
        <v>210550</v>
      </c>
      <c r="C2" s="243" t="s">
        <v>2323</v>
      </c>
      <c r="D2" s="2546" t="s">
        <v>70</v>
      </c>
      <c r="E2" s="1439" t="e">
        <f ca="1">SUMIF(INDIRECT("'"&amp;G2&amp;"'"&amp;"!A:A"),"承租人权益价值",INDIRECT("'"&amp;G2&amp;"'"&amp;"!c:c"))</f>
        <v>#REF!</v>
      </c>
      <c r="F2" s="2547" t="s">
        <v>2323</v>
      </c>
      <c r="G2" s="2548"/>
    </row>
    <row r="3" spans="1:8" s="244" customFormat="1" ht="18" customHeight="1" thickBot="1">
      <c r="A3" s="247" t="s">
        <v>2324</v>
      </c>
      <c r="B3" s="248">
        <f ca="1">ROUND(B2*10000/(IF(B1="",'数据-汇总表'!E3,INDIRECT("'数据-取费表'!k"&amp;$G$1))),0)</f>
        <v>3278</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0</v>
      </c>
      <c r="D5" s="255" t="s">
        <v>2329</v>
      </c>
      <c r="E5" s="256" t="s">
        <v>2330</v>
      </c>
      <c r="F5" s="256" t="s">
        <v>2331</v>
      </c>
      <c r="G5" s="257"/>
    </row>
    <row r="6" spans="1:8" s="258" customFormat="1" ht="13.5" customHeight="1">
      <c r="A6" s="948" t="s">
        <v>2332</v>
      </c>
      <c r="B6" s="259" t="s">
        <v>2333</v>
      </c>
      <c r="C6" s="260"/>
      <c r="D6" s="261"/>
      <c r="E6" s="262"/>
      <c r="F6" s="262"/>
      <c r="G6" s="263"/>
    </row>
    <row r="7" spans="1:8" s="258" customFormat="1" ht="13.5" customHeight="1">
      <c r="A7" s="948" t="s">
        <v>2334</v>
      </c>
      <c r="B7" s="259" t="s">
        <v>2335</v>
      </c>
      <c r="C7" s="264">
        <f>ROUND(C6*F7,0)</f>
        <v>0</v>
      </c>
      <c r="D7" s="264"/>
      <c r="E7" s="262"/>
      <c r="F7" s="265">
        <f>'数据-取费表'!B48+'数据-取费表'!B49</f>
        <v>4.0500000000000001E-2</v>
      </c>
      <c r="G7" s="263"/>
    </row>
    <row r="8" spans="1:8" s="267" customFormat="1">
      <c r="A8" s="948" t="s">
        <v>2336</v>
      </c>
      <c r="B8" s="259" t="s">
        <v>2337</v>
      </c>
      <c r="C8" s="264">
        <f ca="1">IF(G8="已包含在土地购买价格中",0,C9+C10)</f>
        <v>0</v>
      </c>
      <c r="D8" s="266"/>
      <c r="E8" s="264"/>
      <c r="F8" s="265"/>
      <c r="G8" s="2549"/>
    </row>
    <row r="9" spans="1:8" s="258" customFormat="1" ht="13.5" customHeight="1">
      <c r="A9" s="949" t="s">
        <v>800</v>
      </c>
      <c r="B9" s="268" t="s">
        <v>2338</v>
      </c>
      <c r="C9" s="269">
        <f ca="1">ROUND(D9*E9,0)</f>
        <v>0</v>
      </c>
      <c r="D9" s="1031">
        <f ca="1">IF(B1="",'数据-汇总表'!E5,IF(INDIRECT("'数据-取费表'!c"&amp;$G$1)="住宅",INDIRECT("'数据-取费表'!k"&amp;$G$1),0))</f>
        <v>462528.7</v>
      </c>
      <c r="E9" s="269">
        <f>'数据-取费表'!B27</f>
        <v>0</v>
      </c>
      <c r="F9" s="265"/>
      <c r="G9" s="270"/>
    </row>
    <row r="10" spans="1:8" s="258" customFormat="1" ht="13.5" customHeight="1">
      <c r="A10" s="949" t="s">
        <v>801</v>
      </c>
      <c r="B10" s="268" t="s">
        <v>2340</v>
      </c>
      <c r="C10" s="269">
        <f ca="1">ROUND(D10*E10,0)</f>
        <v>0</v>
      </c>
      <c r="D10" s="1031">
        <f ca="1">IF(B1="",'数据-汇总表'!E6,IF(INDIRECT("'数据-取费表'!c"&amp;$G$1)="住宅",INDIRECT("'数据-取费表'!s"&amp;$G$1),INDIRECT("'数据-取费表'!k"&amp;$G$1)+INDIRECT("'数据-取费表'!s"&amp;$G$1)))</f>
        <v>179687.48999999993</v>
      </c>
      <c r="E10" s="269">
        <f>'数据-取费表'!B28</f>
        <v>0</v>
      </c>
      <c r="F10" s="265"/>
      <c r="G10" s="270"/>
    </row>
    <row r="11" spans="1:8" s="258" customFormat="1" ht="13.5" hidden="1" customHeight="1">
      <c r="A11" s="271" t="s">
        <v>7</v>
      </c>
      <c r="B11" s="259" t="s">
        <v>2341</v>
      </c>
      <c r="C11" s="255"/>
      <c r="D11" s="1033"/>
      <c r="E11" s="262"/>
      <c r="F11" s="262"/>
      <c r="G11" s="263"/>
    </row>
    <row r="12" spans="1:8" s="258" customFormat="1" ht="13.5" hidden="1" customHeight="1">
      <c r="A12" s="271" t="s">
        <v>8</v>
      </c>
      <c r="B12" s="259" t="s">
        <v>2424</v>
      </c>
      <c r="C12" s="255">
        <v>0</v>
      </c>
      <c r="D12" s="1033"/>
      <c r="E12" s="272"/>
      <c r="F12" s="265">
        <v>3.0499999999999999E-2</v>
      </c>
      <c r="G12" s="263"/>
    </row>
    <row r="13" spans="1:8" s="258" customFormat="1" ht="13.5" hidden="1" customHeight="1">
      <c r="A13" s="271" t="s">
        <v>9</v>
      </c>
      <c r="B13" s="259" t="s">
        <v>2425</v>
      </c>
      <c r="C13" s="255"/>
      <c r="D13" s="1033"/>
      <c r="E13" s="262"/>
      <c r="F13" s="262"/>
      <c r="G13" s="263"/>
    </row>
    <row r="14" spans="1:8" s="258" customFormat="1" ht="13.5" hidden="1" customHeight="1">
      <c r="A14" s="271" t="s">
        <v>10</v>
      </c>
      <c r="B14" s="259" t="s">
        <v>2337</v>
      </c>
      <c r="C14" s="255"/>
      <c r="D14" s="1033"/>
      <c r="E14" s="262"/>
      <c r="F14" s="262"/>
      <c r="G14" s="263" t="s">
        <v>2426</v>
      </c>
    </row>
    <row r="15" spans="1:8" s="258" customFormat="1" ht="13.5" hidden="1" customHeight="1">
      <c r="A15" s="271" t="s">
        <v>11</v>
      </c>
      <c r="B15" s="259" t="s">
        <v>2427</v>
      </c>
      <c r="C15" s="264"/>
      <c r="D15" s="1033"/>
      <c r="E15" s="262"/>
      <c r="F15" s="262"/>
      <c r="G15" s="263" t="s">
        <v>2428</v>
      </c>
    </row>
    <row r="16" spans="1:8" s="258" customFormat="1" ht="13.5" hidden="1" customHeight="1">
      <c r="A16" s="271" t="s">
        <v>12</v>
      </c>
      <c r="B16" s="259" t="s">
        <v>2337</v>
      </c>
      <c r="C16" s="264"/>
      <c r="D16" s="1033"/>
      <c r="E16" s="262"/>
      <c r="F16" s="262"/>
      <c r="G16" s="263"/>
    </row>
    <row r="17" spans="1:7" s="258" customFormat="1" ht="13.5" hidden="1" customHeight="1">
      <c r="A17" s="271" t="s">
        <v>13</v>
      </c>
      <c r="B17" s="259" t="s">
        <v>2429</v>
      </c>
      <c r="C17" s="273"/>
      <c r="D17" s="1034"/>
      <c r="E17" s="273"/>
      <c r="F17" s="273"/>
      <c r="G17" s="263" t="s">
        <v>2428</v>
      </c>
    </row>
    <row r="18" spans="1:7" s="258" customFormat="1" ht="13.5" hidden="1" customHeight="1">
      <c r="A18" s="271" t="s">
        <v>14</v>
      </c>
      <c r="B18" s="259" t="s">
        <v>2430</v>
      </c>
      <c r="C18" s="264">
        <v>0</v>
      </c>
      <c r="D18" s="1033"/>
      <c r="E18" s="262"/>
      <c r="F18" s="265">
        <v>3.0499999999999999E-2</v>
      </c>
      <c r="G18" s="263" t="s">
        <v>2431</v>
      </c>
    </row>
    <row r="19" spans="1:7" s="267" customFormat="1" ht="13.5" customHeight="1">
      <c r="A19" s="299" t="s">
        <v>2432</v>
      </c>
      <c r="B19" s="254" t="s">
        <v>2433</v>
      </c>
      <c r="C19" s="255">
        <f ca="1">IF(G19="已包含在土地取得成本中","0",ROUND(D19*E19,0))</f>
        <v>32110810</v>
      </c>
      <c r="D19" s="1035">
        <f ca="1">D9+D10</f>
        <v>642216.18999999994</v>
      </c>
      <c r="E19" s="255">
        <f>'数据-取费表'!B31</f>
        <v>50</v>
      </c>
      <c r="F19" s="275"/>
      <c r="G19" s="2549"/>
    </row>
    <row r="20" spans="1:7" s="258" customFormat="1" ht="13.5" customHeight="1">
      <c r="A20" s="299" t="s">
        <v>2434</v>
      </c>
      <c r="B20" s="254" t="s">
        <v>2435</v>
      </c>
      <c r="C20" s="276">
        <f ca="1">ROUND((C5+C19)*F20,0)</f>
        <v>963324</v>
      </c>
      <c r="D20" s="276"/>
      <c r="E20" s="276"/>
      <c r="F20" s="277">
        <f>'数据-取费表'!B37</f>
        <v>0.03</v>
      </c>
      <c r="G20" s="278" t="s">
        <v>2436</v>
      </c>
    </row>
    <row r="21" spans="1:7" s="258" customFormat="1" ht="13.5" customHeight="1">
      <c r="A21" s="299" t="s">
        <v>2437</v>
      </c>
      <c r="B21" s="254" t="s">
        <v>2438</v>
      </c>
      <c r="C21" s="279">
        <f>F21</f>
        <v>0.03</v>
      </c>
      <c r="D21" s="280" t="s">
        <v>2439</v>
      </c>
      <c r="E21" s="276"/>
      <c r="F21" s="277">
        <f>'数据-取费表'!B38</f>
        <v>0.03</v>
      </c>
      <c r="G21" s="278" t="s">
        <v>2440</v>
      </c>
    </row>
    <row r="22" spans="1:7" s="258" customFormat="1" ht="13.5" customHeight="1">
      <c r="A22" s="299" t="s">
        <v>2441</v>
      </c>
      <c r="B22" s="254" t="s">
        <v>2442</v>
      </c>
      <c r="C22" s="1379">
        <f ca="1">ROUND(SUM(C23:C25),0)</f>
        <v>4007605</v>
      </c>
      <c r="D22" s="279">
        <f ca="1">C26</f>
        <v>1.8E-3</v>
      </c>
      <c r="E22" s="280" t="s">
        <v>2439</v>
      </c>
      <c r="F22" s="281">
        <f ca="1">'数据-取费表'!B40</f>
        <v>4.7500000000000001E-2</v>
      </c>
      <c r="G22" s="278" t="str">
        <f>IF('数据-取费表'!B22&lt;=1,"单利计息","复利计息")</f>
        <v>复利计息</v>
      </c>
    </row>
    <row r="23" spans="1:7" s="258" customFormat="1" ht="13.5" customHeight="1">
      <c r="A23" s="950" t="s">
        <v>2332</v>
      </c>
      <c r="B23" s="259" t="s">
        <v>2443</v>
      </c>
      <c r="C23" s="1380">
        <f ca="1">ROUND(IF('数据-取费表'!B22&lt;=1,C5*F22*'数据-取费表'!B22,C5*(POWER((1+F22),'数据-取费表'!B22)-1)),0)</f>
        <v>0</v>
      </c>
      <c r="D23" s="282"/>
      <c r="E23" s="282"/>
      <c r="F23" s="283"/>
      <c r="G23" s="284" t="s">
        <v>2444</v>
      </c>
    </row>
    <row r="24" spans="1:7" s="258" customFormat="1" ht="13.5" customHeight="1">
      <c r="A24" s="950" t="s">
        <v>2334</v>
      </c>
      <c r="B24" s="259" t="s">
        <v>2445</v>
      </c>
      <c r="C24" s="1380">
        <f ca="1">ROUND(IF('数据-取费表'!B22&lt;=1,C19*F22*('数据-取费表'!B19/2+'数据-取费表'!B20),C19*(POWER((1+F22),('数据-取费表'!B19/2+'数据-取费表'!B20))-1)),0)</f>
        <v>3950072</v>
      </c>
      <c r="D24" s="282"/>
      <c r="E24" s="282"/>
      <c r="F24" s="283"/>
      <c r="G24" s="284" t="s">
        <v>2446</v>
      </c>
    </row>
    <row r="25" spans="1:7" s="258" customFormat="1" ht="24">
      <c r="A25" s="950" t="s">
        <v>2336</v>
      </c>
      <c r="B25" s="259" t="s">
        <v>2447</v>
      </c>
      <c r="C25" s="1380">
        <f ca="1">ROUND(IF('数据-取费表'!B22&lt;=1,C20*F22*'数据-取费表'!B22/2,C20*(POWER((1+F22),'数据-取费表'!B22/2)-1)),0)</f>
        <v>57533</v>
      </c>
      <c r="D25" s="282"/>
      <c r="E25" s="285"/>
      <c r="F25" s="283"/>
      <c r="G25" s="286" t="s">
        <v>2448</v>
      </c>
    </row>
    <row r="26" spans="1:7" s="258" customFormat="1">
      <c r="A26" s="950" t="s">
        <v>795</v>
      </c>
      <c r="B26" s="259" t="s">
        <v>2371</v>
      </c>
      <c r="C26" s="282">
        <f ca="1">ROUND(IF('数据-取费表'!B22&lt;=1,F21*F22*'数据-取费表'!B22/2,F21*(POWER((1+F22),'数据-取费表'!B22/2)-1)),4)</f>
        <v>1.8E-3</v>
      </c>
      <c r="D26" s="282"/>
      <c r="E26" s="285"/>
      <c r="F26" s="283"/>
      <c r="G26" s="287"/>
    </row>
    <row r="27" spans="1:7" s="258" customFormat="1" ht="24.75">
      <c r="A27" s="299" t="s">
        <v>2372</v>
      </c>
      <c r="B27" s="288" t="s">
        <v>2373</v>
      </c>
      <c r="C27" s="289">
        <f ca="1">C28</f>
        <v>2976672</v>
      </c>
      <c r="D27" s="279">
        <f ca="1">C29</f>
        <v>2.7000000000000001E-3</v>
      </c>
      <c r="E27" s="280" t="s">
        <v>2374</v>
      </c>
      <c r="F27" s="290">
        <f ca="1">IF(B1="",'数据-取费表'!Q16,INDIRECT("'数据-取费表'!q"&amp;$G$1))</f>
        <v>0.09</v>
      </c>
      <c r="G27" s="291" t="s">
        <v>2375</v>
      </c>
    </row>
    <row r="28" spans="1:7" s="258" customFormat="1" ht="13.5" customHeight="1">
      <c r="A28" s="950" t="s">
        <v>791</v>
      </c>
      <c r="B28" s="292" t="s">
        <v>2376</v>
      </c>
      <c r="C28" s="293">
        <f ca="1">ROUND((C5+C19+C20)*F27,0)</f>
        <v>2976672</v>
      </c>
      <c r="D28" s="279"/>
      <c r="E28" s="280"/>
      <c r="F28" s="290"/>
      <c r="G28" s="291"/>
    </row>
    <row r="29" spans="1:7" s="258" customFormat="1" ht="13.5" customHeight="1">
      <c r="A29" s="950" t="s">
        <v>792</v>
      </c>
      <c r="B29" s="292" t="s">
        <v>2377</v>
      </c>
      <c r="C29" s="282">
        <f ca="1">ROUND(C21*F27,4)</f>
        <v>2.7000000000000001E-3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43914066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1588038868</v>
      </c>
      <c r="D33" s="276"/>
      <c r="E33" s="256"/>
      <c r="F33" s="285"/>
      <c r="G33" s="278"/>
    </row>
    <row r="34" spans="1:7" s="302" customFormat="1" ht="13.5" customHeight="1">
      <c r="A34" s="950" t="s">
        <v>791</v>
      </c>
      <c r="B34" s="259" t="s">
        <v>2385</v>
      </c>
      <c r="C34" s="264">
        <f ca="1">ROUND(IF(B1="",SUMPRODUCT('数据-取费表'!K6:K14,'数据-取费表'!L6:L14),INDIRECT("'数据-取费表'!l"&amp;$G$1)*INDIRECT("'数据-取费表'!k"&amp;$G$1)+'数据-取费表'!L14*INDIRECT("'数据-取费表'!S"&amp;$G$1)),0)</f>
        <v>1398257938</v>
      </c>
      <c r="D34" s="261"/>
      <c r="E34" s="264"/>
      <c r="F34" s="301"/>
      <c r="G34" s="263"/>
    </row>
    <row r="35" spans="1:7" ht="13.5" customHeight="1">
      <c r="A35" s="950" t="s">
        <v>796</v>
      </c>
      <c r="B35" s="259" t="s">
        <v>2387</v>
      </c>
      <c r="C35" s="264">
        <f ca="1">ROUND(C34*F35,0)</f>
        <v>41947738</v>
      </c>
      <c r="D35" s="264"/>
      <c r="E35" s="264"/>
      <c r="F35" s="303">
        <f>'数据-取费表'!B33</f>
        <v>0.03</v>
      </c>
      <c r="G35" s="263" t="s">
        <v>2388</v>
      </c>
    </row>
    <row r="36" spans="1:7" ht="24">
      <c r="A36" s="950" t="s">
        <v>797</v>
      </c>
      <c r="B36" s="259" t="s">
        <v>2389</v>
      </c>
      <c r="C36" s="264">
        <f ca="1">ROUND(IF(B1="",SUM('数据-取费表'!AP6:AP13)*F36,IF(INDIRECT("'数据-取费表'!c"&amp;$G$1)="住宅",INDIRECT("'数据-取费表'!k"&amp;$G$1)*INDIRECT("'数据-取费表'!l"&amp;$G$1)*F36,0)),0)</f>
        <v>30526894</v>
      </c>
      <c r="D36" s="264"/>
      <c r="E36" s="264"/>
      <c r="F36" s="303">
        <f>'数据-取费表'!B34</f>
        <v>0.03</v>
      </c>
      <c r="G36" s="304" t="s">
        <v>2390</v>
      </c>
    </row>
    <row r="37" spans="1:7" s="302" customFormat="1" ht="13.5" customHeight="1">
      <c r="A37" s="950" t="s">
        <v>798</v>
      </c>
      <c r="B37" s="259" t="s">
        <v>2391</v>
      </c>
      <c r="C37" s="293">
        <f ca="1">ROUND(E37*D37,0)</f>
        <v>96332429</v>
      </c>
      <c r="D37" s="261">
        <f ca="1">D19</f>
        <v>642216.18999999994</v>
      </c>
      <c r="E37" s="293">
        <f>'数据-取费表'!B35</f>
        <v>150</v>
      </c>
      <c r="F37" s="303"/>
      <c r="G37" s="305"/>
    </row>
    <row r="38" spans="1:7" ht="13.5" customHeight="1">
      <c r="A38" s="950" t="s">
        <v>799</v>
      </c>
      <c r="B38" s="259" t="s">
        <v>2393</v>
      </c>
      <c r="C38" s="264">
        <f ca="1">ROUND(C34*F38,0)</f>
        <v>20973869</v>
      </c>
      <c r="D38" s="264"/>
      <c r="E38" s="264"/>
      <c r="F38" s="303">
        <f>'数据-取费表'!B36</f>
        <v>1.4999999999999999E-2</v>
      </c>
      <c r="G38" s="263" t="s">
        <v>2388</v>
      </c>
    </row>
    <row r="39" spans="1:7" s="258" customFormat="1" ht="13.5" customHeight="1">
      <c r="A39" s="299" t="s">
        <v>2394</v>
      </c>
      <c r="B39" s="254" t="s">
        <v>2395</v>
      </c>
      <c r="C39" s="276">
        <f ca="1">ROUND(C33*F20,0)</f>
        <v>47641166</v>
      </c>
      <c r="D39" s="276"/>
      <c r="E39" s="276"/>
      <c r="F39" s="277"/>
      <c r="G39" s="278" t="s">
        <v>2396</v>
      </c>
    </row>
    <row r="40" spans="1:7" s="258" customFormat="1" ht="13.5" customHeight="1">
      <c r="A40" s="299" t="s">
        <v>2397</v>
      </c>
      <c r="B40" s="254" t="s">
        <v>2398</v>
      </c>
      <c r="C40" s="1727">
        <f>F21</f>
        <v>0.03</v>
      </c>
      <c r="D40" s="280" t="s">
        <v>2399</v>
      </c>
      <c r="E40" s="276"/>
      <c r="F40" s="277"/>
      <c r="G40" s="278" t="s">
        <v>2400</v>
      </c>
    </row>
    <row r="41" spans="1:7" s="258" customFormat="1" ht="13.5" customHeight="1">
      <c r="A41" s="299" t="s">
        <v>2401</v>
      </c>
      <c r="B41" s="254" t="s">
        <v>2402</v>
      </c>
      <c r="C41" s="276">
        <f ca="1">ROUND(SUM(C42:C43),0)</f>
        <v>97688434</v>
      </c>
      <c r="D41" s="279">
        <f ca="1">C44</f>
        <v>1.8E-3</v>
      </c>
      <c r="E41" s="280" t="s">
        <v>2399</v>
      </c>
      <c r="F41" s="281"/>
      <c r="G41" s="278" t="str">
        <f>IF('数据-取费表'!B22&lt;=1,"单利计息","复利计息")</f>
        <v>复利计息</v>
      </c>
    </row>
    <row r="42" spans="1:7" ht="13.5" customHeight="1">
      <c r="A42" s="950" t="s">
        <v>791</v>
      </c>
      <c r="B42" s="259" t="s">
        <v>2403</v>
      </c>
      <c r="C42" s="282">
        <f ca="1">ROUND(IF('数据-取费表'!B22&lt;=1,C33*F22*'数据-取费表'!B20/2,C33*(POWER((1+F22),'数据-取费表'!B20/2)-1)),0)</f>
        <v>94843140</v>
      </c>
      <c r="D42" s="282"/>
      <c r="E42" s="282"/>
      <c r="F42" s="283"/>
      <c r="G42" s="3153" t="s">
        <v>2451</v>
      </c>
    </row>
    <row r="43" spans="1:7" ht="13.5" customHeight="1">
      <c r="A43" s="950" t="s">
        <v>792</v>
      </c>
      <c r="B43" s="259" t="s">
        <v>2405</v>
      </c>
      <c r="C43" s="282">
        <f ca="1">ROUND(IF('数据-取费表'!B22&lt;=1,C39*F22*'数据-取费表'!B20/2,C39*(POWER((1+F22),'数据-取费表'!B20/2)-1)),0)</f>
        <v>2845294</v>
      </c>
      <c r="D43" s="282"/>
      <c r="E43" s="282"/>
      <c r="F43" s="283"/>
      <c r="G43" s="3154"/>
    </row>
    <row r="44" spans="1:7" ht="13.5" customHeight="1">
      <c r="A44" s="950" t="s">
        <v>793</v>
      </c>
      <c r="B44" s="259" t="s">
        <v>2406</v>
      </c>
      <c r="C44" s="282">
        <f ca="1">ROUND(IF('数据-取费表'!B22&lt;=1,C40*F22*'数据-取费表'!B20/2,C40*(POWER((1+F22),'数据-取费表'!B20/2)-1)),4)</f>
        <v>1.8E-3</v>
      </c>
      <c r="D44" s="282"/>
      <c r="E44" s="282"/>
      <c r="F44" s="283"/>
      <c r="G44" s="3155"/>
    </row>
    <row r="45" spans="1:7" s="258" customFormat="1" ht="13.5" customHeight="1">
      <c r="A45" s="299" t="s">
        <v>2407</v>
      </c>
      <c r="B45" s="288" t="s">
        <v>2373</v>
      </c>
      <c r="C45" s="289">
        <f ca="1">C46</f>
        <v>147211203</v>
      </c>
      <c r="D45" s="279">
        <f ca="1">C47</f>
        <v>2.7000000000000001E-3</v>
      </c>
      <c r="E45" s="280" t="s">
        <v>2399</v>
      </c>
      <c r="F45" s="290"/>
      <c r="G45" s="291" t="s">
        <v>2408</v>
      </c>
    </row>
    <row r="46" spans="1:7" s="258" customFormat="1" ht="13.5" customHeight="1">
      <c r="A46" s="950" t="s">
        <v>791</v>
      </c>
      <c r="B46" s="292" t="s">
        <v>2409</v>
      </c>
      <c r="C46" s="293">
        <f ca="1">ROUND((C33+C39)*F27,0)</f>
        <v>147211203</v>
      </c>
      <c r="D46" s="307"/>
      <c r="E46" s="280"/>
      <c r="F46" s="290"/>
      <c r="G46" s="291"/>
    </row>
    <row r="47" spans="1:7" s="258" customFormat="1" ht="13.5" customHeight="1">
      <c r="A47" s="950" t="s">
        <v>792</v>
      </c>
      <c r="B47" s="292" t="s">
        <v>2410</v>
      </c>
      <c r="C47" s="282">
        <f ca="1">ROUND(C40*F27,4)</f>
        <v>2.7000000000000001E-3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2061587011</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2061587011</v>
      </c>
      <c r="D51" s="276"/>
      <c r="E51" s="276"/>
      <c r="F51" s="308"/>
      <c r="G51" s="278" t="s">
        <v>2420</v>
      </c>
    </row>
    <row r="52" spans="1:7" s="252" customFormat="1" ht="16.5" thickBot="1">
      <c r="A52" s="309" t="s">
        <v>2421</v>
      </c>
      <c r="B52" s="310"/>
      <c r="C52" s="311">
        <f ca="1">C31+C51</f>
        <v>2105501077</v>
      </c>
      <c r="D52" s="310"/>
      <c r="E52" s="310"/>
      <c r="F52" s="310"/>
      <c r="G52" s="312"/>
    </row>
    <row r="55" spans="1:7" ht="15">
      <c r="B55" s="314" t="s">
        <v>2422</v>
      </c>
      <c r="C55" s="315"/>
    </row>
    <row r="56" spans="1:7">
      <c r="B56" s="317" t="s">
        <v>1513</v>
      </c>
      <c r="C56" s="319">
        <f ca="1">1-C57</f>
        <v>2.1000000000000019E-2</v>
      </c>
    </row>
    <row r="57" spans="1:7">
      <c r="B57" s="317" t="s">
        <v>1514</v>
      </c>
      <c r="C57" s="318">
        <f ca="1">ROUND(C51/C52,3)</f>
        <v>0.97899999999999998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9" zoomScale="80" zoomScaleNormal="80" workbookViewId="0">
      <selection activeCell="E66" sqref="E6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455259</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6751</v>
      </c>
      <c r="C3" s="247" t="s">
        <v>2737</v>
      </c>
      <c r="D3" s="1582">
        <f>'数据-基础表'!G13</f>
        <v>674379.37</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2637</v>
      </c>
      <c r="B4" s="402"/>
      <c r="C4" s="3160" t="s">
        <v>2638</v>
      </c>
      <c r="D4" s="3173"/>
      <c r="E4" s="3174" t="s">
        <v>2639</v>
      </c>
      <c r="F4" s="3175"/>
      <c r="G4" s="3160" t="s">
        <v>2640</v>
      </c>
      <c r="H4" s="3173"/>
      <c r="I4" s="3160" t="s">
        <v>2641</v>
      </c>
      <c r="J4" s="3173"/>
      <c r="K4" s="610" t="s">
        <v>2642</v>
      </c>
      <c r="L4" s="1129"/>
      <c r="M4" s="1130"/>
      <c r="N4" s="1130"/>
      <c r="O4" s="1130"/>
      <c r="P4" s="3176" t="s">
        <v>2643</v>
      </c>
      <c r="Q4" s="3177"/>
      <c r="R4" s="3182" t="s">
        <v>2639</v>
      </c>
      <c r="S4" s="3183"/>
      <c r="T4" s="3182" t="s">
        <v>2640</v>
      </c>
      <c r="U4" s="3183"/>
      <c r="V4" s="3169" t="s">
        <v>2641</v>
      </c>
      <c r="W4" s="3169"/>
      <c r="X4" s="1812"/>
      <c r="Y4" s="3182" t="s">
        <v>2643</v>
      </c>
      <c r="Z4" s="3183"/>
      <c r="AA4" s="3170" t="s">
        <v>2639</v>
      </c>
      <c r="AB4" s="3171" t="s">
        <v>2640</v>
      </c>
      <c r="AC4" s="3170" t="s">
        <v>2641</v>
      </c>
    </row>
    <row r="5" spans="1:30" ht="15">
      <c r="A5" s="404"/>
      <c r="B5" s="405"/>
      <c r="C5" s="3190" t="s">
        <v>2534</v>
      </c>
      <c r="D5" s="3191"/>
      <c r="E5" s="3198" t="s">
        <v>2535</v>
      </c>
      <c r="F5" s="3199"/>
      <c r="G5" s="3190" t="s">
        <v>2536</v>
      </c>
      <c r="H5" s="3191"/>
      <c r="I5" s="3190" t="s">
        <v>2537</v>
      </c>
      <c r="J5" s="3191"/>
      <c r="K5" s="610"/>
      <c r="L5" s="1129"/>
      <c r="M5" s="1130"/>
      <c r="N5" s="1130"/>
      <c r="O5" s="1130"/>
      <c r="P5" s="3178"/>
      <c r="Q5" s="3179"/>
      <c r="R5" s="3184"/>
      <c r="S5" s="3185"/>
      <c r="T5" s="3184"/>
      <c r="U5" s="3185"/>
      <c r="V5" s="3169"/>
      <c r="W5" s="3169"/>
      <c r="X5" s="1812"/>
      <c r="Y5" s="3184"/>
      <c r="Z5" s="3185"/>
      <c r="AA5" s="3171"/>
      <c r="AB5" s="3171"/>
      <c r="AC5" s="3171"/>
    </row>
    <row r="6" spans="1:30" ht="30.75" customHeight="1" thickBot="1">
      <c r="A6" s="406"/>
      <c r="B6" s="407"/>
      <c r="C6" s="3195" t="s">
        <v>2538</v>
      </c>
      <c r="D6" s="3189"/>
      <c r="E6" s="3196" t="s">
        <v>3249</v>
      </c>
      <c r="F6" s="3197"/>
      <c r="G6" s="3188" t="s">
        <v>3250</v>
      </c>
      <c r="H6" s="3189"/>
      <c r="I6" s="3188" t="s">
        <v>3251</v>
      </c>
      <c r="J6" s="3189"/>
      <c r="K6" s="610" t="s">
        <v>2539</v>
      </c>
      <c r="L6" s="1129"/>
      <c r="M6" s="1130"/>
      <c r="N6" s="1130"/>
      <c r="O6" s="1130"/>
      <c r="P6" s="3180"/>
      <c r="Q6" s="3181"/>
      <c r="R6" s="3184"/>
      <c r="S6" s="3185"/>
      <c r="T6" s="3186"/>
      <c r="U6" s="3187"/>
      <c r="V6" s="3169"/>
      <c r="W6" s="3169"/>
      <c r="X6" s="1812"/>
      <c r="Y6" s="3186"/>
      <c r="Z6" s="3187"/>
      <c r="AA6" s="3172"/>
      <c r="AB6" s="3172"/>
      <c r="AC6" s="3172"/>
    </row>
    <row r="7" spans="1:30" s="117" customFormat="1" ht="15.75" thickBot="1">
      <c r="A7" s="408" t="s">
        <v>2540</v>
      </c>
      <c r="B7" s="409"/>
      <c r="C7" s="410">
        <f>'数据-取费表'!B2</f>
        <v>43371</v>
      </c>
      <c r="D7" s="411">
        <v>100</v>
      </c>
      <c r="E7" s="2695">
        <v>43102</v>
      </c>
      <c r="F7" s="413">
        <f>SUMIF(70:70,YEAR(E7)&amp;"-"&amp;INT((MONTH(E7)+2)/3),71:71)</f>
        <v>98</v>
      </c>
      <c r="G7" s="2695">
        <v>43102</v>
      </c>
      <c r="H7" s="411">
        <f>SUMIF(70:70,YEAR(G7)&amp;"-"&amp;INT((MONTH(G7)+2)/3),71:71)</f>
        <v>98</v>
      </c>
      <c r="I7" s="2695">
        <v>43073</v>
      </c>
      <c r="J7" s="411">
        <f>SUMIF(70:70,YEAR(I7)&amp;"-"&amp;INT((MONTH(I7)+2)/3),71:71)</f>
        <v>97</v>
      </c>
      <c r="K7" s="611"/>
      <c r="L7" s="1131"/>
      <c r="M7" s="1132"/>
      <c r="N7" s="1132"/>
      <c r="O7" s="1132"/>
      <c r="P7" s="3192" t="s">
        <v>2541</v>
      </c>
      <c r="Q7" s="3194"/>
      <c r="R7" s="770" t="s">
        <v>17</v>
      </c>
      <c r="S7" s="771">
        <f t="shared" ref="S7:S15" si="0">F7</f>
        <v>98</v>
      </c>
      <c r="T7" s="770" t="s">
        <v>17</v>
      </c>
      <c r="U7" s="771">
        <f t="shared" ref="U7:U15" si="1">H7</f>
        <v>98</v>
      </c>
      <c r="V7" s="770" t="s">
        <v>17</v>
      </c>
      <c r="W7" s="771">
        <f t="shared" ref="W7:W15" si="2">J7</f>
        <v>97</v>
      </c>
      <c r="X7" s="772"/>
      <c r="Y7" s="3192" t="s">
        <v>2541</v>
      </c>
      <c r="Z7" s="3193"/>
      <c r="AA7" s="773">
        <f>D7/F7</f>
        <v>1.0204081632653061</v>
      </c>
      <c r="AB7" s="773">
        <f>D7/H7</f>
        <v>1.0204081632653061</v>
      </c>
      <c r="AC7" s="773">
        <f>D7/J7</f>
        <v>1.0309278350515463</v>
      </c>
    </row>
    <row r="8" spans="1:30" s="117" customFormat="1" ht="15.75" thickBot="1">
      <c r="A8" s="408" t="s">
        <v>2542</v>
      </c>
      <c r="B8" s="409"/>
      <c r="C8" s="414" t="s">
        <v>2543</v>
      </c>
      <c r="D8" s="411">
        <v>100</v>
      </c>
      <c r="E8" s="414" t="s">
        <v>3075</v>
      </c>
      <c r="F8" s="413">
        <f>SUMIF(73:73,E8,74:74)-SUMIF(73:73,C8,74:74)+100</f>
        <v>100</v>
      </c>
      <c r="G8" s="414" t="s">
        <v>3075</v>
      </c>
      <c r="H8" s="411">
        <f>SUMIF(73:73,G8,74:74)-SUMIF(73:73,C8,74:74)+100</f>
        <v>100</v>
      </c>
      <c r="I8" s="414" t="s">
        <v>3075</v>
      </c>
      <c r="J8" s="411">
        <f>SUMIF(73:73,I8,74:74)-SUMIF(73:73,C8,74:74)+100</f>
        <v>100</v>
      </c>
      <c r="K8" s="611"/>
      <c r="L8" s="1131"/>
      <c r="M8" s="1132"/>
      <c r="N8" s="1132"/>
      <c r="O8" s="1132"/>
      <c r="P8" s="3192" t="s">
        <v>2544</v>
      </c>
      <c r="Q8" s="3193"/>
      <c r="R8" s="770" t="s">
        <v>17</v>
      </c>
      <c r="S8" s="771">
        <f t="shared" si="0"/>
        <v>100</v>
      </c>
      <c r="T8" s="770" t="s">
        <v>17</v>
      </c>
      <c r="U8" s="771">
        <f t="shared" si="1"/>
        <v>100</v>
      </c>
      <c r="V8" s="770" t="s">
        <v>17</v>
      </c>
      <c r="W8" s="771">
        <f t="shared" si="2"/>
        <v>100</v>
      </c>
      <c r="X8" s="772"/>
      <c r="Y8" s="3192" t="s">
        <v>2544</v>
      </c>
      <c r="Z8" s="3193"/>
      <c r="AA8" s="773">
        <f t="shared" ref="AA8:AA45" si="3">D8/F8</f>
        <v>1</v>
      </c>
      <c r="AB8" s="773">
        <f t="shared" ref="AB8:AB45" si="4">D8/H8</f>
        <v>1</v>
      </c>
      <c r="AC8" s="773">
        <f t="shared" ref="AC8:AC45" si="5">D8/J8</f>
        <v>1</v>
      </c>
    </row>
    <row r="9" spans="1:30" s="117" customFormat="1">
      <c r="A9" s="415" t="s">
        <v>2545</v>
      </c>
      <c r="B9" s="71" t="s">
        <v>2546</v>
      </c>
      <c r="C9" s="2698" t="s">
        <v>3059</v>
      </c>
      <c r="D9" s="135">
        <v>100</v>
      </c>
      <c r="E9" s="2698" t="s">
        <v>3059</v>
      </c>
      <c r="F9" s="135">
        <f>SUMIF(75:75,E9,76:76)-SUMIF(75:75,C9,76:76)+100</f>
        <v>100</v>
      </c>
      <c r="G9" s="2698" t="s">
        <v>3059</v>
      </c>
      <c r="H9" s="135">
        <f>SUMIF(75:75,G9,76:76)-SUMIF(75:75,C9,76:76)+100</f>
        <v>100</v>
      </c>
      <c r="I9" s="2698" t="s">
        <v>3059</v>
      </c>
      <c r="J9" s="135">
        <f>SUMIF(75:75,I9,76:76)-SUMIF(75:75,C9,76:76)+100</f>
        <v>100</v>
      </c>
      <c r="K9" s="611"/>
      <c r="L9" s="1131"/>
      <c r="M9" s="1132"/>
      <c r="N9" s="1132"/>
      <c r="O9" s="1133"/>
      <c r="P9" s="3163" t="s">
        <v>2547</v>
      </c>
      <c r="Q9" s="1794" t="str">
        <f t="shared" ref="Q9:Q15" si="6">B9</f>
        <v>用途</v>
      </c>
      <c r="R9" s="770" t="s">
        <v>17</v>
      </c>
      <c r="S9" s="771">
        <f t="shared" si="0"/>
        <v>100</v>
      </c>
      <c r="T9" s="770" t="s">
        <v>17</v>
      </c>
      <c r="U9" s="771">
        <f t="shared" si="1"/>
        <v>100</v>
      </c>
      <c r="V9" s="770" t="s">
        <v>17</v>
      </c>
      <c r="W9" s="771">
        <f t="shared" si="2"/>
        <v>100</v>
      </c>
      <c r="X9" s="772"/>
      <c r="Y9" s="3011" t="s">
        <v>2548</v>
      </c>
      <c r="Z9" s="55" t="str">
        <f t="shared" ref="Z9:Z15" si="7">Q9</f>
        <v>用途</v>
      </c>
      <c r="AA9" s="773">
        <f t="shared" si="3"/>
        <v>1</v>
      </c>
      <c r="AB9" s="773">
        <f t="shared" si="4"/>
        <v>1</v>
      </c>
      <c r="AC9" s="773">
        <f t="shared" si="5"/>
        <v>1</v>
      </c>
    </row>
    <row r="10" spans="1:30" s="427" customFormat="1" ht="27">
      <c r="A10" s="421"/>
      <c r="B10" s="422" t="s">
        <v>2549</v>
      </c>
      <c r="C10" s="432">
        <v>69.23</v>
      </c>
      <c r="D10" s="136">
        <v>100</v>
      </c>
      <c r="E10" s="465" t="s">
        <v>3147</v>
      </c>
      <c r="F10" s="136">
        <f>ROUND(100/'数据-取费表'!G16,0)</f>
        <v>100</v>
      </c>
      <c r="G10" s="463" t="s">
        <v>3148</v>
      </c>
      <c r="H10" s="136">
        <f>ROUND(100/'数据-取费表'!G16,0)</f>
        <v>100</v>
      </c>
      <c r="I10" s="463" t="s">
        <v>3148</v>
      </c>
      <c r="J10" s="136">
        <f>ROUND(100/'数据-取费表'!G16,0)</f>
        <v>100</v>
      </c>
      <c r="K10" s="672"/>
      <c r="L10" s="1134"/>
      <c r="M10" s="1135"/>
      <c r="N10" s="1135"/>
      <c r="O10" s="1136"/>
      <c r="P10" s="3163"/>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30" ht="15.75" thickBot="1">
      <c r="A11" s="428"/>
      <c r="B11" s="422" t="s">
        <v>2550</v>
      </c>
      <c r="C11" s="429">
        <v>4.74</v>
      </c>
      <c r="D11" s="136">
        <v>100</v>
      </c>
      <c r="E11" s="429">
        <v>2.4</v>
      </c>
      <c r="F11" s="136">
        <f>LOOKUP(E11,80:80,81:81)-LOOKUP(C11,80:80,81:81)+100</f>
        <v>102</v>
      </c>
      <c r="G11" s="430">
        <v>2.5</v>
      </c>
      <c r="H11" s="136">
        <f>LOOKUP(G11,80:80,81:81)-LOOKUP(C11,80:80,81:81)+100</f>
        <v>102</v>
      </c>
      <c r="I11" s="429">
        <v>3.5</v>
      </c>
      <c r="J11" s="136">
        <f>LOOKUP(I11,80:80,81:81)-LOOKUP(C11,80:80,81:81)+100</f>
        <v>101</v>
      </c>
      <c r="K11" s="673">
        <v>1</v>
      </c>
      <c r="L11" s="1137"/>
      <c r="M11" s="1130"/>
      <c r="N11" s="1130"/>
      <c r="O11" s="1138"/>
      <c r="P11" s="3163"/>
      <c r="Q11" s="1794" t="str">
        <f t="shared" si="6"/>
        <v>容积率</v>
      </c>
      <c r="R11" s="770" t="s">
        <v>17</v>
      </c>
      <c r="S11" s="771">
        <f t="shared" si="0"/>
        <v>102</v>
      </c>
      <c r="T11" s="770" t="s">
        <v>17</v>
      </c>
      <c r="U11" s="771">
        <f t="shared" si="1"/>
        <v>102</v>
      </c>
      <c r="V11" s="770" t="s">
        <v>17</v>
      </c>
      <c r="W11" s="771">
        <f t="shared" si="2"/>
        <v>101</v>
      </c>
      <c r="X11" s="772"/>
      <c r="Y11" s="3011"/>
      <c r="Z11" s="55" t="str">
        <f t="shared" si="7"/>
        <v>容积率</v>
      </c>
      <c r="AA11" s="773">
        <f t="shared" si="3"/>
        <v>0.98039215686274506</v>
      </c>
      <c r="AB11" s="773">
        <f t="shared" si="4"/>
        <v>0.98039215686274506</v>
      </c>
      <c r="AC11" s="773">
        <f t="shared" si="5"/>
        <v>0.99009900990099009</v>
      </c>
    </row>
    <row r="12" spans="1:30" s="117" customFormat="1" ht="15" hidden="1">
      <c r="A12" s="431"/>
      <c r="B12" s="2599"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3"/>
      <c r="Q12" s="1794"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3"/>
      <c r="Q14" s="1794">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9.75">
      <c r="A15" s="440" t="s">
        <v>2551</v>
      </c>
      <c r="B15" s="69" t="s">
        <v>2078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39"/>
      <c r="M15" s="1130"/>
      <c r="N15" s="1130"/>
      <c r="O15" s="1138"/>
      <c r="P15" s="3165" t="s">
        <v>2552</v>
      </c>
      <c r="Q15" s="1809" t="str">
        <f t="shared" si="6"/>
        <v>居住社区成熟度</v>
      </c>
      <c r="R15" s="774" t="s">
        <v>17</v>
      </c>
      <c r="S15" s="775">
        <f t="shared" si="0"/>
        <v>100</v>
      </c>
      <c r="T15" s="774" t="s">
        <v>17</v>
      </c>
      <c r="U15" s="775">
        <f t="shared" si="1"/>
        <v>100</v>
      </c>
      <c r="V15" s="774" t="s">
        <v>17</v>
      </c>
      <c r="W15" s="775">
        <f t="shared" si="2"/>
        <v>100</v>
      </c>
      <c r="X15" s="1812"/>
      <c r="Y15" s="3165" t="s">
        <v>2552</v>
      </c>
      <c r="Z15" s="1813" t="str">
        <f t="shared" si="7"/>
        <v>居住社区成熟度</v>
      </c>
      <c r="AA15" s="1810">
        <f t="shared" si="3"/>
        <v>1</v>
      </c>
      <c r="AB15" s="1810">
        <f t="shared" si="4"/>
        <v>1</v>
      </c>
      <c r="AC15" s="1810">
        <f t="shared" si="5"/>
        <v>1</v>
      </c>
    </row>
    <row r="16" spans="1:30" ht="15">
      <c r="A16" s="428"/>
      <c r="B16" s="446"/>
      <c r="C16" s="447" t="s">
        <v>3078</v>
      </c>
      <c r="D16" s="448"/>
      <c r="E16" s="2604" t="s">
        <v>3078</v>
      </c>
      <c r="F16" s="448"/>
      <c r="G16" s="2604" t="s">
        <v>3078</v>
      </c>
      <c r="H16" s="450"/>
      <c r="I16" s="2603" t="s">
        <v>3078</v>
      </c>
      <c r="J16" s="448"/>
      <c r="K16" s="672"/>
      <c r="L16" s="1139"/>
      <c r="M16" s="1130"/>
      <c r="N16" s="1130"/>
      <c r="O16" s="1138"/>
      <c r="P16" s="3166"/>
      <c r="Q16" s="1809"/>
      <c r="R16" s="774"/>
      <c r="S16" s="775"/>
      <c r="T16" s="774"/>
      <c r="U16" s="775"/>
      <c r="V16" s="774"/>
      <c r="W16" s="775"/>
      <c r="X16" s="1812"/>
      <c r="Y16" s="3166"/>
      <c r="Z16" s="1813"/>
      <c r="AA16" s="1810">
        <v>1</v>
      </c>
      <c r="AB16" s="1810">
        <v>1</v>
      </c>
      <c r="AC16" s="1810">
        <v>1</v>
      </c>
    </row>
    <row r="17" spans="1:29" ht="71.25" hidden="1">
      <c r="A17" s="428"/>
      <c r="B17" s="451" t="s">
        <v>2645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66"/>
      <c r="Q17" s="1809" t="str">
        <f>B17</f>
        <v>商业繁华度</v>
      </c>
      <c r="R17" s="774" t="s">
        <v>17</v>
      </c>
      <c r="S17" s="775">
        <f>F17</f>
        <v>100</v>
      </c>
      <c r="T17" s="774" t="s">
        <v>17</v>
      </c>
      <c r="U17" s="775">
        <f>H17</f>
        <v>100</v>
      </c>
      <c r="V17" s="774" t="s">
        <v>17</v>
      </c>
      <c r="W17" s="775">
        <f>J17</f>
        <v>100</v>
      </c>
      <c r="X17" s="1812"/>
      <c r="Y17" s="3166"/>
      <c r="Z17" s="1813" t="str">
        <f>Q17</f>
        <v>商业繁华度</v>
      </c>
      <c r="AA17" s="1810">
        <f t="shared" si="3"/>
        <v>1</v>
      </c>
      <c r="AB17" s="1810">
        <f t="shared" si="4"/>
        <v>1</v>
      </c>
      <c r="AC17" s="1810">
        <f t="shared" si="5"/>
        <v>1</v>
      </c>
    </row>
    <row r="18" spans="1:29" ht="15" hidden="1">
      <c r="A18" s="428"/>
      <c r="B18" s="456"/>
      <c r="C18" s="2607"/>
      <c r="D18" s="450"/>
      <c r="E18" s="2609"/>
      <c r="F18" s="450"/>
      <c r="G18" s="2609"/>
      <c r="H18" s="448"/>
      <c r="I18" s="2608"/>
      <c r="J18" s="448"/>
      <c r="K18" s="672"/>
      <c r="L18" s="1139"/>
      <c r="M18" s="1130"/>
      <c r="N18" s="1130"/>
      <c r="O18" s="1138"/>
      <c r="P18" s="3166"/>
      <c r="Q18" s="1809"/>
      <c r="R18" s="774"/>
      <c r="S18" s="775"/>
      <c r="T18" s="774"/>
      <c r="U18" s="775"/>
      <c r="V18" s="774"/>
      <c r="W18" s="775"/>
      <c r="X18" s="1812"/>
      <c r="Y18" s="3166"/>
      <c r="Z18" s="1813"/>
      <c r="AA18" s="1810">
        <v>1</v>
      </c>
      <c r="AB18" s="1810">
        <v>1</v>
      </c>
      <c r="AC18" s="1810">
        <v>1</v>
      </c>
    </row>
    <row r="19" spans="1:29" ht="71.25" hidden="1">
      <c r="A19" s="428"/>
      <c r="B19" s="451" t="s">
        <v>2679</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66"/>
      <c r="Q19" s="1809" t="str">
        <f>B19</f>
        <v>办公集聚程度</v>
      </c>
      <c r="R19" s="774" t="s">
        <v>17</v>
      </c>
      <c r="S19" s="775">
        <f>F19</f>
        <v>100</v>
      </c>
      <c r="T19" s="774" t="s">
        <v>17</v>
      </c>
      <c r="U19" s="775">
        <f>H19</f>
        <v>100</v>
      </c>
      <c r="V19" s="774" t="s">
        <v>17</v>
      </c>
      <c r="W19" s="775">
        <f>J19</f>
        <v>100</v>
      </c>
      <c r="X19" s="1812"/>
      <c r="Y19" s="3166"/>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39"/>
      <c r="M20" s="1130"/>
      <c r="N20" s="1130"/>
      <c r="O20" s="1138"/>
      <c r="P20" s="3166"/>
      <c r="Q20" s="1809"/>
      <c r="R20" s="774"/>
      <c r="S20" s="775"/>
      <c r="T20" s="774"/>
      <c r="U20" s="775"/>
      <c r="V20" s="774"/>
      <c r="W20" s="775"/>
      <c r="X20" s="1812"/>
      <c r="Y20" s="3166"/>
      <c r="Z20" s="1813"/>
      <c r="AA20" s="1810">
        <v>1</v>
      </c>
      <c r="AB20" s="1810">
        <v>1</v>
      </c>
      <c r="AC20" s="1810">
        <v>1</v>
      </c>
    </row>
    <row r="21" spans="1:29" ht="85.5">
      <c r="A21" s="428"/>
      <c r="B21" s="451" t="s">
        <v>2701</v>
      </c>
      <c r="C21" s="2606" t="str">
        <f>估价对象房地状况!C18</f>
        <v>估价对象周边道路状况、公共交通通达情况、停车便捷程度，综合评价交通便捷度较好</v>
      </c>
      <c r="D21" s="450">
        <v>100</v>
      </c>
      <c r="E21" s="452"/>
      <c r="F21" s="455">
        <f>SUMIF(94:94,E22,95:95)-SUMIF(94:94,C22,95:95)+100</f>
        <v>97</v>
      </c>
      <c r="G21" s="452"/>
      <c r="H21" s="450">
        <f>SUMIF(94:94,G22,95:95)-SUMIF(94:94,C22,95:95)+100</f>
        <v>97</v>
      </c>
      <c r="I21" s="454"/>
      <c r="J21" s="450">
        <f>SUMIF(94:94,I22,95:95)-SUMIF(94:94,C22,95:95)+100</f>
        <v>97</v>
      </c>
      <c r="K21" s="673">
        <v>3</v>
      </c>
      <c r="L21" s="1139"/>
      <c r="M21" s="1130"/>
      <c r="N21" s="1130"/>
      <c r="O21" s="1138"/>
      <c r="P21" s="3166"/>
      <c r="Q21" s="1809" t="str">
        <f>B21</f>
        <v>交通便捷度</v>
      </c>
      <c r="R21" s="774" t="s">
        <v>17</v>
      </c>
      <c r="S21" s="775">
        <f>F21</f>
        <v>97</v>
      </c>
      <c r="T21" s="774" t="s">
        <v>17</v>
      </c>
      <c r="U21" s="775">
        <f>H21</f>
        <v>97</v>
      </c>
      <c r="V21" s="774" t="s">
        <v>17</v>
      </c>
      <c r="W21" s="775">
        <f>J21</f>
        <v>97</v>
      </c>
      <c r="X21" s="1812"/>
      <c r="Y21" s="3166"/>
      <c r="Z21" s="1813" t="str">
        <f>Q21</f>
        <v>交通便捷度</v>
      </c>
      <c r="AA21" s="1810">
        <f t="shared" si="3"/>
        <v>1.0309278350515463</v>
      </c>
      <c r="AB21" s="1810">
        <f t="shared" si="4"/>
        <v>1.0309278350515463</v>
      </c>
      <c r="AC21" s="1810">
        <f t="shared" si="5"/>
        <v>1.0309278350515463</v>
      </c>
    </row>
    <row r="22" spans="1:29" ht="15">
      <c r="A22" s="428"/>
      <c r="B22" s="1383"/>
      <c r="C22" s="447" t="s">
        <v>3078</v>
      </c>
      <c r="D22" s="450"/>
      <c r="E22" s="2604" t="s">
        <v>3079</v>
      </c>
      <c r="F22" s="448"/>
      <c r="G22" s="2604" t="s">
        <v>3079</v>
      </c>
      <c r="H22" s="448"/>
      <c r="I22" s="2603" t="s">
        <v>3079</v>
      </c>
      <c r="J22" s="448"/>
      <c r="K22" s="672"/>
      <c r="L22" s="1139"/>
      <c r="M22" s="1130"/>
      <c r="N22" s="1130"/>
      <c r="O22" s="1138"/>
      <c r="P22" s="3166"/>
      <c r="Q22" s="1809"/>
      <c r="R22" s="774"/>
      <c r="S22" s="775"/>
      <c r="T22" s="774"/>
      <c r="U22" s="775"/>
      <c r="V22" s="774"/>
      <c r="W22" s="775"/>
      <c r="X22" s="1812"/>
      <c r="Y22" s="3166"/>
      <c r="Z22" s="1813"/>
      <c r="AA22" s="1810">
        <v>1</v>
      </c>
      <c r="AB22" s="1810">
        <v>1</v>
      </c>
      <c r="AC22" s="1810">
        <v>1</v>
      </c>
    </row>
    <row r="23" spans="1:29" ht="15" hidden="1">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66"/>
      <c r="Q23" s="1809" t="str">
        <f t="shared" ref="Q23:Q37" si="8">B23</f>
        <v>区域土地利用方向</v>
      </c>
      <c r="R23" s="774" t="s">
        <v>17</v>
      </c>
      <c r="S23" s="775">
        <f>F23</f>
        <v>100</v>
      </c>
      <c r="T23" s="774" t="s">
        <v>17</v>
      </c>
      <c r="U23" s="775">
        <f>H23</f>
        <v>100</v>
      </c>
      <c r="V23" s="774" t="s">
        <v>17</v>
      </c>
      <c r="W23" s="775">
        <f>J23</f>
        <v>100</v>
      </c>
      <c r="X23" s="1812"/>
      <c r="Y23" s="3166"/>
      <c r="Z23" s="1813" t="str">
        <f>Q23</f>
        <v>区域土地利用方向</v>
      </c>
      <c r="AA23" s="1810">
        <f t="shared" si="3"/>
        <v>1</v>
      </c>
      <c r="AB23" s="1810">
        <f t="shared" si="4"/>
        <v>1</v>
      </c>
      <c r="AC23" s="1810">
        <f t="shared" si="5"/>
        <v>1</v>
      </c>
    </row>
    <row r="24" spans="1:29" ht="15" hidden="1">
      <c r="A24" s="404"/>
      <c r="B24" s="456"/>
      <c r="C24" s="616"/>
      <c r="D24" s="448"/>
      <c r="E24" s="2604"/>
      <c r="F24" s="448"/>
      <c r="G24" s="2603"/>
      <c r="H24" s="448"/>
      <c r="I24" s="2603"/>
      <c r="J24" s="448"/>
      <c r="K24" s="808"/>
      <c r="L24" s="1139"/>
      <c r="M24" s="1130"/>
      <c r="N24" s="1130"/>
      <c r="O24" s="1138"/>
      <c r="P24" s="3166"/>
      <c r="Q24" s="1809"/>
      <c r="R24" s="774"/>
      <c r="S24" s="775"/>
      <c r="T24" s="774"/>
      <c r="U24" s="775"/>
      <c r="V24" s="774"/>
      <c r="W24" s="775"/>
      <c r="X24" s="1812"/>
      <c r="Y24" s="3166"/>
      <c r="Z24" s="1813"/>
      <c r="AA24" s="1810"/>
      <c r="AB24" s="1810"/>
      <c r="AC24" s="1810"/>
    </row>
    <row r="25" spans="1:29" ht="57">
      <c r="A25" s="404"/>
      <c r="B25" s="1383" t="s">
        <v>2740</v>
      </c>
      <c r="C25" s="2663" t="str">
        <f>估价对象房地状况!C20</f>
        <v>区域自然环境：；人文环境；综合评价环境状况一般</v>
      </c>
      <c r="D25" s="450">
        <v>100</v>
      </c>
      <c r="E25" s="452"/>
      <c r="F25" s="450">
        <f>SUMIF(98:98,E26,99:99)-SUMIF(98:98,C26,99:99)+100</f>
        <v>98</v>
      </c>
      <c r="G25" s="452"/>
      <c r="H25" s="450">
        <f>SUMIF(98:98,G26,99:99)-SUMIF(98:98,C26,99:99)+100</f>
        <v>98</v>
      </c>
      <c r="I25" s="454"/>
      <c r="J25" s="450">
        <f>SUMIF(98:98,I26,99:99)-SUMIF(98:98,C26,99:99)+100</f>
        <v>98</v>
      </c>
      <c r="K25" s="673">
        <v>2</v>
      </c>
      <c r="L25" s="1139"/>
      <c r="M25" s="1130"/>
      <c r="N25" s="1130"/>
      <c r="O25" s="1138"/>
      <c r="P25" s="3166"/>
      <c r="Q25" s="1809" t="str">
        <f t="shared" si="8"/>
        <v>自然及人文环境状况</v>
      </c>
      <c r="R25" s="774" t="s">
        <v>17</v>
      </c>
      <c r="S25" s="775">
        <f>F25</f>
        <v>98</v>
      </c>
      <c r="T25" s="774" t="s">
        <v>17</v>
      </c>
      <c r="U25" s="775">
        <f>H25</f>
        <v>98</v>
      </c>
      <c r="V25" s="774" t="s">
        <v>17</v>
      </c>
      <c r="W25" s="775">
        <f>J25</f>
        <v>98</v>
      </c>
      <c r="X25" s="1812"/>
      <c r="Y25" s="3166"/>
      <c r="Z25" s="1813" t="str">
        <f>Q25</f>
        <v>自然及人文环境状况</v>
      </c>
      <c r="AA25" s="1810">
        <f t="shared" si="3"/>
        <v>1.0204081632653061</v>
      </c>
      <c r="AB25" s="1810">
        <f t="shared" si="4"/>
        <v>1.0204081632653061</v>
      </c>
      <c r="AC25" s="1810">
        <f t="shared" si="5"/>
        <v>1.0204081632653061</v>
      </c>
    </row>
    <row r="26" spans="1:29" ht="15">
      <c r="A26" s="404"/>
      <c r="B26" s="456"/>
      <c r="C26" s="447" t="s">
        <v>3078</v>
      </c>
      <c r="D26" s="448"/>
      <c r="E26" s="2610" t="s">
        <v>3079</v>
      </c>
      <c r="F26" s="448"/>
      <c r="G26" s="2610" t="s">
        <v>3079</v>
      </c>
      <c r="H26" s="448"/>
      <c r="I26" s="447" t="s">
        <v>3079</v>
      </c>
      <c r="J26" s="448"/>
      <c r="K26" s="672"/>
      <c r="L26" s="1139"/>
      <c r="M26" s="1130"/>
      <c r="N26" s="1130"/>
      <c r="O26" s="1138"/>
      <c r="P26" s="3166"/>
      <c r="Q26" s="1809"/>
      <c r="R26" s="774"/>
      <c r="S26" s="775"/>
      <c r="T26" s="774"/>
      <c r="U26" s="775"/>
      <c r="V26" s="774"/>
      <c r="W26" s="775"/>
      <c r="X26" s="1812"/>
      <c r="Y26" s="3166"/>
      <c r="Z26" s="1813"/>
      <c r="AA26" s="1810">
        <v>1</v>
      </c>
      <c r="AB26" s="1810">
        <v>1</v>
      </c>
      <c r="AC26" s="1810">
        <v>1</v>
      </c>
    </row>
    <row r="27" spans="1:29" s="117" customFormat="1" ht="42.75">
      <c r="A27" s="649"/>
      <c r="B27" s="1383" t="s">
        <v>2646</v>
      </c>
      <c r="C27" s="2606"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1"/>
      <c r="M27" s="1132"/>
      <c r="N27" s="1132"/>
      <c r="O27" s="1133"/>
      <c r="P27" s="3166"/>
      <c r="Q27" s="1794" t="str">
        <f t="shared" si="8"/>
        <v>公共配套设施</v>
      </c>
      <c r="R27" s="770" t="s">
        <v>17</v>
      </c>
      <c r="S27" s="771">
        <f>F27</f>
        <v>98</v>
      </c>
      <c r="T27" s="770" t="s">
        <v>17</v>
      </c>
      <c r="U27" s="771">
        <f>H27</f>
        <v>98</v>
      </c>
      <c r="V27" s="770" t="s">
        <v>17</v>
      </c>
      <c r="W27" s="771">
        <f>J27</f>
        <v>98</v>
      </c>
      <c r="X27" s="772"/>
      <c r="Y27" s="3166"/>
      <c r="Z27" s="55" t="str">
        <f>Q27</f>
        <v>公共配套设施</v>
      </c>
      <c r="AA27" s="1810">
        <f>D27/F27</f>
        <v>1.0204081632653061</v>
      </c>
      <c r="AB27" s="1810">
        <f>D27/H27</f>
        <v>1.0204081632653061</v>
      </c>
      <c r="AC27" s="1810">
        <f>D27/J27</f>
        <v>1.0204081632653061</v>
      </c>
    </row>
    <row r="28" spans="1:29" s="117" customFormat="1" ht="15">
      <c r="A28" s="649"/>
      <c r="B28" s="456"/>
      <c r="C28" s="2699" t="s">
        <v>3078</v>
      </c>
      <c r="D28" s="448"/>
      <c r="E28" s="2610" t="s">
        <v>3079</v>
      </c>
      <c r="F28" s="448"/>
      <c r="G28" s="2610" t="s">
        <v>3079</v>
      </c>
      <c r="H28" s="448"/>
      <c r="I28" s="447" t="s">
        <v>3079</v>
      </c>
      <c r="J28" s="448"/>
      <c r="K28" s="672"/>
      <c r="L28" s="1131"/>
      <c r="M28" s="1132"/>
      <c r="N28" s="1132"/>
      <c r="O28" s="1133"/>
      <c r="P28" s="3166"/>
      <c r="Q28" s="1794"/>
      <c r="R28" s="770"/>
      <c r="S28" s="771"/>
      <c r="T28" s="770"/>
      <c r="U28" s="771"/>
      <c r="V28" s="770"/>
      <c r="W28" s="771"/>
      <c r="X28" s="772"/>
      <c r="Y28" s="3166"/>
      <c r="Z28" s="55"/>
      <c r="AA28" s="1810">
        <v>1</v>
      </c>
      <c r="AB28" s="1810">
        <v>1</v>
      </c>
      <c r="AC28" s="1810">
        <v>1</v>
      </c>
    </row>
    <row r="29" spans="1:29" s="117" customFormat="1" ht="28.5">
      <c r="A29" s="649"/>
      <c r="B29" s="1383" t="s">
        <v>2647</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1"/>
      <c r="M29" s="1132"/>
      <c r="N29" s="1132"/>
      <c r="O29" s="1133"/>
      <c r="P29" s="3166"/>
      <c r="Q29" s="1794" t="str">
        <f t="shared" ref="Q29" si="9">B29</f>
        <v>基础设施水平</v>
      </c>
      <c r="R29" s="770" t="s">
        <v>17</v>
      </c>
      <c r="S29" s="771">
        <f>F29</f>
        <v>100</v>
      </c>
      <c r="T29" s="770" t="s">
        <v>17</v>
      </c>
      <c r="U29" s="771">
        <f>H29</f>
        <v>100</v>
      </c>
      <c r="V29" s="770" t="s">
        <v>17</v>
      </c>
      <c r="W29" s="771">
        <f>J29</f>
        <v>100</v>
      </c>
      <c r="X29" s="772"/>
      <c r="Y29" s="3166"/>
      <c r="Z29" s="55" t="str">
        <f>Q29</f>
        <v>基础设施水平</v>
      </c>
      <c r="AA29" s="1810">
        <f>D29/F29</f>
        <v>1</v>
      </c>
      <c r="AB29" s="1810">
        <f>D29/H29</f>
        <v>1</v>
      </c>
      <c r="AC29" s="1810">
        <f>D29/J29</f>
        <v>1</v>
      </c>
    </row>
    <row r="30" spans="1:29" s="117" customFormat="1" ht="15">
      <c r="A30" s="649"/>
      <c r="B30" s="456"/>
      <c r="C30" s="2699" t="s">
        <v>3162</v>
      </c>
      <c r="D30" s="448"/>
      <c r="E30" s="2700" t="s">
        <v>3162</v>
      </c>
      <c r="F30" s="448"/>
      <c r="G30" s="2700" t="s">
        <v>3162</v>
      </c>
      <c r="H30" s="448"/>
      <c r="I30" s="2700" t="s">
        <v>3162</v>
      </c>
      <c r="J30" s="448"/>
      <c r="K30" s="672"/>
      <c r="L30" s="1131"/>
      <c r="M30" s="1132"/>
      <c r="N30" s="1132"/>
      <c r="O30" s="1133"/>
      <c r="P30" s="3166"/>
      <c r="Q30" s="1794"/>
      <c r="R30" s="770"/>
      <c r="S30" s="771"/>
      <c r="T30" s="770"/>
      <c r="U30" s="771"/>
      <c r="V30" s="770"/>
      <c r="W30" s="771"/>
      <c r="X30" s="772"/>
      <c r="Y30" s="3166"/>
      <c r="Z30" s="55"/>
      <c r="AA30" s="1810">
        <v>1</v>
      </c>
      <c r="AB30" s="1810">
        <v>1</v>
      </c>
      <c r="AC30" s="1810">
        <v>1</v>
      </c>
    </row>
    <row r="31" spans="1:29" ht="15">
      <c r="A31" s="428"/>
      <c r="B31" s="456" t="s">
        <v>2648</v>
      </c>
      <c r="C31" s="616" t="s">
        <v>3149</v>
      </c>
      <c r="D31" s="435">
        <v>100</v>
      </c>
      <c r="E31" s="634" t="s">
        <v>3149</v>
      </c>
      <c r="F31" s="435">
        <f>SUMIF(104:104,E31,105:105)-SUMIF(104:104,C31,105:105)+100</f>
        <v>100</v>
      </c>
      <c r="G31" s="634" t="s">
        <v>3149</v>
      </c>
      <c r="H31" s="435">
        <f>SUMIF(104:104,G31,105:105)-SUMIF(104:104,C31,105:105)+100</f>
        <v>100</v>
      </c>
      <c r="I31" s="634" t="s">
        <v>3150</v>
      </c>
      <c r="J31" s="435">
        <f>SUMIF(104:104,I31,105:105)-SUMIF(104:104,C31,105:105)+100</f>
        <v>99</v>
      </c>
      <c r="K31" s="673">
        <v>1</v>
      </c>
      <c r="L31" s="1139"/>
      <c r="M31" s="1130"/>
      <c r="N31" s="1130"/>
      <c r="O31" s="1138"/>
      <c r="P31" s="3166"/>
      <c r="Q31" s="1809" t="str">
        <f t="shared" si="8"/>
        <v>临街状况</v>
      </c>
      <c r="R31" s="774" t="s">
        <v>17</v>
      </c>
      <c r="S31" s="775">
        <f t="shared" ref="S31:S45" si="10">F31</f>
        <v>100</v>
      </c>
      <c r="T31" s="774" t="s">
        <v>17</v>
      </c>
      <c r="U31" s="775">
        <f t="shared" ref="U31:U45" si="11">H31</f>
        <v>100</v>
      </c>
      <c r="V31" s="774" t="s">
        <v>17</v>
      </c>
      <c r="W31" s="775">
        <f t="shared" ref="W31:W45" si="12">J31</f>
        <v>99</v>
      </c>
      <c r="X31" s="1812"/>
      <c r="Y31" s="3166"/>
      <c r="Z31" s="1813" t="str">
        <f t="shared" ref="Z31:Z45" si="13">Q31</f>
        <v>临街状况</v>
      </c>
      <c r="AA31" s="1810">
        <f t="shared" si="3"/>
        <v>1</v>
      </c>
      <c r="AB31" s="1810">
        <f t="shared" si="4"/>
        <v>1</v>
      </c>
      <c r="AC31" s="1810">
        <f t="shared" si="5"/>
        <v>1.0101010101010102</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39"/>
      <c r="M32" s="1130"/>
      <c r="N32" s="1130"/>
      <c r="O32" s="1138"/>
      <c r="P32" s="3166"/>
      <c r="Q32" s="1809" t="str">
        <f t="shared" si="8"/>
        <v>毗邻道路的类型与等级</v>
      </c>
      <c r="R32" s="774" t="s">
        <v>17</v>
      </c>
      <c r="S32" s="775">
        <f t="shared" si="10"/>
        <v>100</v>
      </c>
      <c r="T32" s="774" t="s">
        <v>17</v>
      </c>
      <c r="U32" s="775">
        <f t="shared" si="11"/>
        <v>100</v>
      </c>
      <c r="V32" s="774" t="s">
        <v>17</v>
      </c>
      <c r="W32" s="775">
        <f t="shared" si="12"/>
        <v>100</v>
      </c>
      <c r="X32" s="1812"/>
      <c r="Y32" s="3166"/>
      <c r="Z32" s="1813" t="str">
        <f t="shared" si="13"/>
        <v>毗邻道路的类型与等级</v>
      </c>
      <c r="AA32" s="1810">
        <f t="shared" si="3"/>
        <v>1</v>
      </c>
      <c r="AB32" s="1810">
        <f t="shared" si="4"/>
        <v>1</v>
      </c>
      <c r="AC32" s="1810">
        <f t="shared" si="5"/>
        <v>1</v>
      </c>
    </row>
    <row r="33" spans="1:29" ht="15.75" thickBot="1">
      <c r="A33" s="428"/>
      <c r="B33" s="456"/>
      <c r="C33" s="447" t="s">
        <v>3154</v>
      </c>
      <c r="D33" s="448"/>
      <c r="E33" s="2610" t="s">
        <v>3154</v>
      </c>
      <c r="F33" s="448"/>
      <c r="G33" s="2610" t="s">
        <v>3154</v>
      </c>
      <c r="H33" s="448"/>
      <c r="I33" s="447" t="s">
        <v>3154</v>
      </c>
      <c r="J33" s="448"/>
      <c r="K33" s="613"/>
      <c r="L33" s="1139"/>
      <c r="M33" s="1130"/>
      <c r="N33" s="1130"/>
      <c r="O33" s="1138"/>
      <c r="P33" s="3166"/>
      <c r="Q33" s="1809"/>
      <c r="R33" s="774"/>
      <c r="S33" s="775"/>
      <c r="T33" s="774"/>
      <c r="U33" s="775"/>
      <c r="V33" s="774"/>
      <c r="W33" s="775"/>
      <c r="X33" s="1812"/>
      <c r="Y33" s="3166"/>
      <c r="Z33" s="1813"/>
      <c r="AA33" s="1810">
        <v>1</v>
      </c>
      <c r="AB33" s="1810">
        <v>1</v>
      </c>
      <c r="AC33" s="1810">
        <v>1</v>
      </c>
    </row>
    <row r="34" spans="1:29" ht="15" hidden="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66"/>
      <c r="Q34" s="1809" t="str">
        <f t="shared" si="8"/>
        <v>土地级别</v>
      </c>
      <c r="R34" s="774" t="s">
        <v>17</v>
      </c>
      <c r="S34" s="775">
        <f t="shared" si="10"/>
        <v>100</v>
      </c>
      <c r="T34" s="774" t="s">
        <v>17</v>
      </c>
      <c r="U34" s="775">
        <f t="shared" si="11"/>
        <v>100</v>
      </c>
      <c r="V34" s="774" t="s">
        <v>17</v>
      </c>
      <c r="W34" s="775">
        <f t="shared" si="12"/>
        <v>100</v>
      </c>
      <c r="X34" s="1812"/>
      <c r="Y34" s="3166"/>
      <c r="Z34" s="1813" t="str">
        <f t="shared" si="13"/>
        <v>土地级别</v>
      </c>
      <c r="AA34" s="1810">
        <f t="shared" si="3"/>
        <v>1</v>
      </c>
      <c r="AB34" s="1810">
        <f t="shared" si="4"/>
        <v>1</v>
      </c>
      <c r="AC34" s="1810">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66"/>
      <c r="Q35" s="1809">
        <f t="shared" si="8"/>
        <v>111</v>
      </c>
      <c r="R35" s="774" t="s">
        <v>17</v>
      </c>
      <c r="S35" s="775">
        <f t="shared" si="10"/>
        <v>100</v>
      </c>
      <c r="T35" s="774" t="s">
        <v>17</v>
      </c>
      <c r="U35" s="775">
        <f t="shared" si="11"/>
        <v>100</v>
      </c>
      <c r="V35" s="774" t="s">
        <v>17</v>
      </c>
      <c r="W35" s="775">
        <f t="shared" si="12"/>
        <v>100</v>
      </c>
      <c r="X35" s="1812"/>
      <c r="Y35" s="3166"/>
      <c r="Z35" s="1813">
        <f t="shared" si="13"/>
        <v>111</v>
      </c>
      <c r="AA35" s="1810">
        <f t="shared" si="3"/>
        <v>1</v>
      </c>
      <c r="AB35" s="1810">
        <f t="shared" si="4"/>
        <v>1</v>
      </c>
      <c r="AC35" s="1810">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67" t="s">
        <v>2557</v>
      </c>
      <c r="Q36" s="1809">
        <f t="shared" si="8"/>
        <v>111</v>
      </c>
      <c r="R36" s="774" t="s">
        <v>17</v>
      </c>
      <c r="S36" s="775">
        <f t="shared" si="10"/>
        <v>100</v>
      </c>
      <c r="T36" s="774" t="s">
        <v>17</v>
      </c>
      <c r="U36" s="775">
        <f t="shared" si="11"/>
        <v>100</v>
      </c>
      <c r="V36" s="774" t="s">
        <v>17</v>
      </c>
      <c r="W36" s="775">
        <f t="shared" si="12"/>
        <v>100</v>
      </c>
      <c r="X36" s="1812"/>
      <c r="Y36" s="3168" t="s">
        <v>2557</v>
      </c>
      <c r="Z36" s="1813">
        <f t="shared" si="13"/>
        <v>111</v>
      </c>
      <c r="AA36" s="1810">
        <f t="shared" si="3"/>
        <v>1</v>
      </c>
      <c r="AB36" s="1810">
        <f t="shared" si="4"/>
        <v>1</v>
      </c>
      <c r="AC36" s="1810">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68"/>
      <c r="Q37" s="1809">
        <f t="shared" si="8"/>
        <v>111</v>
      </c>
      <c r="R37" s="777" t="s">
        <v>17</v>
      </c>
      <c r="S37" s="778">
        <f t="shared" si="10"/>
        <v>100</v>
      </c>
      <c r="T37" s="777" t="s">
        <v>17</v>
      </c>
      <c r="U37" s="778">
        <f t="shared" si="11"/>
        <v>100</v>
      </c>
      <c r="V37" s="777" t="s">
        <v>17</v>
      </c>
      <c r="W37" s="778">
        <f t="shared" si="12"/>
        <v>100</v>
      </c>
      <c r="X37" s="779"/>
      <c r="Y37" s="3168"/>
      <c r="Z37" s="780">
        <f t="shared" si="13"/>
        <v>111</v>
      </c>
      <c r="AA37" s="1810">
        <f t="shared" si="3"/>
        <v>1</v>
      </c>
      <c r="AB37" s="1810">
        <f t="shared" si="4"/>
        <v>1</v>
      </c>
      <c r="AC37" s="1810">
        <f t="shared" si="5"/>
        <v>1</v>
      </c>
    </row>
    <row r="38" spans="1:29" ht="15">
      <c r="A38" s="472" t="s">
        <v>2555</v>
      </c>
      <c r="B38" s="456" t="s">
        <v>2742</v>
      </c>
      <c r="C38" s="679">
        <v>103644.78</v>
      </c>
      <c r="D38" s="467">
        <v>100</v>
      </c>
      <c r="E38" s="679">
        <v>55990</v>
      </c>
      <c r="F38" s="467">
        <f>LOOKUP(E38,117:117,118:118)-LOOKUP(C38,117:117,118:118)+100</f>
        <v>98</v>
      </c>
      <c r="G38" s="679">
        <v>95433</v>
      </c>
      <c r="H38" s="467">
        <f>LOOKUP(G38,117:117,118:118)-LOOKUP(C38,117:117,118:118)+100</f>
        <v>100</v>
      </c>
      <c r="I38" s="530">
        <v>121700</v>
      </c>
      <c r="J38" s="467">
        <f>LOOKUP(I38,117:117,118:118)-LOOKUP(C38,117:117,118:118)+100</f>
        <v>101</v>
      </c>
      <c r="K38" s="613"/>
      <c r="L38" s="1139"/>
      <c r="M38" s="1130"/>
      <c r="N38" s="1130"/>
      <c r="O38" s="1138"/>
      <c r="P38" s="3168"/>
      <c r="Q38" s="1809" t="str">
        <f>B38</f>
        <v>宗地面积</v>
      </c>
      <c r="R38" s="774" t="s">
        <v>17</v>
      </c>
      <c r="S38" s="775">
        <f t="shared" si="10"/>
        <v>98</v>
      </c>
      <c r="T38" s="774" t="s">
        <v>17</v>
      </c>
      <c r="U38" s="775">
        <f t="shared" si="11"/>
        <v>100</v>
      </c>
      <c r="V38" s="774" t="s">
        <v>17</v>
      </c>
      <c r="W38" s="775">
        <f t="shared" si="12"/>
        <v>101</v>
      </c>
      <c r="X38" s="1812"/>
      <c r="Y38" s="3168"/>
      <c r="Z38" s="1813" t="str">
        <f t="shared" si="13"/>
        <v>宗地面积</v>
      </c>
      <c r="AA38" s="1810">
        <f t="shared" si="3"/>
        <v>1.0204081632653061</v>
      </c>
      <c r="AB38" s="1810">
        <f t="shared" si="4"/>
        <v>1</v>
      </c>
      <c r="AC38" s="1810">
        <f t="shared" si="5"/>
        <v>0.99009900990099009</v>
      </c>
    </row>
    <row r="39" spans="1:29" ht="15">
      <c r="A39" s="472"/>
      <c r="B39" s="422" t="s">
        <v>2743</v>
      </c>
      <c r="C39" s="2612" t="s">
        <v>3158</v>
      </c>
      <c r="D39" s="435">
        <v>100</v>
      </c>
      <c r="E39" s="2612" t="s">
        <v>3158</v>
      </c>
      <c r="F39" s="435">
        <f>SUMIF(119:119,E39,120:120)-SUMIF(119:119,C39,120:120)+100</f>
        <v>100</v>
      </c>
      <c r="G39" s="2612" t="s">
        <v>3158</v>
      </c>
      <c r="H39" s="435">
        <f>SUMIF(119:119,G39,120:120)-SUMIF(119:119,C39,120:120)+100</f>
        <v>100</v>
      </c>
      <c r="I39" s="2612" t="s">
        <v>3158</v>
      </c>
      <c r="J39" s="435">
        <f>SUMIF(119:119,I39,120:120)-SUMIF(119:119,C39,120:120)+100</f>
        <v>100</v>
      </c>
      <c r="K39" s="612">
        <v>2</v>
      </c>
      <c r="L39" s="1139"/>
      <c r="M39" s="1130"/>
      <c r="N39" s="1130"/>
      <c r="O39" s="1138"/>
      <c r="P39" s="3168"/>
      <c r="Q39" s="1809" t="str">
        <f t="shared" ref="Q39:Q45" si="14">B39</f>
        <v>宗地形状</v>
      </c>
      <c r="R39" s="774" t="s">
        <v>17</v>
      </c>
      <c r="S39" s="775">
        <f t="shared" si="10"/>
        <v>100</v>
      </c>
      <c r="T39" s="774" t="s">
        <v>17</v>
      </c>
      <c r="U39" s="775">
        <f t="shared" si="11"/>
        <v>100</v>
      </c>
      <c r="V39" s="774" t="s">
        <v>17</v>
      </c>
      <c r="W39" s="775">
        <f t="shared" si="12"/>
        <v>100</v>
      </c>
      <c r="X39" s="1812"/>
      <c r="Y39" s="3168"/>
      <c r="Z39" s="1813" t="str">
        <f t="shared" si="13"/>
        <v>宗地形状</v>
      </c>
      <c r="AA39" s="1810">
        <f t="shared" si="3"/>
        <v>1</v>
      </c>
      <c r="AB39" s="1810">
        <f t="shared" si="4"/>
        <v>1</v>
      </c>
      <c r="AC39" s="1810">
        <f t="shared" si="5"/>
        <v>1</v>
      </c>
    </row>
    <row r="40" spans="1:29" ht="15" hidden="1">
      <c r="A40" s="472"/>
      <c r="B40" s="422" t="s">
        <v>2744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168"/>
      <c r="Q40" s="1809" t="str">
        <f t="shared" si="14"/>
        <v>临街宽度及深度</v>
      </c>
      <c r="R40" s="774" t="s">
        <v>17</v>
      </c>
      <c r="S40" s="775">
        <f t="shared" si="10"/>
        <v>100</v>
      </c>
      <c r="T40" s="774" t="s">
        <v>17</v>
      </c>
      <c r="U40" s="775">
        <f t="shared" si="11"/>
        <v>100</v>
      </c>
      <c r="V40" s="774" t="s">
        <v>17</v>
      </c>
      <c r="W40" s="775">
        <f t="shared" si="12"/>
        <v>100</v>
      </c>
      <c r="X40" s="1812"/>
      <c r="Y40" s="3168"/>
      <c r="Z40" s="1813" t="str">
        <f t="shared" si="13"/>
        <v>临街宽度及深度</v>
      </c>
      <c r="AA40" s="1810">
        <f t="shared" si="3"/>
        <v>1</v>
      </c>
      <c r="AB40" s="1810">
        <f t="shared" si="4"/>
        <v>1</v>
      </c>
      <c r="AC40" s="1810">
        <f t="shared" si="5"/>
        <v>1</v>
      </c>
    </row>
    <row r="41" spans="1:29" s="117" customFormat="1" ht="15">
      <c r="A41" s="473"/>
      <c r="B41" s="422" t="s">
        <v>2745</v>
      </c>
      <c r="C41" s="2701" t="s">
        <v>3159</v>
      </c>
      <c r="D41" s="136">
        <v>100</v>
      </c>
      <c r="E41" s="2701" t="s">
        <v>3159</v>
      </c>
      <c r="F41" s="435">
        <f>SUMIF(123:123,E41,124:124)-SUMIF(123:123,C41,124:124)+100</f>
        <v>100</v>
      </c>
      <c r="G41" s="2701" t="s">
        <v>3159</v>
      </c>
      <c r="H41" s="435">
        <f>SUMIF(123:123,G41,124:124)-SUMIF(123:123,C41,124:124)+100</f>
        <v>100</v>
      </c>
      <c r="I41" s="2701" t="s">
        <v>3159</v>
      </c>
      <c r="J41" s="435">
        <f>SUMIF(123:123,I41,124:124)-SUMIF(123:123,C41,124:124)+100</f>
        <v>100</v>
      </c>
      <c r="K41" s="612">
        <v>1</v>
      </c>
      <c r="L41" s="1131"/>
      <c r="M41" s="1132"/>
      <c r="N41" s="1132"/>
      <c r="O41" s="1133"/>
      <c r="P41" s="3168"/>
      <c r="Q41" s="1809" t="str">
        <f t="shared" si="14"/>
        <v>宗地开发程度</v>
      </c>
      <c r="R41" s="770" t="s">
        <v>17</v>
      </c>
      <c r="S41" s="771">
        <f t="shared" si="10"/>
        <v>100</v>
      </c>
      <c r="T41" s="770" t="s">
        <v>17</v>
      </c>
      <c r="U41" s="771">
        <f t="shared" si="11"/>
        <v>100</v>
      </c>
      <c r="V41" s="770" t="s">
        <v>17</v>
      </c>
      <c r="W41" s="771">
        <f t="shared" si="12"/>
        <v>100</v>
      </c>
      <c r="X41" s="772"/>
      <c r="Y41" s="3168"/>
      <c r="Z41" s="55" t="str">
        <f t="shared" si="13"/>
        <v>宗地开发程度</v>
      </c>
      <c r="AA41" s="773">
        <f t="shared" si="3"/>
        <v>1</v>
      </c>
      <c r="AB41" s="773">
        <f t="shared" si="4"/>
        <v>1</v>
      </c>
      <c r="AC41" s="773">
        <f t="shared" si="5"/>
        <v>1</v>
      </c>
    </row>
    <row r="42" spans="1:29" ht="15.75" thickBot="1">
      <c r="A42" s="472"/>
      <c r="B42" s="422" t="s">
        <v>2746</v>
      </c>
      <c r="C42" s="2612" t="s">
        <v>3160</v>
      </c>
      <c r="D42" s="435">
        <v>100</v>
      </c>
      <c r="E42" s="2612" t="s">
        <v>3160</v>
      </c>
      <c r="F42" s="435">
        <f>SUMIF(125:125,E42,126:126)-SUMIF(125:125,C42,126:126)+100</f>
        <v>100</v>
      </c>
      <c r="G42" s="2612" t="s">
        <v>3160</v>
      </c>
      <c r="H42" s="435">
        <f>SUMIF(125:125,G42,126:126)-SUMIF(125:125,C42,126:126)+100</f>
        <v>100</v>
      </c>
      <c r="I42" s="2612" t="s">
        <v>3160</v>
      </c>
      <c r="J42" s="435">
        <f>SUMIF(125:125,I42,126:126)-SUMIF(125:125,C42,126:126)+100</f>
        <v>100</v>
      </c>
      <c r="K42" s="612">
        <v>2</v>
      </c>
      <c r="L42" s="1139"/>
      <c r="M42" s="1130"/>
      <c r="N42" s="1130"/>
      <c r="O42" s="1138"/>
      <c r="P42" s="3168" t="s">
        <v>2557</v>
      </c>
      <c r="Q42" s="1809" t="str">
        <f t="shared" si="14"/>
        <v>工程地质条件</v>
      </c>
      <c r="R42" s="774" t="s">
        <v>17</v>
      </c>
      <c r="S42" s="775">
        <f t="shared" si="10"/>
        <v>100</v>
      </c>
      <c r="T42" s="774" t="s">
        <v>17</v>
      </c>
      <c r="U42" s="775">
        <f t="shared" si="11"/>
        <v>100</v>
      </c>
      <c r="V42" s="774" t="s">
        <v>17</v>
      </c>
      <c r="W42" s="775">
        <f t="shared" si="12"/>
        <v>100</v>
      </c>
      <c r="X42" s="1812"/>
      <c r="Y42" s="3168" t="s">
        <v>2557</v>
      </c>
      <c r="Z42" s="1813" t="str">
        <f t="shared" si="13"/>
        <v>工程地质条件</v>
      </c>
      <c r="AA42" s="1810">
        <f t="shared" si="3"/>
        <v>1</v>
      </c>
      <c r="AB42" s="1810">
        <f t="shared" si="4"/>
        <v>1</v>
      </c>
      <c r="AC42" s="1810">
        <f t="shared" si="5"/>
        <v>1</v>
      </c>
    </row>
    <row r="43" spans="1:29" ht="15" hidden="1">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68"/>
      <c r="Q43" s="1809">
        <f t="shared" si="14"/>
        <v>111</v>
      </c>
      <c r="R43" s="774" t="s">
        <v>17</v>
      </c>
      <c r="S43" s="775">
        <f t="shared" si="10"/>
        <v>100</v>
      </c>
      <c r="T43" s="774" t="s">
        <v>17</v>
      </c>
      <c r="U43" s="775">
        <f t="shared" si="11"/>
        <v>100</v>
      </c>
      <c r="V43" s="774" t="s">
        <v>17</v>
      </c>
      <c r="W43" s="775">
        <f t="shared" si="12"/>
        <v>100</v>
      </c>
      <c r="X43" s="1812"/>
      <c r="Y43" s="3168"/>
      <c r="Z43" s="1813">
        <f t="shared" si="13"/>
        <v>111</v>
      </c>
      <c r="AA43" s="1810">
        <f t="shared" si="3"/>
        <v>1</v>
      </c>
      <c r="AB43" s="1810">
        <f t="shared" si="4"/>
        <v>1</v>
      </c>
      <c r="AC43" s="1810">
        <f t="shared" si="5"/>
        <v>1</v>
      </c>
    </row>
    <row r="44" spans="1:29" ht="15" hidden="1">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68"/>
      <c r="Q44" s="1809">
        <f t="shared" si="14"/>
        <v>111</v>
      </c>
      <c r="R44" s="774" t="s">
        <v>17</v>
      </c>
      <c r="S44" s="775">
        <f t="shared" si="10"/>
        <v>100</v>
      </c>
      <c r="T44" s="774" t="s">
        <v>17</v>
      </c>
      <c r="U44" s="775">
        <f t="shared" si="11"/>
        <v>100</v>
      </c>
      <c r="V44" s="774" t="s">
        <v>17</v>
      </c>
      <c r="W44" s="775">
        <f t="shared" si="12"/>
        <v>100</v>
      </c>
      <c r="X44" s="1812"/>
      <c r="Y44" s="3168"/>
      <c r="Z44" s="1813">
        <f t="shared" si="13"/>
        <v>111</v>
      </c>
      <c r="AA44" s="1810">
        <f t="shared" si="3"/>
        <v>1</v>
      </c>
      <c r="AB44" s="1810">
        <f t="shared" si="4"/>
        <v>1</v>
      </c>
      <c r="AC44" s="1810">
        <f t="shared" si="5"/>
        <v>1</v>
      </c>
    </row>
    <row r="45" spans="1:29" s="471" customFormat="1" ht="15.75" hidden="1"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68"/>
      <c r="Q45" s="1809">
        <f t="shared" si="14"/>
        <v>111</v>
      </c>
      <c r="R45" s="777" t="s">
        <v>17</v>
      </c>
      <c r="S45" s="778">
        <f t="shared" si="10"/>
        <v>100</v>
      </c>
      <c r="T45" s="777" t="s">
        <v>17</v>
      </c>
      <c r="U45" s="778">
        <f t="shared" si="11"/>
        <v>100</v>
      </c>
      <c r="V45" s="777" t="s">
        <v>17</v>
      </c>
      <c r="W45" s="778">
        <f t="shared" si="12"/>
        <v>100</v>
      </c>
      <c r="X45" s="779"/>
      <c r="Y45" s="3168"/>
      <c r="Z45" s="780">
        <f t="shared" si="13"/>
        <v>111</v>
      </c>
      <c r="AA45" s="1810">
        <f t="shared" si="3"/>
        <v>1</v>
      </c>
      <c r="AB45" s="1810">
        <f t="shared" si="4"/>
        <v>1</v>
      </c>
      <c r="AC45" s="1810">
        <f t="shared" si="5"/>
        <v>1</v>
      </c>
    </row>
    <row r="46" spans="1:29" ht="15">
      <c r="A46" s="479" t="s">
        <v>2712</v>
      </c>
      <c r="B46" s="2703" t="s">
        <v>2747</v>
      </c>
      <c r="C46" s="682" t="s">
        <v>1</v>
      </c>
      <c r="D46" s="481"/>
      <c r="E46" s="482">
        <v>8397</v>
      </c>
      <c r="F46" s="483"/>
      <c r="G46" s="484">
        <v>8390</v>
      </c>
      <c r="H46" s="485"/>
      <c r="I46" s="482">
        <v>9074</v>
      </c>
      <c r="J46" s="485"/>
      <c r="K46" s="783"/>
      <c r="L46" s="1142"/>
      <c r="M46" s="1143"/>
      <c r="N46" s="1130"/>
      <c r="O46" s="1143"/>
      <c r="P46" s="3163" t="str">
        <f>A46</f>
        <v>成交单价</v>
      </c>
      <c r="Q46" s="3163"/>
      <c r="R46" s="3169">
        <f>E46</f>
        <v>8397</v>
      </c>
      <c r="S46" s="3169"/>
      <c r="T46" s="3169">
        <f>G46</f>
        <v>8390</v>
      </c>
      <c r="U46" s="3169"/>
      <c r="V46" s="3169">
        <f>I46</f>
        <v>9074</v>
      </c>
      <c r="W46" s="3169"/>
      <c r="X46" s="759"/>
      <c r="Y46" s="781"/>
      <c r="Z46" s="759"/>
      <c r="AA46" s="759"/>
      <c r="AB46" s="759"/>
      <c r="AC46" s="759"/>
    </row>
    <row r="47" spans="1:29" ht="15.75" thickBot="1">
      <c r="A47" s="486" t="s">
        <v>2661</v>
      </c>
      <c r="B47" s="683"/>
      <c r="C47" s="490">
        <f>R48</f>
        <v>9385</v>
      </c>
      <c r="D47" s="489"/>
      <c r="E47" s="490">
        <f>R47</f>
        <v>9201</v>
      </c>
      <c r="F47" s="491"/>
      <c r="G47" s="488">
        <f>T47</f>
        <v>9010</v>
      </c>
      <c r="H47" s="489"/>
      <c r="I47" s="490">
        <f>V47</f>
        <v>9943</v>
      </c>
      <c r="J47" s="489"/>
      <c r="K47" s="784"/>
      <c r="L47" s="1142"/>
      <c r="M47" s="1143"/>
      <c r="N47" s="1143"/>
      <c r="O47" s="1143"/>
      <c r="P47" s="3163" t="str">
        <f>A47</f>
        <v>比较价值（元/平方米）</v>
      </c>
      <c r="Q47" s="3163"/>
      <c r="R47" s="3156">
        <f>ROUND(PRODUCT(R46,AA7:AA45),0)</f>
        <v>9201</v>
      </c>
      <c r="S47" s="3156"/>
      <c r="T47" s="3156">
        <f>ROUND(PRODUCT(T46,AB7:AB45),0)</f>
        <v>9010</v>
      </c>
      <c r="U47" s="3156"/>
      <c r="V47" s="3156">
        <f>ROUND(PRODUCT(V46,AC7:AC45),0)</f>
        <v>9943</v>
      </c>
      <c r="W47" s="3156"/>
      <c r="X47" s="759"/>
      <c r="Y47" s="759"/>
      <c r="Z47" s="759"/>
      <c r="AA47" s="759"/>
      <c r="AB47" s="759"/>
      <c r="AC47" s="759"/>
    </row>
    <row r="48" spans="1:29" ht="15.75" thickBot="1">
      <c r="A48" s="492" t="s">
        <v>2748</v>
      </c>
      <c r="B48" s="493"/>
      <c r="C48" s="494">
        <f>R48</f>
        <v>9385</v>
      </c>
      <c r="D48" s="494"/>
      <c r="E48" s="494"/>
      <c r="F48" s="494"/>
      <c r="G48" s="494"/>
      <c r="H48" s="494"/>
      <c r="I48" s="494"/>
      <c r="J48" s="494"/>
      <c r="K48" s="785"/>
      <c r="L48" s="1142"/>
      <c r="M48" s="1143"/>
      <c r="N48" s="1143"/>
      <c r="O48" s="1143"/>
      <c r="P48" s="3157" t="str">
        <f>A48</f>
        <v>估价对象XX用房的比较价值（楼面单价，元/平方米）</v>
      </c>
      <c r="Q48" s="3158"/>
      <c r="R48" s="3159">
        <f>ROUND(AVERAGE(R47:V47),0)</f>
        <v>9385</v>
      </c>
      <c r="S48" s="3159"/>
      <c r="T48" s="3159"/>
      <c r="U48" s="3159"/>
      <c r="V48" s="3159"/>
      <c r="W48" s="315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2663</v>
      </c>
      <c r="D51" s="498"/>
      <c r="E51" s="499">
        <f>IF(E46&lt;E47,E47/E46-1,E46/E47-1)</f>
        <v>9.5748481600571589E-2</v>
      </c>
      <c r="F51" s="500" t="str">
        <f>IF(OR(E51&gt;=0.3,E51&lt;=-0.3),"超过30%","")</f>
        <v/>
      </c>
      <c r="G51" s="499">
        <f>IF(G46&lt;G47,G47/G46-1,G46/G47-1)</f>
        <v>7.3897497020262159E-2</v>
      </c>
      <c r="H51" s="500" t="str">
        <f>IF(OR(G51&gt;=0.3,G51&lt;=-0.3),"超过30%","")</f>
        <v/>
      </c>
      <c r="I51" s="499">
        <f>IF(I46&lt;I47,I47/I46-1,I46/I47-1)</f>
        <v>9.5768128719418089E-2</v>
      </c>
      <c r="J51" s="500" t="str">
        <f>IF(OR(I51&gt;=0.3,I51&lt;=-0.3),"超过30%","")</f>
        <v/>
      </c>
      <c r="K51" s="1104"/>
      <c r="L51" s="1105"/>
      <c r="M51" s="1143"/>
      <c r="N51" s="1143"/>
      <c r="O51" s="1143"/>
    </row>
    <row r="52" spans="1:15" ht="13.5" customHeight="1">
      <c r="A52" s="1143"/>
      <c r="B52" s="1143"/>
      <c r="C52" s="497" t="s">
        <v>2664</v>
      </c>
      <c r="D52" s="501"/>
      <c r="E52" s="499">
        <f>IF(E47&lt;G47,G47/E47-1,E47/G47-1)</f>
        <v>2.1198668146503952E-2</v>
      </c>
      <c r="F52" s="500" t="str">
        <f>IF(OR(E52&gt;=0.2,E52&lt;=-0.2),"超过20%","")</f>
        <v/>
      </c>
      <c r="G52" s="499">
        <f>IF(G47&lt;I47,I47/G47-1,G47/I47-1)</f>
        <v>0.10355160932297447</v>
      </c>
      <c r="H52" s="500" t="str">
        <f>IF(OR(G52&gt;=0.2,G52&lt;=-0.2),"超过20%","")</f>
        <v/>
      </c>
      <c r="I52" s="499">
        <f>IF(I47&lt;E47,E47/I47-1,I47/E47-1)</f>
        <v>8.0643408325182131E-2</v>
      </c>
      <c r="J52" s="500" t="str">
        <f>IF(OR(I52&gt;=0.2,I52&lt;=-0.2),"超过20%","")</f>
        <v/>
      </c>
      <c r="K52" s="1104"/>
      <c r="L52" s="1105"/>
      <c r="M52" s="1143"/>
      <c r="N52" s="1143"/>
      <c r="O52" s="1143"/>
    </row>
    <row r="53" spans="1:15" s="502" customFormat="1" ht="13.5" customHeight="1">
      <c r="A53" s="1144"/>
      <c r="B53" s="1144"/>
      <c r="C53" s="497" t="s">
        <v>2665</v>
      </c>
      <c r="D53" s="501"/>
      <c r="E53" s="499">
        <f>IF(E46&lt;G46,G46/E46-1,E46/G46-1)</f>
        <v>8.3432657926096887E-4</v>
      </c>
      <c r="F53" s="500" t="str">
        <f>IF(OR(E53&gt;=0.3,E53&lt;=-0.3),"超过30%","")</f>
        <v/>
      </c>
      <c r="G53" s="499">
        <f>IF(G46&lt;I46,I46/G46-1,G46/I46-1)</f>
        <v>8.1525625744934382E-2</v>
      </c>
      <c r="H53" s="500" t="str">
        <f>IF(OR(G53&gt;=0.3,G53&lt;=-0.3),"超过30%","")</f>
        <v/>
      </c>
      <c r="I53" s="499">
        <f>IF(I46&lt;E46,E46/I46-1,I46/E46-1)</f>
        <v>8.0624032392521139E-2</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2749</v>
      </c>
      <c r="B55" s="685" t="s">
        <v>2750</v>
      </c>
      <c r="C55" s="2704" t="s">
        <v>2751</v>
      </c>
      <c r="D55" s="2705" t="s">
        <v>2752</v>
      </c>
      <c r="E55" s="686" t="s">
        <v>2753</v>
      </c>
      <c r="F55" s="1106" t="s">
        <v>2754</v>
      </c>
      <c r="G55" s="3160" t="s">
        <v>2755</v>
      </c>
      <c r="H55" s="3161"/>
      <c r="I55" s="144" t="s">
        <v>2756</v>
      </c>
      <c r="J55" s="2706" t="str">
        <f>项目基本情况!F35</f>
        <v>武汉</v>
      </c>
      <c r="K55" s="2707" t="s">
        <v>2757</v>
      </c>
      <c r="L55" s="1105"/>
      <c r="M55" s="1143"/>
      <c r="N55" s="1143"/>
      <c r="O55" s="1143"/>
    </row>
    <row r="56" spans="1:15" s="692" customFormat="1">
      <c r="A56" s="688" t="s">
        <v>2758</v>
      </c>
      <c r="B56" s="689">
        <f>C48</f>
        <v>9385</v>
      </c>
      <c r="C56" s="690">
        <v>1</v>
      </c>
      <c r="D56" s="1162">
        <v>1</v>
      </c>
      <c r="E56" s="690">
        <f>'数据-汇总表'!E8+'数据-汇总表'!E9</f>
        <v>485091.66000000003</v>
      </c>
      <c r="F56" s="1102">
        <f t="shared" ref="F56:F65" si="15">ROUND(B56*E56/10000,0)</f>
        <v>455259</v>
      </c>
      <c r="G56" s="3162"/>
      <c r="H56" s="3163"/>
      <c r="I56" s="1107">
        <v>1</v>
      </c>
      <c r="J56" s="1110">
        <v>1</v>
      </c>
      <c r="K56" s="1144"/>
      <c r="L56" s="940"/>
      <c r="M56" s="940"/>
      <c r="N56" s="940"/>
      <c r="O56" s="940"/>
    </row>
    <row r="57" spans="1:15" s="692" customFormat="1">
      <c r="A57" s="693" t="s">
        <v>2759</v>
      </c>
      <c r="B57" s="262">
        <f>ROUND($C$48*C57*D57,0)</f>
        <v>0</v>
      </c>
      <c r="C57" s="200">
        <f t="shared" ref="C57:C65" si="16">IF($C$55="北京市系数",I57,J57)</f>
        <v>0</v>
      </c>
      <c r="D57" s="1163">
        <v>0.25</v>
      </c>
      <c r="E57" s="694"/>
      <c r="F57" s="1102">
        <f t="shared" si="15"/>
        <v>0</v>
      </c>
      <c r="G57" s="3164" t="s">
        <v>2760</v>
      </c>
      <c r="H57" s="1103">
        <f>项目基本情况!B37</f>
        <v>0</v>
      </c>
      <c r="I57" s="1107">
        <f>SUMIF(修正!A45:A56,H57,修正!B45:B56)</f>
        <v>0</v>
      </c>
      <c r="J57" s="1111"/>
      <c r="K57" s="1143"/>
      <c r="L57" s="940"/>
      <c r="M57" s="940"/>
      <c r="N57" s="940"/>
      <c r="O57" s="940"/>
    </row>
    <row r="58" spans="1:15" s="692" customFormat="1">
      <c r="A58" s="693" t="s">
        <v>2761</v>
      </c>
      <c r="B58" s="262">
        <f t="shared" ref="B58:B65" si="17">ROUND($C$48*C58*D58,0)</f>
        <v>0</v>
      </c>
      <c r="C58" s="200">
        <f t="shared" si="16"/>
        <v>0</v>
      </c>
      <c r="D58" s="1163">
        <v>0.25</v>
      </c>
      <c r="E58" s="694"/>
      <c r="F58" s="1102">
        <f t="shared" si="15"/>
        <v>0</v>
      </c>
      <c r="G58" s="3164"/>
      <c r="H58" s="1103">
        <f>项目基本情况!B37</f>
        <v>0</v>
      </c>
      <c r="I58" s="1107">
        <f>SUMIF(修正!A45:A56,H58,修正!C45:C56)</f>
        <v>0</v>
      </c>
      <c r="J58" s="1111"/>
      <c r="K58" s="1144"/>
      <c r="L58" s="940"/>
      <c r="M58" s="940"/>
      <c r="N58" s="940"/>
      <c r="O58" s="940"/>
    </row>
    <row r="59" spans="1:15" s="692" customFormat="1">
      <c r="A59" s="693" t="s">
        <v>2762</v>
      </c>
      <c r="B59" s="262">
        <f t="shared" si="17"/>
        <v>0</v>
      </c>
      <c r="C59" s="200">
        <f t="shared" si="16"/>
        <v>0</v>
      </c>
      <c r="D59" s="1163">
        <v>0.25</v>
      </c>
      <c r="E59" s="694"/>
      <c r="F59" s="1102">
        <f t="shared" si="15"/>
        <v>0</v>
      </c>
      <c r="G59" s="3164"/>
      <c r="H59" s="1103">
        <f>项目基本情况!B37</f>
        <v>0</v>
      </c>
      <c r="I59" s="1107">
        <f>SUMIF(修正!A45:A56,H59,修正!D45:D56)</f>
        <v>0</v>
      </c>
      <c r="J59" s="1111"/>
      <c r="K59" s="1143"/>
      <c r="L59" s="940"/>
      <c r="M59" s="940"/>
      <c r="N59" s="940"/>
      <c r="O59" s="940"/>
    </row>
    <row r="60" spans="1:15" s="692" customFormat="1">
      <c r="A60" s="693" t="s">
        <v>2763</v>
      </c>
      <c r="B60" s="262">
        <f t="shared" si="17"/>
        <v>0</v>
      </c>
      <c r="C60" s="200">
        <f t="shared" si="16"/>
        <v>0</v>
      </c>
      <c r="D60" s="1163">
        <v>0.25</v>
      </c>
      <c r="E60" s="694"/>
      <c r="F60" s="1102">
        <f t="shared" si="15"/>
        <v>0</v>
      </c>
      <c r="G60" s="3164"/>
      <c r="H60" s="1103">
        <f>项目基本情况!B37</f>
        <v>0</v>
      </c>
      <c r="I60" s="1107">
        <f>SUMIF(修正!A45:A56,H60,修正!E45:E56)</f>
        <v>0</v>
      </c>
      <c r="J60" s="1111"/>
      <c r="K60" s="1144"/>
      <c r="L60" s="940"/>
      <c r="M60" s="940"/>
      <c r="N60" s="940"/>
      <c r="O60" s="940"/>
    </row>
    <row r="61" spans="1:15" s="692" customFormat="1">
      <c r="A61" s="693" t="s">
        <v>2764</v>
      </c>
      <c r="B61" s="262">
        <f t="shared" si="17"/>
        <v>0</v>
      </c>
      <c r="C61" s="200">
        <f t="shared" si="16"/>
        <v>0</v>
      </c>
      <c r="D61" s="1163">
        <v>0.25</v>
      </c>
      <c r="E61" s="261">
        <f>'数据-汇总表'!E11</f>
        <v>0</v>
      </c>
      <c r="F61" s="1102">
        <f t="shared" si="15"/>
        <v>0</v>
      </c>
      <c r="G61" s="2708" t="s">
        <v>2765</v>
      </c>
      <c r="H61" s="1103">
        <f>项目基本情况!C37</f>
        <v>0</v>
      </c>
      <c r="I61" s="1107">
        <f>SUMIF(修正!A45:A56,H61,修正!F45:F56)</f>
        <v>0</v>
      </c>
      <c r="J61" s="1111"/>
      <c r="K61" s="1143"/>
      <c r="L61" s="940"/>
      <c r="M61" s="940"/>
      <c r="N61" s="940"/>
      <c r="O61" s="940"/>
    </row>
    <row r="62" spans="1:15" s="692" customFormat="1">
      <c r="A62" s="693" t="s">
        <v>2766</v>
      </c>
      <c r="B62" s="262">
        <f t="shared" si="17"/>
        <v>0</v>
      </c>
      <c r="C62" s="200">
        <f t="shared" si="16"/>
        <v>0</v>
      </c>
      <c r="D62" s="1163">
        <v>0.25</v>
      </c>
      <c r="E62" s="261">
        <f>'数据-汇总表'!E12</f>
        <v>0</v>
      </c>
      <c r="F62" s="1102">
        <f t="shared" si="15"/>
        <v>0</v>
      </c>
      <c r="G62" s="1108" t="s">
        <v>2767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2768</v>
      </c>
      <c r="B63" s="262">
        <f t="shared" si="17"/>
        <v>0</v>
      </c>
      <c r="C63" s="200">
        <f t="shared" si="16"/>
        <v>0</v>
      </c>
      <c r="D63" s="1163">
        <v>0.25</v>
      </c>
      <c r="E63" s="261">
        <f>'数据-汇总表'!E13</f>
        <v>124699.67</v>
      </c>
      <c r="F63" s="1102">
        <f t="shared" si="15"/>
        <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f t="shared" si="17"/>
        <v>0</v>
      </c>
      <c r="C64" s="200">
        <f t="shared" si="16"/>
        <v>0</v>
      </c>
      <c r="D64" s="1163">
        <v>0.25</v>
      </c>
      <c r="E64" s="261">
        <f>'数据-汇总表'!E14</f>
        <v>0</v>
      </c>
      <c r="F64" s="1102">
        <f t="shared" si="15"/>
        <v>0</v>
      </c>
      <c r="G64" s="2708" t="s">
        <v>2760</v>
      </c>
      <c r="H64" s="1103">
        <f>项目基本情况!B37</f>
        <v>0</v>
      </c>
      <c r="I64" s="1107">
        <f>SUMIF(修正!A45:A56,H64,修正!H45:H56)</f>
        <v>0</v>
      </c>
      <c r="J64" s="1111"/>
      <c r="K64" s="1144"/>
      <c r="L64" s="940"/>
      <c r="M64" s="940"/>
      <c r="N64" s="940"/>
      <c r="O64" s="940"/>
    </row>
    <row r="65" spans="1:17" s="692" customFormat="1" ht="15" thickBot="1">
      <c r="A65" s="693" t="s">
        <v>2771</v>
      </c>
      <c r="B65" s="262">
        <f t="shared" si="17"/>
        <v>0</v>
      </c>
      <c r="C65" s="200">
        <f t="shared" si="16"/>
        <v>0</v>
      </c>
      <c r="D65" s="1163">
        <v>0.25</v>
      </c>
      <c r="E65" s="261">
        <f>'数据-汇总表'!E15</f>
        <v>0</v>
      </c>
      <c r="F65" s="1102">
        <f t="shared" si="15"/>
        <v>0</v>
      </c>
      <c r="G65" s="2709" t="s">
        <v>2765</v>
      </c>
      <c r="H65" s="1113">
        <f>项目基本情况!C37</f>
        <v>0</v>
      </c>
      <c r="I65" s="1109">
        <f>SUMIF(修正!A45:A56,H65,修正!H45:H56)</f>
        <v>0</v>
      </c>
      <c r="J65" s="1112"/>
      <c r="K65" s="1143"/>
      <c r="L65" s="940"/>
      <c r="M65" s="940"/>
      <c r="N65" s="940"/>
      <c r="O65" s="940"/>
    </row>
    <row r="66" spans="1:17" s="692" customFormat="1" ht="13.5" thickBot="1">
      <c r="A66" s="695" t="s">
        <v>2772</v>
      </c>
      <c r="B66" s="696" t="s">
        <v>28</v>
      </c>
      <c r="C66" s="696" t="s">
        <v>29</v>
      </c>
      <c r="D66" s="696" t="s">
        <v>1029</v>
      </c>
      <c r="E66" s="696">
        <f>IF(B46="楼面地价",SUM(E56:E65),'数据-汇总表'!D3)</f>
        <v>609791.33000000007</v>
      </c>
      <c r="F66" s="697">
        <f>IF(B46="楼面地价",SUM(F56:F65),ROUND(C48*E66/10000,0))</f>
        <v>455259</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2666</v>
      </c>
      <c r="B69" s="759"/>
      <c r="C69" s="764"/>
      <c r="D69" s="764"/>
      <c r="E69" s="764"/>
      <c r="F69" s="765"/>
      <c r="G69" s="765"/>
      <c r="H69" s="764"/>
      <c r="I69" s="764"/>
      <c r="J69" s="1158"/>
      <c r="K69" s="1159"/>
      <c r="L69" s="1160"/>
      <c r="M69" s="1158"/>
      <c r="N69" s="1158"/>
      <c r="O69" s="1158"/>
      <c r="P69" s="503"/>
      <c r="Q69" s="504"/>
    </row>
    <row r="70" spans="1:17" s="508" customFormat="1" ht="15">
      <c r="A70" s="2710" t="s">
        <v>2773</v>
      </c>
      <c r="B70" s="1358"/>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11" t="s">
        <v>2774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2946" t="s">
        <v>3146</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75" thickTop="1">
      <c r="A90" s="534"/>
      <c r="B90" s="538" t="s">
        <v>2775</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2"/>
      <c r="O95" s="1152"/>
      <c r="P95" s="45"/>
      <c r="Q95" s="504"/>
    </row>
    <row r="96" spans="1:17" s="117" customFormat="1" ht="15.75" thickTop="1">
      <c r="A96" s="579"/>
      <c r="B96" s="538" t="s">
        <v>2776</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2"/>
      <c r="O105" s="1152"/>
      <c r="P105" s="45"/>
      <c r="Q105" s="504"/>
    </row>
    <row r="106" spans="1:17" ht="27.75" thickTop="1">
      <c r="A106" s="534"/>
      <c r="B106" s="538" t="s">
        <v>2683</v>
      </c>
      <c r="C106" s="2947" t="s">
        <v>3151</v>
      </c>
      <c r="D106" s="2947" t="s">
        <v>3152</v>
      </c>
      <c r="E106" s="2947" t="s">
        <v>3153</v>
      </c>
      <c r="F106" s="554"/>
      <c r="G106" s="554"/>
      <c r="H106" s="583"/>
      <c r="I106" s="583"/>
      <c r="J106" s="583"/>
      <c r="K106" s="584"/>
      <c r="L106" s="585"/>
      <c r="M106" s="586"/>
      <c r="N106" s="1151"/>
      <c r="O106" s="1151"/>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2555</v>
      </c>
      <c r="B116" s="528" t="s">
        <v>2782</v>
      </c>
      <c r="C116" s="529" t="str">
        <f>C117&amp;"(含)"&amp;"-"&amp;D117</f>
        <v>0(含)-30000</v>
      </c>
      <c r="D116" s="529" t="str">
        <f t="shared" ref="D116:M116" si="25">D117&amp;"(含)"&amp;"-"&amp;E117</f>
        <v>30000(含)-60000</v>
      </c>
      <c r="E116" s="529" t="str">
        <f t="shared" si="25"/>
        <v>60000(含)-90000</v>
      </c>
      <c r="F116" s="529" t="str">
        <f t="shared" si="25"/>
        <v>90000(含)-120000</v>
      </c>
      <c r="G116" s="529" t="str">
        <f t="shared" si="25"/>
        <v>120000(含)-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1"/>
      <c r="O117" s="1151"/>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2"/>
      <c r="O118" s="1152"/>
      <c r="P118" s="45"/>
      <c r="Q118" s="504"/>
    </row>
    <row r="119" spans="1:17" ht="15" thickTop="1">
      <c r="A119" s="599"/>
      <c r="B119" s="538" t="s">
        <v>2783</v>
      </c>
      <c r="C119" s="2948" t="s">
        <v>3155</v>
      </c>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2947" t="s">
        <v>3156</v>
      </c>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3"/>
      <c r="O124" s="1153"/>
      <c r="P124" s="558"/>
      <c r="Q124" s="559"/>
    </row>
    <row r="125" spans="1:17" ht="15" thickTop="1">
      <c r="A125" s="599"/>
      <c r="B125" s="538" t="s">
        <v>2786</v>
      </c>
      <c r="C125" s="2947" t="s">
        <v>3157</v>
      </c>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9"/>
  <sheetViews>
    <sheetView zoomScale="80" zoomScaleNormal="80" workbookViewId="0">
      <selection activeCell="A12" sqref="A12"/>
    </sheetView>
  </sheetViews>
  <sheetFormatPr defaultRowHeight="13.5"/>
  <cols>
    <col min="1" max="1" width="56.125" style="1634" customWidth="1"/>
    <col min="2" max="2" width="6.25" style="1634" customWidth="1"/>
    <col min="3" max="5" width="13.875" style="1634" customWidth="1"/>
    <col min="6" max="6" width="8.875" style="1634" customWidth="1"/>
    <col min="7" max="7" width="7.875" style="1634" customWidth="1"/>
    <col min="8" max="8" width="12.125" style="1634" customWidth="1"/>
    <col min="9" max="10" width="10.625" style="1634" customWidth="1"/>
    <col min="11" max="11" width="14.375" style="1634" customWidth="1"/>
    <col min="12" max="12" width="8.25" style="1634" customWidth="1"/>
    <col min="13" max="13" width="35.375" style="1634" customWidth="1"/>
    <col min="14" max="256" width="9" style="1634"/>
    <col min="257" max="257" width="49.25" style="1634" customWidth="1"/>
    <col min="258" max="258" width="6.25" style="1634" customWidth="1"/>
    <col min="259" max="261" width="13.875" style="1634" customWidth="1"/>
    <col min="262" max="262" width="8.875" style="1634" customWidth="1"/>
    <col min="263" max="263" width="7.875" style="1634" customWidth="1"/>
    <col min="264" max="264" width="9" style="1634" customWidth="1"/>
    <col min="265" max="266" width="10.625" style="1634" customWidth="1"/>
    <col min="267" max="267" width="14.375" style="1634" customWidth="1"/>
    <col min="268" max="268" width="6.25" style="1634" customWidth="1"/>
    <col min="269" max="269" width="27.75" style="1634" customWidth="1"/>
    <col min="270" max="512" width="9" style="1634"/>
    <col min="513" max="513" width="49.25" style="1634" customWidth="1"/>
    <col min="514" max="514" width="6.25" style="1634" customWidth="1"/>
    <col min="515" max="517" width="13.875" style="1634" customWidth="1"/>
    <col min="518" max="518" width="8.875" style="1634" customWidth="1"/>
    <col min="519" max="519" width="7.875" style="1634" customWidth="1"/>
    <col min="520" max="520" width="9" style="1634" customWidth="1"/>
    <col min="521" max="522" width="10.625" style="1634" customWidth="1"/>
    <col min="523" max="523" width="14.375" style="1634" customWidth="1"/>
    <col min="524" max="524" width="6.25" style="1634" customWidth="1"/>
    <col min="525" max="525" width="27.75" style="1634" customWidth="1"/>
    <col min="526" max="768" width="9" style="1634"/>
    <col min="769" max="769" width="49.25" style="1634" customWidth="1"/>
    <col min="770" max="770" width="6.25" style="1634" customWidth="1"/>
    <col min="771" max="773" width="13.875" style="1634" customWidth="1"/>
    <col min="774" max="774" width="8.875" style="1634" customWidth="1"/>
    <col min="775" max="775" width="7.875" style="1634" customWidth="1"/>
    <col min="776" max="776" width="9" style="1634" customWidth="1"/>
    <col min="777" max="778" width="10.625" style="1634" customWidth="1"/>
    <col min="779" max="779" width="14.375" style="1634" customWidth="1"/>
    <col min="780" max="780" width="6.25" style="1634" customWidth="1"/>
    <col min="781" max="781" width="27.75" style="1634" customWidth="1"/>
    <col min="782" max="1024" width="9" style="1634"/>
    <col min="1025" max="1025" width="49.25" style="1634" customWidth="1"/>
    <col min="1026" max="1026" width="6.25" style="1634" customWidth="1"/>
    <col min="1027" max="1029" width="13.875" style="1634" customWidth="1"/>
    <col min="1030" max="1030" width="8.875" style="1634" customWidth="1"/>
    <col min="1031" max="1031" width="7.875" style="1634" customWidth="1"/>
    <col min="1032" max="1032" width="9" style="1634" customWidth="1"/>
    <col min="1033" max="1034" width="10.625" style="1634" customWidth="1"/>
    <col min="1035" max="1035" width="14.375" style="1634" customWidth="1"/>
    <col min="1036" max="1036" width="6.25" style="1634" customWidth="1"/>
    <col min="1037" max="1037" width="27.75" style="1634" customWidth="1"/>
    <col min="1038" max="1280" width="9" style="1634"/>
    <col min="1281" max="1281" width="49.25" style="1634" customWidth="1"/>
    <col min="1282" max="1282" width="6.25" style="1634" customWidth="1"/>
    <col min="1283" max="1285" width="13.875" style="1634" customWidth="1"/>
    <col min="1286" max="1286" width="8.875" style="1634" customWidth="1"/>
    <col min="1287" max="1287" width="7.875" style="1634" customWidth="1"/>
    <col min="1288" max="1288" width="9" style="1634" customWidth="1"/>
    <col min="1289" max="1290" width="10.625" style="1634" customWidth="1"/>
    <col min="1291" max="1291" width="14.375" style="1634" customWidth="1"/>
    <col min="1292" max="1292" width="6.25" style="1634" customWidth="1"/>
    <col min="1293" max="1293" width="27.75" style="1634" customWidth="1"/>
    <col min="1294" max="1536" width="9" style="1634"/>
    <col min="1537" max="1537" width="49.25" style="1634" customWidth="1"/>
    <col min="1538" max="1538" width="6.25" style="1634" customWidth="1"/>
    <col min="1539" max="1541" width="13.875" style="1634" customWidth="1"/>
    <col min="1542" max="1542" width="8.875" style="1634" customWidth="1"/>
    <col min="1543" max="1543" width="7.875" style="1634" customWidth="1"/>
    <col min="1544" max="1544" width="9" style="1634" customWidth="1"/>
    <col min="1545" max="1546" width="10.625" style="1634" customWidth="1"/>
    <col min="1547" max="1547" width="14.375" style="1634" customWidth="1"/>
    <col min="1548" max="1548" width="6.25" style="1634" customWidth="1"/>
    <col min="1549" max="1549" width="27.75" style="1634" customWidth="1"/>
    <col min="1550" max="1792" width="9" style="1634"/>
    <col min="1793" max="1793" width="49.25" style="1634" customWidth="1"/>
    <col min="1794" max="1794" width="6.25" style="1634" customWidth="1"/>
    <col min="1795" max="1797" width="13.875" style="1634" customWidth="1"/>
    <col min="1798" max="1798" width="8.875" style="1634" customWidth="1"/>
    <col min="1799" max="1799" width="7.875" style="1634" customWidth="1"/>
    <col min="1800" max="1800" width="9" style="1634" customWidth="1"/>
    <col min="1801" max="1802" width="10.625" style="1634" customWidth="1"/>
    <col min="1803" max="1803" width="14.375" style="1634" customWidth="1"/>
    <col min="1804" max="1804" width="6.25" style="1634" customWidth="1"/>
    <col min="1805" max="1805" width="27.75" style="1634" customWidth="1"/>
    <col min="1806" max="2048" width="9" style="1634"/>
    <col min="2049" max="2049" width="49.25" style="1634" customWidth="1"/>
    <col min="2050" max="2050" width="6.25" style="1634" customWidth="1"/>
    <col min="2051" max="2053" width="13.875" style="1634" customWidth="1"/>
    <col min="2054" max="2054" width="8.875" style="1634" customWidth="1"/>
    <col min="2055" max="2055" width="7.875" style="1634" customWidth="1"/>
    <col min="2056" max="2056" width="9" style="1634" customWidth="1"/>
    <col min="2057" max="2058" width="10.625" style="1634" customWidth="1"/>
    <col min="2059" max="2059" width="14.375" style="1634" customWidth="1"/>
    <col min="2060" max="2060" width="6.25" style="1634" customWidth="1"/>
    <col min="2061" max="2061" width="27.75" style="1634" customWidth="1"/>
    <col min="2062" max="2304" width="9" style="1634"/>
    <col min="2305" max="2305" width="49.25" style="1634" customWidth="1"/>
    <col min="2306" max="2306" width="6.25" style="1634" customWidth="1"/>
    <col min="2307" max="2309" width="13.875" style="1634" customWidth="1"/>
    <col min="2310" max="2310" width="8.875" style="1634" customWidth="1"/>
    <col min="2311" max="2311" width="7.875" style="1634" customWidth="1"/>
    <col min="2312" max="2312" width="9" style="1634" customWidth="1"/>
    <col min="2313" max="2314" width="10.625" style="1634" customWidth="1"/>
    <col min="2315" max="2315" width="14.375" style="1634" customWidth="1"/>
    <col min="2316" max="2316" width="6.25" style="1634" customWidth="1"/>
    <col min="2317" max="2317" width="27.75" style="1634" customWidth="1"/>
    <col min="2318" max="2560" width="9" style="1634"/>
    <col min="2561" max="2561" width="49.25" style="1634" customWidth="1"/>
    <col min="2562" max="2562" width="6.25" style="1634" customWidth="1"/>
    <col min="2563" max="2565" width="13.875" style="1634" customWidth="1"/>
    <col min="2566" max="2566" width="8.875" style="1634" customWidth="1"/>
    <col min="2567" max="2567" width="7.875" style="1634" customWidth="1"/>
    <col min="2568" max="2568" width="9" style="1634" customWidth="1"/>
    <col min="2569" max="2570" width="10.625" style="1634" customWidth="1"/>
    <col min="2571" max="2571" width="14.375" style="1634" customWidth="1"/>
    <col min="2572" max="2572" width="6.25" style="1634" customWidth="1"/>
    <col min="2573" max="2573" width="27.75" style="1634" customWidth="1"/>
    <col min="2574" max="2816" width="9" style="1634"/>
    <col min="2817" max="2817" width="49.25" style="1634" customWidth="1"/>
    <col min="2818" max="2818" width="6.25" style="1634" customWidth="1"/>
    <col min="2819" max="2821" width="13.875" style="1634" customWidth="1"/>
    <col min="2822" max="2822" width="8.875" style="1634" customWidth="1"/>
    <col min="2823" max="2823" width="7.875" style="1634" customWidth="1"/>
    <col min="2824" max="2824" width="9" style="1634" customWidth="1"/>
    <col min="2825" max="2826" width="10.625" style="1634" customWidth="1"/>
    <col min="2827" max="2827" width="14.375" style="1634" customWidth="1"/>
    <col min="2828" max="2828" width="6.25" style="1634" customWidth="1"/>
    <col min="2829" max="2829" width="27.75" style="1634" customWidth="1"/>
    <col min="2830" max="3072" width="9" style="1634"/>
    <col min="3073" max="3073" width="49.25" style="1634" customWidth="1"/>
    <col min="3074" max="3074" width="6.25" style="1634" customWidth="1"/>
    <col min="3075" max="3077" width="13.875" style="1634" customWidth="1"/>
    <col min="3078" max="3078" width="8.875" style="1634" customWidth="1"/>
    <col min="3079" max="3079" width="7.875" style="1634" customWidth="1"/>
    <col min="3080" max="3080" width="9" style="1634" customWidth="1"/>
    <col min="3081" max="3082" width="10.625" style="1634" customWidth="1"/>
    <col min="3083" max="3083" width="14.375" style="1634" customWidth="1"/>
    <col min="3084" max="3084" width="6.25" style="1634" customWidth="1"/>
    <col min="3085" max="3085" width="27.75" style="1634" customWidth="1"/>
    <col min="3086" max="3328" width="9" style="1634"/>
    <col min="3329" max="3329" width="49.25" style="1634" customWidth="1"/>
    <col min="3330" max="3330" width="6.25" style="1634" customWidth="1"/>
    <col min="3331" max="3333" width="13.875" style="1634" customWidth="1"/>
    <col min="3334" max="3334" width="8.875" style="1634" customWidth="1"/>
    <col min="3335" max="3335" width="7.875" style="1634" customWidth="1"/>
    <col min="3336" max="3336" width="9" style="1634" customWidth="1"/>
    <col min="3337" max="3338" width="10.625" style="1634" customWidth="1"/>
    <col min="3339" max="3339" width="14.375" style="1634" customWidth="1"/>
    <col min="3340" max="3340" width="6.25" style="1634" customWidth="1"/>
    <col min="3341" max="3341" width="27.75" style="1634" customWidth="1"/>
    <col min="3342" max="3584" width="9" style="1634"/>
    <col min="3585" max="3585" width="49.25" style="1634" customWidth="1"/>
    <col min="3586" max="3586" width="6.25" style="1634" customWidth="1"/>
    <col min="3587" max="3589" width="13.875" style="1634" customWidth="1"/>
    <col min="3590" max="3590" width="8.875" style="1634" customWidth="1"/>
    <col min="3591" max="3591" width="7.875" style="1634" customWidth="1"/>
    <col min="3592" max="3592" width="9" style="1634" customWidth="1"/>
    <col min="3593" max="3594" width="10.625" style="1634" customWidth="1"/>
    <col min="3595" max="3595" width="14.375" style="1634" customWidth="1"/>
    <col min="3596" max="3596" width="6.25" style="1634" customWidth="1"/>
    <col min="3597" max="3597" width="27.75" style="1634" customWidth="1"/>
    <col min="3598" max="3840" width="9" style="1634"/>
    <col min="3841" max="3841" width="49.25" style="1634" customWidth="1"/>
    <col min="3842" max="3842" width="6.25" style="1634" customWidth="1"/>
    <col min="3843" max="3845" width="13.875" style="1634" customWidth="1"/>
    <col min="3846" max="3846" width="8.875" style="1634" customWidth="1"/>
    <col min="3847" max="3847" width="7.875" style="1634" customWidth="1"/>
    <col min="3848" max="3848" width="9" style="1634" customWidth="1"/>
    <col min="3849" max="3850" width="10.625" style="1634" customWidth="1"/>
    <col min="3851" max="3851" width="14.375" style="1634" customWidth="1"/>
    <col min="3852" max="3852" width="6.25" style="1634" customWidth="1"/>
    <col min="3853" max="3853" width="27.75" style="1634" customWidth="1"/>
    <col min="3854" max="4096" width="9" style="1634"/>
    <col min="4097" max="4097" width="49.25" style="1634" customWidth="1"/>
    <col min="4098" max="4098" width="6.25" style="1634" customWidth="1"/>
    <col min="4099" max="4101" width="13.875" style="1634" customWidth="1"/>
    <col min="4102" max="4102" width="8.875" style="1634" customWidth="1"/>
    <col min="4103" max="4103" width="7.875" style="1634" customWidth="1"/>
    <col min="4104" max="4104" width="9" style="1634" customWidth="1"/>
    <col min="4105" max="4106" width="10.625" style="1634" customWidth="1"/>
    <col min="4107" max="4107" width="14.375" style="1634" customWidth="1"/>
    <col min="4108" max="4108" width="6.25" style="1634" customWidth="1"/>
    <col min="4109" max="4109" width="27.75" style="1634" customWidth="1"/>
    <col min="4110" max="4352" width="9" style="1634"/>
    <col min="4353" max="4353" width="49.25" style="1634" customWidth="1"/>
    <col min="4354" max="4354" width="6.25" style="1634" customWidth="1"/>
    <col min="4355" max="4357" width="13.875" style="1634" customWidth="1"/>
    <col min="4358" max="4358" width="8.875" style="1634" customWidth="1"/>
    <col min="4359" max="4359" width="7.875" style="1634" customWidth="1"/>
    <col min="4360" max="4360" width="9" style="1634" customWidth="1"/>
    <col min="4361" max="4362" width="10.625" style="1634" customWidth="1"/>
    <col min="4363" max="4363" width="14.375" style="1634" customWidth="1"/>
    <col min="4364" max="4364" width="6.25" style="1634" customWidth="1"/>
    <col min="4365" max="4365" width="27.75" style="1634" customWidth="1"/>
    <col min="4366" max="4608" width="9" style="1634"/>
    <col min="4609" max="4609" width="49.25" style="1634" customWidth="1"/>
    <col min="4610" max="4610" width="6.25" style="1634" customWidth="1"/>
    <col min="4611" max="4613" width="13.875" style="1634" customWidth="1"/>
    <col min="4614" max="4614" width="8.875" style="1634" customWidth="1"/>
    <col min="4615" max="4615" width="7.875" style="1634" customWidth="1"/>
    <col min="4616" max="4616" width="9" style="1634" customWidth="1"/>
    <col min="4617" max="4618" width="10.625" style="1634" customWidth="1"/>
    <col min="4619" max="4619" width="14.375" style="1634" customWidth="1"/>
    <col min="4620" max="4620" width="6.25" style="1634" customWidth="1"/>
    <col min="4621" max="4621" width="27.75" style="1634" customWidth="1"/>
    <col min="4622" max="4864" width="9" style="1634"/>
    <col min="4865" max="4865" width="49.25" style="1634" customWidth="1"/>
    <col min="4866" max="4866" width="6.25" style="1634" customWidth="1"/>
    <col min="4867" max="4869" width="13.875" style="1634" customWidth="1"/>
    <col min="4870" max="4870" width="8.875" style="1634" customWidth="1"/>
    <col min="4871" max="4871" width="7.875" style="1634" customWidth="1"/>
    <col min="4872" max="4872" width="9" style="1634" customWidth="1"/>
    <col min="4873" max="4874" width="10.625" style="1634" customWidth="1"/>
    <col min="4875" max="4875" width="14.375" style="1634" customWidth="1"/>
    <col min="4876" max="4876" width="6.25" style="1634" customWidth="1"/>
    <col min="4877" max="4877" width="27.75" style="1634" customWidth="1"/>
    <col min="4878" max="5120" width="9" style="1634"/>
    <col min="5121" max="5121" width="49.25" style="1634" customWidth="1"/>
    <col min="5122" max="5122" width="6.25" style="1634" customWidth="1"/>
    <col min="5123" max="5125" width="13.875" style="1634" customWidth="1"/>
    <col min="5126" max="5126" width="8.875" style="1634" customWidth="1"/>
    <col min="5127" max="5127" width="7.875" style="1634" customWidth="1"/>
    <col min="5128" max="5128" width="9" style="1634" customWidth="1"/>
    <col min="5129" max="5130" width="10.625" style="1634" customWidth="1"/>
    <col min="5131" max="5131" width="14.375" style="1634" customWidth="1"/>
    <col min="5132" max="5132" width="6.25" style="1634" customWidth="1"/>
    <col min="5133" max="5133" width="27.75" style="1634" customWidth="1"/>
    <col min="5134" max="5376" width="9" style="1634"/>
    <col min="5377" max="5377" width="49.25" style="1634" customWidth="1"/>
    <col min="5378" max="5378" width="6.25" style="1634" customWidth="1"/>
    <col min="5379" max="5381" width="13.875" style="1634" customWidth="1"/>
    <col min="5382" max="5382" width="8.875" style="1634" customWidth="1"/>
    <col min="5383" max="5383" width="7.875" style="1634" customWidth="1"/>
    <col min="5384" max="5384" width="9" style="1634" customWidth="1"/>
    <col min="5385" max="5386" width="10.625" style="1634" customWidth="1"/>
    <col min="5387" max="5387" width="14.375" style="1634" customWidth="1"/>
    <col min="5388" max="5388" width="6.25" style="1634" customWidth="1"/>
    <col min="5389" max="5389" width="27.75" style="1634" customWidth="1"/>
    <col min="5390" max="5632" width="9" style="1634"/>
    <col min="5633" max="5633" width="49.25" style="1634" customWidth="1"/>
    <col min="5634" max="5634" width="6.25" style="1634" customWidth="1"/>
    <col min="5635" max="5637" width="13.875" style="1634" customWidth="1"/>
    <col min="5638" max="5638" width="8.875" style="1634" customWidth="1"/>
    <col min="5639" max="5639" width="7.875" style="1634" customWidth="1"/>
    <col min="5640" max="5640" width="9" style="1634" customWidth="1"/>
    <col min="5641" max="5642" width="10.625" style="1634" customWidth="1"/>
    <col min="5643" max="5643" width="14.375" style="1634" customWidth="1"/>
    <col min="5644" max="5644" width="6.25" style="1634" customWidth="1"/>
    <col min="5645" max="5645" width="27.75" style="1634" customWidth="1"/>
    <col min="5646" max="5888" width="9" style="1634"/>
    <col min="5889" max="5889" width="49.25" style="1634" customWidth="1"/>
    <col min="5890" max="5890" width="6.25" style="1634" customWidth="1"/>
    <col min="5891" max="5893" width="13.875" style="1634" customWidth="1"/>
    <col min="5894" max="5894" width="8.875" style="1634" customWidth="1"/>
    <col min="5895" max="5895" width="7.875" style="1634" customWidth="1"/>
    <col min="5896" max="5896" width="9" style="1634" customWidth="1"/>
    <col min="5897" max="5898" width="10.625" style="1634" customWidth="1"/>
    <col min="5899" max="5899" width="14.375" style="1634" customWidth="1"/>
    <col min="5900" max="5900" width="6.25" style="1634" customWidth="1"/>
    <col min="5901" max="5901" width="27.75" style="1634" customWidth="1"/>
    <col min="5902" max="6144" width="9" style="1634"/>
    <col min="6145" max="6145" width="49.25" style="1634" customWidth="1"/>
    <col min="6146" max="6146" width="6.25" style="1634" customWidth="1"/>
    <col min="6147" max="6149" width="13.875" style="1634" customWidth="1"/>
    <col min="6150" max="6150" width="8.875" style="1634" customWidth="1"/>
    <col min="6151" max="6151" width="7.875" style="1634" customWidth="1"/>
    <col min="6152" max="6152" width="9" style="1634" customWidth="1"/>
    <col min="6153" max="6154" width="10.625" style="1634" customWidth="1"/>
    <col min="6155" max="6155" width="14.375" style="1634" customWidth="1"/>
    <col min="6156" max="6156" width="6.25" style="1634" customWidth="1"/>
    <col min="6157" max="6157" width="27.75" style="1634" customWidth="1"/>
    <col min="6158" max="6400" width="9" style="1634"/>
    <col min="6401" max="6401" width="49.25" style="1634" customWidth="1"/>
    <col min="6402" max="6402" width="6.25" style="1634" customWidth="1"/>
    <col min="6403" max="6405" width="13.875" style="1634" customWidth="1"/>
    <col min="6406" max="6406" width="8.875" style="1634" customWidth="1"/>
    <col min="6407" max="6407" width="7.875" style="1634" customWidth="1"/>
    <col min="6408" max="6408" width="9" style="1634" customWidth="1"/>
    <col min="6409" max="6410" width="10.625" style="1634" customWidth="1"/>
    <col min="6411" max="6411" width="14.375" style="1634" customWidth="1"/>
    <col min="6412" max="6412" width="6.25" style="1634" customWidth="1"/>
    <col min="6413" max="6413" width="27.75" style="1634" customWidth="1"/>
    <col min="6414" max="6656" width="9" style="1634"/>
    <col min="6657" max="6657" width="49.25" style="1634" customWidth="1"/>
    <col min="6658" max="6658" width="6.25" style="1634" customWidth="1"/>
    <col min="6659" max="6661" width="13.875" style="1634" customWidth="1"/>
    <col min="6662" max="6662" width="8.875" style="1634" customWidth="1"/>
    <col min="6663" max="6663" width="7.875" style="1634" customWidth="1"/>
    <col min="6664" max="6664" width="9" style="1634" customWidth="1"/>
    <col min="6665" max="6666" width="10.625" style="1634" customWidth="1"/>
    <col min="6667" max="6667" width="14.375" style="1634" customWidth="1"/>
    <col min="6668" max="6668" width="6.25" style="1634" customWidth="1"/>
    <col min="6669" max="6669" width="27.75" style="1634" customWidth="1"/>
    <col min="6670" max="6912" width="9" style="1634"/>
    <col min="6913" max="6913" width="49.25" style="1634" customWidth="1"/>
    <col min="6914" max="6914" width="6.25" style="1634" customWidth="1"/>
    <col min="6915" max="6917" width="13.875" style="1634" customWidth="1"/>
    <col min="6918" max="6918" width="8.875" style="1634" customWidth="1"/>
    <col min="6919" max="6919" width="7.875" style="1634" customWidth="1"/>
    <col min="6920" max="6920" width="9" style="1634" customWidth="1"/>
    <col min="6921" max="6922" width="10.625" style="1634" customWidth="1"/>
    <col min="6923" max="6923" width="14.375" style="1634" customWidth="1"/>
    <col min="6924" max="6924" width="6.25" style="1634" customWidth="1"/>
    <col min="6925" max="6925" width="27.75" style="1634" customWidth="1"/>
    <col min="6926" max="7168" width="9" style="1634"/>
    <col min="7169" max="7169" width="49.25" style="1634" customWidth="1"/>
    <col min="7170" max="7170" width="6.25" style="1634" customWidth="1"/>
    <col min="7171" max="7173" width="13.875" style="1634" customWidth="1"/>
    <col min="7174" max="7174" width="8.875" style="1634" customWidth="1"/>
    <col min="7175" max="7175" width="7.875" style="1634" customWidth="1"/>
    <col min="7176" max="7176" width="9" style="1634" customWidth="1"/>
    <col min="7177" max="7178" width="10.625" style="1634" customWidth="1"/>
    <col min="7179" max="7179" width="14.375" style="1634" customWidth="1"/>
    <col min="7180" max="7180" width="6.25" style="1634" customWidth="1"/>
    <col min="7181" max="7181" width="27.75" style="1634" customWidth="1"/>
    <col min="7182" max="7424" width="9" style="1634"/>
    <col min="7425" max="7425" width="49.25" style="1634" customWidth="1"/>
    <col min="7426" max="7426" width="6.25" style="1634" customWidth="1"/>
    <col min="7427" max="7429" width="13.875" style="1634" customWidth="1"/>
    <col min="7430" max="7430" width="8.875" style="1634" customWidth="1"/>
    <col min="7431" max="7431" width="7.875" style="1634" customWidth="1"/>
    <col min="7432" max="7432" width="9" style="1634" customWidth="1"/>
    <col min="7433" max="7434" width="10.625" style="1634" customWidth="1"/>
    <col min="7435" max="7435" width="14.375" style="1634" customWidth="1"/>
    <col min="7436" max="7436" width="6.25" style="1634" customWidth="1"/>
    <col min="7437" max="7437" width="27.75" style="1634" customWidth="1"/>
    <col min="7438" max="7680" width="9" style="1634"/>
    <col min="7681" max="7681" width="49.25" style="1634" customWidth="1"/>
    <col min="7682" max="7682" width="6.25" style="1634" customWidth="1"/>
    <col min="7683" max="7685" width="13.875" style="1634" customWidth="1"/>
    <col min="7686" max="7686" width="8.875" style="1634" customWidth="1"/>
    <col min="7687" max="7687" width="7.875" style="1634" customWidth="1"/>
    <col min="7688" max="7688" width="9" style="1634" customWidth="1"/>
    <col min="7689" max="7690" width="10.625" style="1634" customWidth="1"/>
    <col min="7691" max="7691" width="14.375" style="1634" customWidth="1"/>
    <col min="7692" max="7692" width="6.25" style="1634" customWidth="1"/>
    <col min="7693" max="7693" width="27.75" style="1634" customWidth="1"/>
    <col min="7694" max="7936" width="9" style="1634"/>
    <col min="7937" max="7937" width="49.25" style="1634" customWidth="1"/>
    <col min="7938" max="7938" width="6.25" style="1634" customWidth="1"/>
    <col min="7939" max="7941" width="13.875" style="1634" customWidth="1"/>
    <col min="7942" max="7942" width="8.875" style="1634" customWidth="1"/>
    <col min="7943" max="7943" width="7.875" style="1634" customWidth="1"/>
    <col min="7944" max="7944" width="9" style="1634" customWidth="1"/>
    <col min="7945" max="7946" width="10.625" style="1634" customWidth="1"/>
    <col min="7947" max="7947" width="14.375" style="1634" customWidth="1"/>
    <col min="7948" max="7948" width="6.25" style="1634" customWidth="1"/>
    <col min="7949" max="7949" width="27.75" style="1634" customWidth="1"/>
    <col min="7950" max="8192" width="9" style="1634"/>
    <col min="8193" max="8193" width="49.25" style="1634" customWidth="1"/>
    <col min="8194" max="8194" width="6.25" style="1634" customWidth="1"/>
    <col min="8195" max="8197" width="13.875" style="1634" customWidth="1"/>
    <col min="8198" max="8198" width="8.875" style="1634" customWidth="1"/>
    <col min="8199" max="8199" width="7.875" style="1634" customWidth="1"/>
    <col min="8200" max="8200" width="9" style="1634" customWidth="1"/>
    <col min="8201" max="8202" width="10.625" style="1634" customWidth="1"/>
    <col min="8203" max="8203" width="14.375" style="1634" customWidth="1"/>
    <col min="8204" max="8204" width="6.25" style="1634" customWidth="1"/>
    <col min="8205" max="8205" width="27.75" style="1634" customWidth="1"/>
    <col min="8206" max="8448" width="9" style="1634"/>
    <col min="8449" max="8449" width="49.25" style="1634" customWidth="1"/>
    <col min="8450" max="8450" width="6.25" style="1634" customWidth="1"/>
    <col min="8451" max="8453" width="13.875" style="1634" customWidth="1"/>
    <col min="8454" max="8454" width="8.875" style="1634" customWidth="1"/>
    <col min="8455" max="8455" width="7.875" style="1634" customWidth="1"/>
    <col min="8456" max="8456" width="9" style="1634" customWidth="1"/>
    <col min="8457" max="8458" width="10.625" style="1634" customWidth="1"/>
    <col min="8459" max="8459" width="14.375" style="1634" customWidth="1"/>
    <col min="8460" max="8460" width="6.25" style="1634" customWidth="1"/>
    <col min="8461" max="8461" width="27.75" style="1634" customWidth="1"/>
    <col min="8462" max="8704" width="9" style="1634"/>
    <col min="8705" max="8705" width="49.25" style="1634" customWidth="1"/>
    <col min="8706" max="8706" width="6.25" style="1634" customWidth="1"/>
    <col min="8707" max="8709" width="13.875" style="1634" customWidth="1"/>
    <col min="8710" max="8710" width="8.875" style="1634" customWidth="1"/>
    <col min="8711" max="8711" width="7.875" style="1634" customWidth="1"/>
    <col min="8712" max="8712" width="9" style="1634" customWidth="1"/>
    <col min="8713" max="8714" width="10.625" style="1634" customWidth="1"/>
    <col min="8715" max="8715" width="14.375" style="1634" customWidth="1"/>
    <col min="8716" max="8716" width="6.25" style="1634" customWidth="1"/>
    <col min="8717" max="8717" width="27.75" style="1634" customWidth="1"/>
    <col min="8718" max="8960" width="9" style="1634"/>
    <col min="8961" max="8961" width="49.25" style="1634" customWidth="1"/>
    <col min="8962" max="8962" width="6.25" style="1634" customWidth="1"/>
    <col min="8963" max="8965" width="13.875" style="1634" customWidth="1"/>
    <col min="8966" max="8966" width="8.875" style="1634" customWidth="1"/>
    <col min="8967" max="8967" width="7.875" style="1634" customWidth="1"/>
    <col min="8968" max="8968" width="9" style="1634" customWidth="1"/>
    <col min="8969" max="8970" width="10.625" style="1634" customWidth="1"/>
    <col min="8971" max="8971" width="14.375" style="1634" customWidth="1"/>
    <col min="8972" max="8972" width="6.25" style="1634" customWidth="1"/>
    <col min="8973" max="8973" width="27.75" style="1634" customWidth="1"/>
    <col min="8974" max="9216" width="9" style="1634"/>
    <col min="9217" max="9217" width="49.25" style="1634" customWidth="1"/>
    <col min="9218" max="9218" width="6.25" style="1634" customWidth="1"/>
    <col min="9219" max="9221" width="13.875" style="1634" customWidth="1"/>
    <col min="9222" max="9222" width="8.875" style="1634" customWidth="1"/>
    <col min="9223" max="9223" width="7.875" style="1634" customWidth="1"/>
    <col min="9224" max="9224" width="9" style="1634" customWidth="1"/>
    <col min="9225" max="9226" width="10.625" style="1634" customWidth="1"/>
    <col min="9227" max="9227" width="14.375" style="1634" customWidth="1"/>
    <col min="9228" max="9228" width="6.25" style="1634" customWidth="1"/>
    <col min="9229" max="9229" width="27.75" style="1634" customWidth="1"/>
    <col min="9230" max="9472" width="9" style="1634"/>
    <col min="9473" max="9473" width="49.25" style="1634" customWidth="1"/>
    <col min="9474" max="9474" width="6.25" style="1634" customWidth="1"/>
    <col min="9475" max="9477" width="13.875" style="1634" customWidth="1"/>
    <col min="9478" max="9478" width="8.875" style="1634" customWidth="1"/>
    <col min="9479" max="9479" width="7.875" style="1634" customWidth="1"/>
    <col min="9480" max="9480" width="9" style="1634" customWidth="1"/>
    <col min="9481" max="9482" width="10.625" style="1634" customWidth="1"/>
    <col min="9483" max="9483" width="14.375" style="1634" customWidth="1"/>
    <col min="9484" max="9484" width="6.25" style="1634" customWidth="1"/>
    <col min="9485" max="9485" width="27.75" style="1634" customWidth="1"/>
    <col min="9486" max="9728" width="9" style="1634"/>
    <col min="9729" max="9729" width="49.25" style="1634" customWidth="1"/>
    <col min="9730" max="9730" width="6.25" style="1634" customWidth="1"/>
    <col min="9731" max="9733" width="13.875" style="1634" customWidth="1"/>
    <col min="9734" max="9734" width="8.875" style="1634" customWidth="1"/>
    <col min="9735" max="9735" width="7.875" style="1634" customWidth="1"/>
    <col min="9736" max="9736" width="9" style="1634" customWidth="1"/>
    <col min="9737" max="9738" width="10.625" style="1634" customWidth="1"/>
    <col min="9739" max="9739" width="14.375" style="1634" customWidth="1"/>
    <col min="9740" max="9740" width="6.25" style="1634" customWidth="1"/>
    <col min="9741" max="9741" width="27.75" style="1634" customWidth="1"/>
    <col min="9742" max="9984" width="9" style="1634"/>
    <col min="9985" max="9985" width="49.25" style="1634" customWidth="1"/>
    <col min="9986" max="9986" width="6.25" style="1634" customWidth="1"/>
    <col min="9987" max="9989" width="13.875" style="1634" customWidth="1"/>
    <col min="9990" max="9990" width="8.875" style="1634" customWidth="1"/>
    <col min="9991" max="9991" width="7.875" style="1634" customWidth="1"/>
    <col min="9992" max="9992" width="9" style="1634" customWidth="1"/>
    <col min="9993" max="9994" width="10.625" style="1634" customWidth="1"/>
    <col min="9995" max="9995" width="14.375" style="1634" customWidth="1"/>
    <col min="9996" max="9996" width="6.25" style="1634" customWidth="1"/>
    <col min="9997" max="9997" width="27.75" style="1634" customWidth="1"/>
    <col min="9998" max="10240" width="9" style="1634"/>
    <col min="10241" max="10241" width="49.25" style="1634" customWidth="1"/>
    <col min="10242" max="10242" width="6.25" style="1634" customWidth="1"/>
    <col min="10243" max="10245" width="13.875" style="1634" customWidth="1"/>
    <col min="10246" max="10246" width="8.875" style="1634" customWidth="1"/>
    <col min="10247" max="10247" width="7.875" style="1634" customWidth="1"/>
    <col min="10248" max="10248" width="9" style="1634" customWidth="1"/>
    <col min="10249" max="10250" width="10.625" style="1634" customWidth="1"/>
    <col min="10251" max="10251" width="14.375" style="1634" customWidth="1"/>
    <col min="10252" max="10252" width="6.25" style="1634" customWidth="1"/>
    <col min="10253" max="10253" width="27.75" style="1634" customWidth="1"/>
    <col min="10254" max="10496" width="9" style="1634"/>
    <col min="10497" max="10497" width="49.25" style="1634" customWidth="1"/>
    <col min="10498" max="10498" width="6.25" style="1634" customWidth="1"/>
    <col min="10499" max="10501" width="13.875" style="1634" customWidth="1"/>
    <col min="10502" max="10502" width="8.875" style="1634" customWidth="1"/>
    <col min="10503" max="10503" width="7.875" style="1634" customWidth="1"/>
    <col min="10504" max="10504" width="9" style="1634" customWidth="1"/>
    <col min="10505" max="10506" width="10.625" style="1634" customWidth="1"/>
    <col min="10507" max="10507" width="14.375" style="1634" customWidth="1"/>
    <col min="10508" max="10508" width="6.25" style="1634" customWidth="1"/>
    <col min="10509" max="10509" width="27.75" style="1634" customWidth="1"/>
    <col min="10510" max="10752" width="9" style="1634"/>
    <col min="10753" max="10753" width="49.25" style="1634" customWidth="1"/>
    <col min="10754" max="10754" width="6.25" style="1634" customWidth="1"/>
    <col min="10755" max="10757" width="13.875" style="1634" customWidth="1"/>
    <col min="10758" max="10758" width="8.875" style="1634" customWidth="1"/>
    <col min="10759" max="10759" width="7.875" style="1634" customWidth="1"/>
    <col min="10760" max="10760" width="9" style="1634" customWidth="1"/>
    <col min="10761" max="10762" width="10.625" style="1634" customWidth="1"/>
    <col min="10763" max="10763" width="14.375" style="1634" customWidth="1"/>
    <col min="10764" max="10764" width="6.25" style="1634" customWidth="1"/>
    <col min="10765" max="10765" width="27.75" style="1634" customWidth="1"/>
    <col min="10766" max="11008" width="9" style="1634"/>
    <col min="11009" max="11009" width="49.25" style="1634" customWidth="1"/>
    <col min="11010" max="11010" width="6.25" style="1634" customWidth="1"/>
    <col min="11011" max="11013" width="13.875" style="1634" customWidth="1"/>
    <col min="11014" max="11014" width="8.875" style="1634" customWidth="1"/>
    <col min="11015" max="11015" width="7.875" style="1634" customWidth="1"/>
    <col min="11016" max="11016" width="9" style="1634" customWidth="1"/>
    <col min="11017" max="11018" width="10.625" style="1634" customWidth="1"/>
    <col min="11019" max="11019" width="14.375" style="1634" customWidth="1"/>
    <col min="11020" max="11020" width="6.25" style="1634" customWidth="1"/>
    <col min="11021" max="11021" width="27.75" style="1634" customWidth="1"/>
    <col min="11022" max="11264" width="9" style="1634"/>
    <col min="11265" max="11265" width="49.25" style="1634" customWidth="1"/>
    <col min="11266" max="11266" width="6.25" style="1634" customWidth="1"/>
    <col min="11267" max="11269" width="13.875" style="1634" customWidth="1"/>
    <col min="11270" max="11270" width="8.875" style="1634" customWidth="1"/>
    <col min="11271" max="11271" width="7.875" style="1634" customWidth="1"/>
    <col min="11272" max="11272" width="9" style="1634" customWidth="1"/>
    <col min="11273" max="11274" width="10.625" style="1634" customWidth="1"/>
    <col min="11275" max="11275" width="14.375" style="1634" customWidth="1"/>
    <col min="11276" max="11276" width="6.25" style="1634" customWidth="1"/>
    <col min="11277" max="11277" width="27.75" style="1634" customWidth="1"/>
    <col min="11278" max="11520" width="9" style="1634"/>
    <col min="11521" max="11521" width="49.25" style="1634" customWidth="1"/>
    <col min="11522" max="11522" width="6.25" style="1634" customWidth="1"/>
    <col min="11523" max="11525" width="13.875" style="1634" customWidth="1"/>
    <col min="11526" max="11526" width="8.875" style="1634" customWidth="1"/>
    <col min="11527" max="11527" width="7.875" style="1634" customWidth="1"/>
    <col min="11528" max="11528" width="9" style="1634" customWidth="1"/>
    <col min="11529" max="11530" width="10.625" style="1634" customWidth="1"/>
    <col min="11531" max="11531" width="14.375" style="1634" customWidth="1"/>
    <col min="11532" max="11532" width="6.25" style="1634" customWidth="1"/>
    <col min="11533" max="11533" width="27.75" style="1634" customWidth="1"/>
    <col min="11534" max="11776" width="9" style="1634"/>
    <col min="11777" max="11777" width="49.25" style="1634" customWidth="1"/>
    <col min="11778" max="11778" width="6.25" style="1634" customWidth="1"/>
    <col min="11779" max="11781" width="13.875" style="1634" customWidth="1"/>
    <col min="11782" max="11782" width="8.875" style="1634" customWidth="1"/>
    <col min="11783" max="11783" width="7.875" style="1634" customWidth="1"/>
    <col min="11784" max="11784" width="9" style="1634" customWidth="1"/>
    <col min="11785" max="11786" width="10.625" style="1634" customWidth="1"/>
    <col min="11787" max="11787" width="14.375" style="1634" customWidth="1"/>
    <col min="11788" max="11788" width="6.25" style="1634" customWidth="1"/>
    <col min="11789" max="11789" width="27.75" style="1634" customWidth="1"/>
    <col min="11790" max="12032" width="9" style="1634"/>
    <col min="12033" max="12033" width="49.25" style="1634" customWidth="1"/>
    <col min="12034" max="12034" width="6.25" style="1634" customWidth="1"/>
    <col min="12035" max="12037" width="13.875" style="1634" customWidth="1"/>
    <col min="12038" max="12038" width="8.875" style="1634" customWidth="1"/>
    <col min="12039" max="12039" width="7.875" style="1634" customWidth="1"/>
    <col min="12040" max="12040" width="9" style="1634" customWidth="1"/>
    <col min="12041" max="12042" width="10.625" style="1634" customWidth="1"/>
    <col min="12043" max="12043" width="14.375" style="1634" customWidth="1"/>
    <col min="12044" max="12044" width="6.25" style="1634" customWidth="1"/>
    <col min="12045" max="12045" width="27.75" style="1634" customWidth="1"/>
    <col min="12046" max="12288" width="9" style="1634"/>
    <col min="12289" max="12289" width="49.25" style="1634" customWidth="1"/>
    <col min="12290" max="12290" width="6.25" style="1634" customWidth="1"/>
    <col min="12291" max="12293" width="13.875" style="1634" customWidth="1"/>
    <col min="12294" max="12294" width="8.875" style="1634" customWidth="1"/>
    <col min="12295" max="12295" width="7.875" style="1634" customWidth="1"/>
    <col min="12296" max="12296" width="9" style="1634" customWidth="1"/>
    <col min="12297" max="12298" width="10.625" style="1634" customWidth="1"/>
    <col min="12299" max="12299" width="14.375" style="1634" customWidth="1"/>
    <col min="12300" max="12300" width="6.25" style="1634" customWidth="1"/>
    <col min="12301" max="12301" width="27.75" style="1634" customWidth="1"/>
    <col min="12302" max="12544" width="9" style="1634"/>
    <col min="12545" max="12545" width="49.25" style="1634" customWidth="1"/>
    <col min="12546" max="12546" width="6.25" style="1634" customWidth="1"/>
    <col min="12547" max="12549" width="13.875" style="1634" customWidth="1"/>
    <col min="12550" max="12550" width="8.875" style="1634" customWidth="1"/>
    <col min="12551" max="12551" width="7.875" style="1634" customWidth="1"/>
    <col min="12552" max="12552" width="9" style="1634" customWidth="1"/>
    <col min="12553" max="12554" width="10.625" style="1634" customWidth="1"/>
    <col min="12555" max="12555" width="14.375" style="1634" customWidth="1"/>
    <col min="12556" max="12556" width="6.25" style="1634" customWidth="1"/>
    <col min="12557" max="12557" width="27.75" style="1634" customWidth="1"/>
    <col min="12558" max="12800" width="9" style="1634"/>
    <col min="12801" max="12801" width="49.25" style="1634" customWidth="1"/>
    <col min="12802" max="12802" width="6.25" style="1634" customWidth="1"/>
    <col min="12803" max="12805" width="13.875" style="1634" customWidth="1"/>
    <col min="12806" max="12806" width="8.875" style="1634" customWidth="1"/>
    <col min="12807" max="12807" width="7.875" style="1634" customWidth="1"/>
    <col min="12808" max="12808" width="9" style="1634" customWidth="1"/>
    <col min="12809" max="12810" width="10.625" style="1634" customWidth="1"/>
    <col min="12811" max="12811" width="14.375" style="1634" customWidth="1"/>
    <col min="12812" max="12812" width="6.25" style="1634" customWidth="1"/>
    <col min="12813" max="12813" width="27.75" style="1634" customWidth="1"/>
    <col min="12814" max="13056" width="9" style="1634"/>
    <col min="13057" max="13057" width="49.25" style="1634" customWidth="1"/>
    <col min="13058" max="13058" width="6.25" style="1634" customWidth="1"/>
    <col min="13059" max="13061" width="13.875" style="1634" customWidth="1"/>
    <col min="13062" max="13062" width="8.875" style="1634" customWidth="1"/>
    <col min="13063" max="13063" width="7.875" style="1634" customWidth="1"/>
    <col min="13064" max="13064" width="9" style="1634" customWidth="1"/>
    <col min="13065" max="13066" width="10.625" style="1634" customWidth="1"/>
    <col min="13067" max="13067" width="14.375" style="1634" customWidth="1"/>
    <col min="13068" max="13068" width="6.25" style="1634" customWidth="1"/>
    <col min="13069" max="13069" width="27.75" style="1634" customWidth="1"/>
    <col min="13070" max="13312" width="9" style="1634"/>
    <col min="13313" max="13313" width="49.25" style="1634" customWidth="1"/>
    <col min="13314" max="13314" width="6.25" style="1634" customWidth="1"/>
    <col min="13315" max="13317" width="13.875" style="1634" customWidth="1"/>
    <col min="13318" max="13318" width="8.875" style="1634" customWidth="1"/>
    <col min="13319" max="13319" width="7.875" style="1634" customWidth="1"/>
    <col min="13320" max="13320" width="9" style="1634" customWidth="1"/>
    <col min="13321" max="13322" width="10.625" style="1634" customWidth="1"/>
    <col min="13323" max="13323" width="14.375" style="1634" customWidth="1"/>
    <col min="13324" max="13324" width="6.25" style="1634" customWidth="1"/>
    <col min="13325" max="13325" width="27.75" style="1634" customWidth="1"/>
    <col min="13326" max="13568" width="9" style="1634"/>
    <col min="13569" max="13569" width="49.25" style="1634" customWidth="1"/>
    <col min="13570" max="13570" width="6.25" style="1634" customWidth="1"/>
    <col min="13571" max="13573" width="13.875" style="1634" customWidth="1"/>
    <col min="13574" max="13574" width="8.875" style="1634" customWidth="1"/>
    <col min="13575" max="13575" width="7.875" style="1634" customWidth="1"/>
    <col min="13576" max="13576" width="9" style="1634" customWidth="1"/>
    <col min="13577" max="13578" width="10.625" style="1634" customWidth="1"/>
    <col min="13579" max="13579" width="14.375" style="1634" customWidth="1"/>
    <col min="13580" max="13580" width="6.25" style="1634" customWidth="1"/>
    <col min="13581" max="13581" width="27.75" style="1634" customWidth="1"/>
    <col min="13582" max="13824" width="9" style="1634"/>
    <col min="13825" max="13825" width="49.25" style="1634" customWidth="1"/>
    <col min="13826" max="13826" width="6.25" style="1634" customWidth="1"/>
    <col min="13827" max="13829" width="13.875" style="1634" customWidth="1"/>
    <col min="13830" max="13830" width="8.875" style="1634" customWidth="1"/>
    <col min="13831" max="13831" width="7.875" style="1634" customWidth="1"/>
    <col min="13832" max="13832" width="9" style="1634" customWidth="1"/>
    <col min="13833" max="13834" width="10.625" style="1634" customWidth="1"/>
    <col min="13835" max="13835" width="14.375" style="1634" customWidth="1"/>
    <col min="13836" max="13836" width="6.25" style="1634" customWidth="1"/>
    <col min="13837" max="13837" width="27.75" style="1634" customWidth="1"/>
    <col min="13838" max="14080" width="9" style="1634"/>
    <col min="14081" max="14081" width="49.25" style="1634" customWidth="1"/>
    <col min="14082" max="14082" width="6.25" style="1634" customWidth="1"/>
    <col min="14083" max="14085" width="13.875" style="1634" customWidth="1"/>
    <col min="14086" max="14086" width="8.875" style="1634" customWidth="1"/>
    <col min="14087" max="14087" width="7.875" style="1634" customWidth="1"/>
    <col min="14088" max="14088" width="9" style="1634" customWidth="1"/>
    <col min="14089" max="14090" width="10.625" style="1634" customWidth="1"/>
    <col min="14091" max="14091" width="14.375" style="1634" customWidth="1"/>
    <col min="14092" max="14092" width="6.25" style="1634" customWidth="1"/>
    <col min="14093" max="14093" width="27.75" style="1634" customWidth="1"/>
    <col min="14094" max="14336" width="9" style="1634"/>
    <col min="14337" max="14337" width="49.25" style="1634" customWidth="1"/>
    <col min="14338" max="14338" width="6.25" style="1634" customWidth="1"/>
    <col min="14339" max="14341" width="13.875" style="1634" customWidth="1"/>
    <col min="14342" max="14342" width="8.875" style="1634" customWidth="1"/>
    <col min="14343" max="14343" width="7.875" style="1634" customWidth="1"/>
    <col min="14344" max="14344" width="9" style="1634" customWidth="1"/>
    <col min="14345" max="14346" width="10.625" style="1634" customWidth="1"/>
    <col min="14347" max="14347" width="14.375" style="1634" customWidth="1"/>
    <col min="14348" max="14348" width="6.25" style="1634" customWidth="1"/>
    <col min="14349" max="14349" width="27.75" style="1634" customWidth="1"/>
    <col min="14350" max="14592" width="9" style="1634"/>
    <col min="14593" max="14593" width="49.25" style="1634" customWidth="1"/>
    <col min="14594" max="14594" width="6.25" style="1634" customWidth="1"/>
    <col min="14595" max="14597" width="13.875" style="1634" customWidth="1"/>
    <col min="14598" max="14598" width="8.875" style="1634" customWidth="1"/>
    <col min="14599" max="14599" width="7.875" style="1634" customWidth="1"/>
    <col min="14600" max="14600" width="9" style="1634" customWidth="1"/>
    <col min="14601" max="14602" width="10.625" style="1634" customWidth="1"/>
    <col min="14603" max="14603" width="14.375" style="1634" customWidth="1"/>
    <col min="14604" max="14604" width="6.25" style="1634" customWidth="1"/>
    <col min="14605" max="14605" width="27.75" style="1634" customWidth="1"/>
    <col min="14606" max="14848" width="9" style="1634"/>
    <col min="14849" max="14849" width="49.25" style="1634" customWidth="1"/>
    <col min="14850" max="14850" width="6.25" style="1634" customWidth="1"/>
    <col min="14851" max="14853" width="13.875" style="1634" customWidth="1"/>
    <col min="14854" max="14854" width="8.875" style="1634" customWidth="1"/>
    <col min="14855" max="14855" width="7.875" style="1634" customWidth="1"/>
    <col min="14856" max="14856" width="9" style="1634" customWidth="1"/>
    <col min="14857" max="14858" width="10.625" style="1634" customWidth="1"/>
    <col min="14859" max="14859" width="14.375" style="1634" customWidth="1"/>
    <col min="14860" max="14860" width="6.25" style="1634" customWidth="1"/>
    <col min="14861" max="14861" width="27.75" style="1634" customWidth="1"/>
    <col min="14862" max="15104" width="9" style="1634"/>
    <col min="15105" max="15105" width="49.25" style="1634" customWidth="1"/>
    <col min="15106" max="15106" width="6.25" style="1634" customWidth="1"/>
    <col min="15107" max="15109" width="13.875" style="1634" customWidth="1"/>
    <col min="15110" max="15110" width="8.875" style="1634" customWidth="1"/>
    <col min="15111" max="15111" width="7.875" style="1634" customWidth="1"/>
    <col min="15112" max="15112" width="9" style="1634" customWidth="1"/>
    <col min="15113" max="15114" width="10.625" style="1634" customWidth="1"/>
    <col min="15115" max="15115" width="14.375" style="1634" customWidth="1"/>
    <col min="15116" max="15116" width="6.25" style="1634" customWidth="1"/>
    <col min="15117" max="15117" width="27.75" style="1634" customWidth="1"/>
    <col min="15118" max="15360" width="9" style="1634"/>
    <col min="15361" max="15361" width="49.25" style="1634" customWidth="1"/>
    <col min="15362" max="15362" width="6.25" style="1634" customWidth="1"/>
    <col min="15363" max="15365" width="13.875" style="1634" customWidth="1"/>
    <col min="15366" max="15366" width="8.875" style="1634" customWidth="1"/>
    <col min="15367" max="15367" width="7.875" style="1634" customWidth="1"/>
    <col min="15368" max="15368" width="9" style="1634" customWidth="1"/>
    <col min="15369" max="15370" width="10.625" style="1634" customWidth="1"/>
    <col min="15371" max="15371" width="14.375" style="1634" customWidth="1"/>
    <col min="15372" max="15372" width="6.25" style="1634" customWidth="1"/>
    <col min="15373" max="15373" width="27.75" style="1634" customWidth="1"/>
    <col min="15374" max="15616" width="9" style="1634"/>
    <col min="15617" max="15617" width="49.25" style="1634" customWidth="1"/>
    <col min="15618" max="15618" width="6.25" style="1634" customWidth="1"/>
    <col min="15619" max="15621" width="13.875" style="1634" customWidth="1"/>
    <col min="15622" max="15622" width="8.875" style="1634" customWidth="1"/>
    <col min="15623" max="15623" width="7.875" style="1634" customWidth="1"/>
    <col min="15624" max="15624" width="9" style="1634" customWidth="1"/>
    <col min="15625" max="15626" width="10.625" style="1634" customWidth="1"/>
    <col min="15627" max="15627" width="14.375" style="1634" customWidth="1"/>
    <col min="15628" max="15628" width="6.25" style="1634" customWidth="1"/>
    <col min="15629" max="15629" width="27.75" style="1634" customWidth="1"/>
    <col min="15630" max="15872" width="9" style="1634"/>
    <col min="15873" max="15873" width="49.25" style="1634" customWidth="1"/>
    <col min="15874" max="15874" width="6.25" style="1634" customWidth="1"/>
    <col min="15875" max="15877" width="13.875" style="1634" customWidth="1"/>
    <col min="15878" max="15878" width="8.875" style="1634" customWidth="1"/>
    <col min="15879" max="15879" width="7.875" style="1634" customWidth="1"/>
    <col min="15880" max="15880" width="9" style="1634" customWidth="1"/>
    <col min="15881" max="15882" width="10.625" style="1634" customWidth="1"/>
    <col min="15883" max="15883" width="14.375" style="1634" customWidth="1"/>
    <col min="15884" max="15884" width="6.25" style="1634" customWidth="1"/>
    <col min="15885" max="15885" width="27.75" style="1634" customWidth="1"/>
    <col min="15886" max="16128" width="9" style="1634"/>
    <col min="16129" max="16129" width="49.25" style="1634" customWidth="1"/>
    <col min="16130" max="16130" width="6.25" style="1634" customWidth="1"/>
    <col min="16131" max="16133" width="13.875" style="1634" customWidth="1"/>
    <col min="16134" max="16134" width="8.875" style="1634" customWidth="1"/>
    <col min="16135" max="16135" width="7.875" style="1634" customWidth="1"/>
    <col min="16136" max="16136" width="9" style="1634" customWidth="1"/>
    <col min="16137" max="16138" width="10.625" style="1634" customWidth="1"/>
    <col min="16139" max="16139" width="14.375" style="1634" customWidth="1"/>
    <col min="16140" max="16140" width="6.25" style="1634" customWidth="1"/>
    <col min="16141" max="16141" width="27.75" style="1634" customWidth="1"/>
    <col min="16142" max="16384" width="9" style="1634"/>
  </cols>
  <sheetData>
    <row r="1" spans="1:13">
      <c r="A1" s="1634" t="s">
        <v>3117</v>
      </c>
      <c r="B1" s="1634" t="s">
        <v>3118</v>
      </c>
      <c r="C1" s="1634" t="s">
        <v>3119</v>
      </c>
      <c r="D1" s="1634" t="s">
        <v>3120</v>
      </c>
      <c r="E1" s="1634" t="s">
        <v>3121</v>
      </c>
      <c r="F1" s="1634" t="s">
        <v>3122</v>
      </c>
      <c r="G1" s="1634" t="s">
        <v>3123</v>
      </c>
      <c r="H1" s="1634" t="s">
        <v>3124</v>
      </c>
      <c r="I1" s="1634" t="s">
        <v>3125</v>
      </c>
      <c r="J1" s="1634" t="s">
        <v>3126</v>
      </c>
      <c r="K1" s="1634" t="s">
        <v>3127</v>
      </c>
      <c r="L1" s="1634" t="s">
        <v>3128</v>
      </c>
      <c r="M1" s="1634" t="s">
        <v>3129</v>
      </c>
    </row>
    <row r="2" spans="1:13">
      <c r="A2" s="1634" t="s">
        <v>3204</v>
      </c>
      <c r="B2" s="1634" t="s">
        <v>3130</v>
      </c>
      <c r="C2" s="1634" t="s">
        <v>3131</v>
      </c>
      <c r="D2" s="1634">
        <v>48783</v>
      </c>
      <c r="E2" s="1634">
        <v>175300</v>
      </c>
      <c r="F2" s="1634">
        <v>3.59</v>
      </c>
      <c r="G2" s="1634" t="s">
        <v>3132</v>
      </c>
      <c r="H2" s="1634" t="s">
        <v>3205</v>
      </c>
      <c r="I2" s="1634">
        <v>113970</v>
      </c>
      <c r="J2" s="1634">
        <v>113970</v>
      </c>
      <c r="K2" s="1634">
        <v>6501.43</v>
      </c>
      <c r="L2" s="1634">
        <v>0</v>
      </c>
      <c r="M2" s="1634" t="s">
        <v>3206</v>
      </c>
    </row>
    <row r="3" spans="1:13">
      <c r="A3" s="1634" t="s">
        <v>3207</v>
      </c>
      <c r="B3" s="1634" t="s">
        <v>3130</v>
      </c>
      <c r="C3" s="1634" t="s">
        <v>3131</v>
      </c>
      <c r="D3" s="1634">
        <v>28714</v>
      </c>
      <c r="E3" s="1634">
        <v>82010</v>
      </c>
      <c r="F3" s="1634" t="s">
        <v>3208</v>
      </c>
      <c r="G3" s="1634" t="s">
        <v>3132</v>
      </c>
      <c r="H3" s="1634" t="s">
        <v>3136</v>
      </c>
      <c r="I3" s="1634">
        <v>78600</v>
      </c>
      <c r="J3" s="1634">
        <v>78600</v>
      </c>
      <c r="K3" s="1634">
        <v>9584.2000000000007</v>
      </c>
      <c r="L3" s="1634">
        <v>0</v>
      </c>
      <c r="M3" s="1634" t="s">
        <v>3209</v>
      </c>
    </row>
    <row r="4" spans="1:13" s="2964" customFormat="1">
      <c r="A4" s="2964" t="s">
        <v>3133</v>
      </c>
      <c r="B4" s="2964" t="s">
        <v>3130</v>
      </c>
      <c r="C4" s="2964" t="s">
        <v>3134</v>
      </c>
      <c r="D4" s="2964">
        <v>183130</v>
      </c>
      <c r="E4" s="2964">
        <v>475980.4</v>
      </c>
      <c r="F4" s="2964" t="s">
        <v>3135</v>
      </c>
      <c r="G4" s="2964" t="s">
        <v>3132</v>
      </c>
      <c r="H4" s="2964" t="s">
        <v>3136</v>
      </c>
      <c r="I4" s="2964">
        <v>368742</v>
      </c>
      <c r="J4" s="2964">
        <v>368742</v>
      </c>
      <c r="K4" s="2964">
        <v>7747</v>
      </c>
      <c r="L4" s="2964">
        <v>0</v>
      </c>
      <c r="M4" s="2964" t="s">
        <v>3137</v>
      </c>
    </row>
    <row r="5" spans="1:13" s="2964" customFormat="1">
      <c r="A5" s="2964" t="s">
        <v>3210</v>
      </c>
      <c r="B5" s="2964" t="s">
        <v>3130</v>
      </c>
      <c r="C5" s="2964" t="s">
        <v>3131</v>
      </c>
      <c r="D5" s="2964">
        <v>174950</v>
      </c>
      <c r="E5" s="2964">
        <v>600078.5</v>
      </c>
      <c r="F5" s="2964">
        <v>3.43</v>
      </c>
      <c r="G5" s="2964" t="s">
        <v>3132</v>
      </c>
      <c r="H5" s="2964" t="s">
        <v>3136</v>
      </c>
      <c r="I5" s="2964">
        <v>391730</v>
      </c>
      <c r="J5" s="2964">
        <v>391730</v>
      </c>
      <c r="K5" s="2964">
        <v>6527.97</v>
      </c>
      <c r="L5" s="2964">
        <v>0</v>
      </c>
      <c r="M5" s="2964" t="s">
        <v>3138</v>
      </c>
    </row>
    <row r="6" spans="1:13" s="2964" customFormat="1">
      <c r="A6" s="2964" t="s">
        <v>3211</v>
      </c>
      <c r="B6" s="2964" t="s">
        <v>3130</v>
      </c>
      <c r="C6" s="2964" t="s">
        <v>3134</v>
      </c>
      <c r="D6" s="2964">
        <v>52064.51</v>
      </c>
      <c r="E6" s="2964">
        <v>62477.41</v>
      </c>
      <c r="F6" s="2964" t="s">
        <v>3212</v>
      </c>
      <c r="G6" s="2964" t="s">
        <v>3132</v>
      </c>
      <c r="H6" s="2964" t="s">
        <v>3213</v>
      </c>
      <c r="I6" s="2964">
        <v>35560</v>
      </c>
      <c r="J6" s="2964">
        <v>71020</v>
      </c>
      <c r="K6" s="2964">
        <v>11367.3</v>
      </c>
      <c r="L6" s="2964">
        <v>99.72</v>
      </c>
      <c r="M6" s="2964" t="s">
        <v>3214</v>
      </c>
    </row>
    <row r="7" spans="1:13" s="2949" customFormat="1">
      <c r="A7" s="2950" t="s">
        <v>3236</v>
      </c>
      <c r="B7" s="2949" t="s">
        <v>3130</v>
      </c>
      <c r="C7" s="2949" t="s">
        <v>3134</v>
      </c>
      <c r="D7" s="2949">
        <v>55990</v>
      </c>
      <c r="E7" s="2949">
        <v>134376</v>
      </c>
      <c r="F7" s="2949">
        <v>2.4</v>
      </c>
      <c r="G7" s="2949" t="s">
        <v>3132</v>
      </c>
      <c r="H7" s="2949" t="s">
        <v>3139</v>
      </c>
      <c r="I7" s="2949">
        <v>70600</v>
      </c>
      <c r="J7" s="2949">
        <v>112840</v>
      </c>
      <c r="K7" s="2949">
        <v>8397.32</v>
      </c>
      <c r="L7" s="2949">
        <v>59.83</v>
      </c>
      <c r="M7" s="2949" t="s">
        <v>3140</v>
      </c>
    </row>
    <row r="8" spans="1:13" s="2949" customFormat="1">
      <c r="A8" s="2950" t="s">
        <v>3237</v>
      </c>
      <c r="B8" s="2949" t="s">
        <v>3130</v>
      </c>
      <c r="C8" s="2949" t="s">
        <v>3134</v>
      </c>
      <c r="D8" s="2949">
        <v>95433</v>
      </c>
      <c r="E8" s="2949">
        <v>238582.5</v>
      </c>
      <c r="F8" s="2949">
        <v>2.5</v>
      </c>
      <c r="G8" s="2949" t="s">
        <v>3132</v>
      </c>
      <c r="H8" s="2949" t="s">
        <v>3139</v>
      </c>
      <c r="I8" s="2949">
        <v>125300</v>
      </c>
      <c r="J8" s="2949">
        <v>200167</v>
      </c>
      <c r="K8" s="2949">
        <v>8389.84</v>
      </c>
      <c r="L8" s="2949">
        <v>59.75</v>
      </c>
      <c r="M8" s="2949" t="s">
        <v>3141</v>
      </c>
    </row>
    <row r="9" spans="1:13" s="2964" customFormat="1">
      <c r="A9" s="2964" t="s">
        <v>3215</v>
      </c>
      <c r="B9" s="2964" t="s">
        <v>3130</v>
      </c>
      <c r="C9" s="2964" t="s">
        <v>3131</v>
      </c>
      <c r="D9" s="2964">
        <v>45170</v>
      </c>
      <c r="E9" s="2964">
        <v>216816</v>
      </c>
      <c r="F9" s="2964">
        <v>4.8</v>
      </c>
      <c r="G9" s="2964" t="s">
        <v>3132</v>
      </c>
      <c r="H9" s="2964" t="s">
        <v>3216</v>
      </c>
      <c r="I9" s="2964">
        <v>310700</v>
      </c>
      <c r="J9" s="2964">
        <v>310700</v>
      </c>
      <c r="K9" s="2964">
        <v>14330.12</v>
      </c>
      <c r="L9" s="2964">
        <v>0</v>
      </c>
      <c r="M9" s="2964" t="s">
        <v>3217</v>
      </c>
    </row>
    <row r="10" spans="1:13" s="2964" customFormat="1">
      <c r="A10" s="2964" t="s">
        <v>3218</v>
      </c>
      <c r="B10" s="2964" t="s">
        <v>3130</v>
      </c>
      <c r="C10" s="2964" t="s">
        <v>3131</v>
      </c>
      <c r="D10" s="2964">
        <v>77000</v>
      </c>
      <c r="E10" s="2964">
        <v>280280</v>
      </c>
      <c r="F10" s="2964">
        <v>3.64</v>
      </c>
      <c r="G10" s="2964" t="s">
        <v>3132</v>
      </c>
      <c r="H10" s="2964" t="s">
        <v>3142</v>
      </c>
      <c r="I10" s="2964">
        <v>140190</v>
      </c>
      <c r="J10" s="2964">
        <v>140190</v>
      </c>
      <c r="K10" s="2964">
        <v>5001.7700000000004</v>
      </c>
      <c r="L10" s="2964">
        <v>0</v>
      </c>
      <c r="M10" s="2964" t="s">
        <v>3219</v>
      </c>
    </row>
    <row r="11" spans="1:13" s="2964" customFormat="1">
      <c r="A11" s="2964" t="s">
        <v>3143</v>
      </c>
      <c r="B11" s="2964" t="s">
        <v>3130</v>
      </c>
      <c r="C11" s="2964" t="s">
        <v>3131</v>
      </c>
      <c r="D11" s="2964">
        <v>140886</v>
      </c>
      <c r="E11" s="2964">
        <v>324200</v>
      </c>
      <c r="F11" s="2964">
        <v>2.2999999999999998</v>
      </c>
      <c r="G11" s="2964" t="s">
        <v>3132</v>
      </c>
      <c r="H11" s="2964" t="s">
        <v>3142</v>
      </c>
      <c r="I11" s="2964">
        <v>194520</v>
      </c>
      <c r="J11" s="2964">
        <v>195520</v>
      </c>
      <c r="K11" s="2964">
        <v>6030.85</v>
      </c>
      <c r="L11" s="2964">
        <v>0.51</v>
      </c>
      <c r="M11" s="2964" t="s">
        <v>3144</v>
      </c>
    </row>
    <row r="12" spans="1:13" s="2949" customFormat="1">
      <c r="A12" s="2950" t="s">
        <v>3238</v>
      </c>
      <c r="B12" s="2949" t="s">
        <v>3130</v>
      </c>
      <c r="C12" s="2949" t="s">
        <v>3131</v>
      </c>
      <c r="D12" s="2949">
        <v>121700</v>
      </c>
      <c r="E12" s="2949">
        <v>426000</v>
      </c>
      <c r="F12" s="2949">
        <v>3.5</v>
      </c>
      <c r="G12" s="2949" t="s">
        <v>3132</v>
      </c>
      <c r="H12" s="2949" t="s">
        <v>3142</v>
      </c>
      <c r="I12" s="2949">
        <v>251000</v>
      </c>
      <c r="J12" s="2949">
        <v>386540</v>
      </c>
      <c r="K12" s="2949">
        <v>9073.7000000000007</v>
      </c>
      <c r="L12" s="2949">
        <v>54</v>
      </c>
      <c r="M12" s="2949" t="s">
        <v>3145</v>
      </c>
    </row>
    <row r="13" spans="1:13" s="2964" customFormat="1">
      <c r="A13" s="2964" t="s">
        <v>3220</v>
      </c>
      <c r="B13" s="2964" t="s">
        <v>3130</v>
      </c>
      <c r="C13" s="2964" t="s">
        <v>3131</v>
      </c>
      <c r="D13" s="2964">
        <v>67816.88</v>
      </c>
      <c r="E13" s="2964">
        <v>250128</v>
      </c>
      <c r="F13" s="2964">
        <v>3.9</v>
      </c>
      <c r="G13" s="2964" t="s">
        <v>3132</v>
      </c>
      <c r="H13" s="2964" t="s">
        <v>3142</v>
      </c>
      <c r="I13" s="2964">
        <v>130350</v>
      </c>
      <c r="J13" s="2964">
        <v>130850</v>
      </c>
      <c r="K13" s="2964">
        <v>5231.3100000000004</v>
      </c>
      <c r="L13" s="2964">
        <v>0.38</v>
      </c>
      <c r="M13" s="2964" t="s">
        <v>3221</v>
      </c>
    </row>
    <row r="14" spans="1:13" s="2964" customFormat="1">
      <c r="A14" s="2964" t="s">
        <v>3222</v>
      </c>
      <c r="B14" s="2964" t="s">
        <v>3130</v>
      </c>
      <c r="C14" s="2964" t="s">
        <v>3131</v>
      </c>
      <c r="D14" s="2964">
        <v>33224</v>
      </c>
      <c r="E14" s="2964">
        <v>180717</v>
      </c>
      <c r="F14" s="2964">
        <v>5.44</v>
      </c>
      <c r="G14" s="2964" t="s">
        <v>3132</v>
      </c>
      <c r="H14" s="2964" t="s">
        <v>3142</v>
      </c>
      <c r="I14" s="2964">
        <v>136300</v>
      </c>
      <c r="J14" s="2964">
        <v>136300</v>
      </c>
      <c r="K14" s="2964">
        <v>7542.18</v>
      </c>
      <c r="L14" s="2964">
        <v>0</v>
      </c>
      <c r="M14" s="2964" t="s">
        <v>3223</v>
      </c>
    </row>
    <row r="15" spans="1:13" s="2964" customFormat="1">
      <c r="A15" s="2964" t="s">
        <v>3224</v>
      </c>
      <c r="B15" s="2964" t="s">
        <v>3130</v>
      </c>
      <c r="C15" s="2964" t="s">
        <v>3131</v>
      </c>
      <c r="D15" s="2964">
        <v>57007</v>
      </c>
      <c r="E15" s="2964">
        <v>188924</v>
      </c>
      <c r="F15" s="2964">
        <v>3.31</v>
      </c>
      <c r="G15" s="2964" t="s">
        <v>3132</v>
      </c>
      <c r="H15" s="2964" t="s">
        <v>3142</v>
      </c>
      <c r="I15" s="2964">
        <v>133140</v>
      </c>
      <c r="J15" s="2964">
        <v>133140</v>
      </c>
      <c r="K15" s="2964">
        <v>7047.27</v>
      </c>
      <c r="L15" s="2964">
        <v>0</v>
      </c>
      <c r="M15" s="2964" t="s">
        <v>3225</v>
      </c>
    </row>
    <row r="16" spans="1:13" s="2964" customFormat="1">
      <c r="A16" s="2964" t="s">
        <v>3226</v>
      </c>
      <c r="B16" s="2964" t="s">
        <v>3130</v>
      </c>
      <c r="C16" s="2964" t="s">
        <v>3131</v>
      </c>
      <c r="D16" s="2964">
        <v>26795</v>
      </c>
      <c r="E16" s="2964">
        <v>64308</v>
      </c>
      <c r="F16" s="2964">
        <v>2.4</v>
      </c>
      <c r="G16" s="2964" t="s">
        <v>3132</v>
      </c>
      <c r="H16" s="2964" t="s">
        <v>3142</v>
      </c>
      <c r="I16" s="2964">
        <v>55680</v>
      </c>
      <c r="J16" s="2964">
        <v>55680</v>
      </c>
      <c r="K16" s="2964">
        <v>8658.32</v>
      </c>
      <c r="L16" s="2964">
        <v>0</v>
      </c>
      <c r="M16" s="2964" t="s">
        <v>3227</v>
      </c>
    </row>
    <row r="17" spans="1:13" s="2964" customFormat="1">
      <c r="A17" s="2964" t="s">
        <v>3228</v>
      </c>
      <c r="B17" s="2964" t="s">
        <v>3130</v>
      </c>
      <c r="C17" s="2964" t="s">
        <v>3134</v>
      </c>
      <c r="D17" s="2964">
        <v>56309.69</v>
      </c>
      <c r="E17" s="2964">
        <v>178100</v>
      </c>
      <c r="F17" s="2964">
        <v>3.16</v>
      </c>
      <c r="G17" s="2964" t="s">
        <v>3132</v>
      </c>
      <c r="H17" s="2964" t="s">
        <v>3142</v>
      </c>
      <c r="I17" s="2964">
        <v>106860</v>
      </c>
      <c r="J17" s="2964">
        <v>133860</v>
      </c>
      <c r="K17" s="2964">
        <v>7516</v>
      </c>
      <c r="L17" s="2964">
        <v>25.27</v>
      </c>
      <c r="M17" s="2964" t="s">
        <v>3144</v>
      </c>
    </row>
    <row r="18" spans="1:13" s="2964" customFormat="1">
      <c r="A18" s="2964" t="s">
        <v>3229</v>
      </c>
      <c r="B18" s="2964" t="s">
        <v>3130</v>
      </c>
      <c r="C18" s="2964" t="s">
        <v>3131</v>
      </c>
      <c r="D18" s="2964">
        <v>142320</v>
      </c>
      <c r="E18" s="2964">
        <v>392800</v>
      </c>
      <c r="F18" s="2964">
        <v>2.76</v>
      </c>
      <c r="G18" s="2964" t="s">
        <v>3132</v>
      </c>
      <c r="H18" s="2964" t="s">
        <v>3230</v>
      </c>
      <c r="I18" s="2964">
        <v>258470</v>
      </c>
      <c r="J18" s="2964">
        <v>258470</v>
      </c>
      <c r="K18" s="2964">
        <v>6580.18</v>
      </c>
      <c r="L18" s="2964">
        <v>0</v>
      </c>
      <c r="M18" s="2964" t="s">
        <v>3231</v>
      </c>
    </row>
    <row r="19" spans="1:13">
      <c r="A19" s="1634" t="s">
        <v>3232</v>
      </c>
      <c r="B19" s="1634" t="s">
        <v>3130</v>
      </c>
      <c r="C19" s="1634" t="s">
        <v>3134</v>
      </c>
      <c r="D19" s="1634">
        <v>140670.6</v>
      </c>
      <c r="E19" s="1634">
        <v>637326</v>
      </c>
      <c r="F19" s="1634" t="s">
        <v>3233</v>
      </c>
      <c r="G19" s="1634" t="s">
        <v>3132</v>
      </c>
      <c r="H19" s="1634" t="s">
        <v>3234</v>
      </c>
      <c r="I19" s="1634">
        <v>271950</v>
      </c>
      <c r="J19" s="1634">
        <v>271950</v>
      </c>
      <c r="K19" s="1634">
        <v>4267.05</v>
      </c>
      <c r="L19" s="1634">
        <v>0</v>
      </c>
      <c r="M19" s="1634" t="s">
        <v>3235</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topLeftCell="F1" workbookViewId="0">
      <selection activeCell="R24" sqref="R24"/>
    </sheetView>
  </sheetViews>
  <sheetFormatPr defaultColWidth="6.625" defaultRowHeight="13.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2961" customWidth="1"/>
    <col min="13" max="13" width="13.125" style="951" customWidth="1"/>
    <col min="14" max="14" width="12.125" style="951" customWidth="1"/>
    <col min="15" max="15" width="10.375" style="951" customWidth="1"/>
    <col min="16" max="254" width="9" style="951" customWidth="1"/>
    <col min="255" max="16384" width="6.625" style="951"/>
  </cols>
  <sheetData>
    <row r="1" spans="1:33" ht="20.25">
      <c r="A1" s="240" t="s">
        <v>2454</v>
      </c>
      <c r="B1" s="1580"/>
      <c r="C1" s="1581"/>
      <c r="D1" s="1579"/>
      <c r="E1" s="320"/>
      <c r="F1" s="320"/>
      <c r="G1" s="1580"/>
      <c r="H1" s="320"/>
      <c r="I1" s="320"/>
      <c r="J1" s="320"/>
      <c r="K1" s="320">
        <f>MATCH(C1,'数据-取费表'!A6:A16,0)+5</f>
        <v>9</v>
      </c>
    </row>
    <row r="2" spans="1:33" ht="18" customHeight="1">
      <c r="A2" s="245" t="s">
        <v>2322</v>
      </c>
      <c r="B2" s="248">
        <f ca="1">C32</f>
        <v>748222</v>
      </c>
      <c r="C2" s="320" t="s">
        <v>2455</v>
      </c>
      <c r="D2" s="320"/>
      <c r="E2" s="320"/>
      <c r="F2" s="320"/>
      <c r="G2" s="320"/>
      <c r="H2" s="320"/>
      <c r="I2" s="320"/>
      <c r="J2" s="320"/>
      <c r="K2" s="320"/>
    </row>
    <row r="3" spans="1:33" ht="18" customHeight="1" thickBot="1">
      <c r="A3" s="247" t="s">
        <v>2324</v>
      </c>
      <c r="B3" s="248">
        <f ca="1">ROUND(B2*10000/IF(C1="",'数据-汇总表'!E3,INDIRECT("'数据-取费表'!K"&amp;$K$1)),0)</f>
        <v>11651</v>
      </c>
      <c r="C3" s="320" t="s">
        <v>2456</v>
      </c>
      <c r="D3" s="320"/>
      <c r="E3" s="320"/>
      <c r="F3" s="320"/>
      <c r="G3" s="320"/>
      <c r="H3" s="320"/>
      <c r="I3" s="320"/>
      <c r="J3" s="320"/>
      <c r="K3" s="320"/>
      <c r="L3" s="2961" t="s">
        <v>3200</v>
      </c>
      <c r="M3" s="2963" t="s">
        <v>3201</v>
      </c>
      <c r="N3" s="2963" t="s">
        <v>3202</v>
      </c>
    </row>
    <row r="4" spans="1:33" s="955" customFormat="1" ht="16.5" customHeight="1">
      <c r="A4" s="952" t="s">
        <v>2457</v>
      </c>
      <c r="B4" s="953"/>
      <c r="C4" s="995">
        <f ca="1">SUM(C8:K8)</f>
        <v>1084731</v>
      </c>
      <c r="D4" s="953"/>
      <c r="E4" s="953"/>
      <c r="F4" s="953"/>
      <c r="G4" s="953"/>
      <c r="H4" s="953"/>
      <c r="I4" s="953"/>
      <c r="J4" s="953"/>
      <c r="K4" s="954"/>
      <c r="L4" s="2961"/>
      <c r="M4" s="955">
        <f>48922.92+41290.03+42461.36+23214.47</f>
        <v>155888.78</v>
      </c>
      <c r="N4" s="955">
        <f>48922.75+23209.41+42722.61+191785.16</f>
        <v>306639.93</v>
      </c>
    </row>
    <row r="5" spans="1:33" s="959" customFormat="1" ht="15">
      <c r="A5" s="956" t="s">
        <v>2458</v>
      </c>
      <c r="B5" s="957" t="s">
        <v>2459</v>
      </c>
      <c r="C5" s="2553" t="s">
        <v>3059</v>
      </c>
      <c r="D5" s="2553" t="s">
        <v>3062</v>
      </c>
      <c r="E5" s="2553" t="s">
        <v>3063</v>
      </c>
      <c r="F5" s="2553"/>
      <c r="G5" s="2553"/>
      <c r="H5" s="2553"/>
      <c r="I5" s="2553"/>
      <c r="J5" s="2553"/>
      <c r="K5" s="2553"/>
      <c r="L5" s="2961"/>
      <c r="M5" s="2958" t="s">
        <v>3167</v>
      </c>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2460</v>
      </c>
      <c r="C6" s="961">
        <f ca="1">'比较法-住宅'!B3</f>
        <v>21169</v>
      </c>
      <c r="D6" s="961">
        <f ca="1">'比较法-车位'!B3</f>
        <v>3776</v>
      </c>
      <c r="E6" s="961">
        <f>E8*10000/22562.96</f>
        <v>25934.540503550954</v>
      </c>
      <c r="F6" s="961"/>
      <c r="G6" s="961"/>
      <c r="H6" s="961"/>
      <c r="I6" s="961"/>
      <c r="J6" s="961"/>
      <c r="K6" s="962"/>
      <c r="L6" s="2961"/>
      <c r="M6" s="2959"/>
      <c r="N6" s="963"/>
      <c r="O6" s="798" t="s">
        <v>3169</v>
      </c>
      <c r="P6" s="2960" t="s">
        <v>3173</v>
      </c>
      <c r="Q6" s="2959" t="s">
        <v>3192</v>
      </c>
      <c r="R6" s="963"/>
      <c r="S6" s="963"/>
      <c r="T6" s="963"/>
      <c r="U6" s="963"/>
      <c r="V6" s="963"/>
      <c r="W6" s="963"/>
      <c r="X6" s="963"/>
      <c r="Y6" s="963"/>
      <c r="Z6" s="963"/>
      <c r="AA6" s="963"/>
      <c r="AB6" s="963"/>
      <c r="AC6" s="963"/>
      <c r="AD6" s="963"/>
      <c r="AE6" s="963"/>
      <c r="AF6" s="963"/>
      <c r="AG6" s="963"/>
    </row>
    <row r="7" spans="1:33" s="964" customFormat="1" ht="13.5" customHeight="1">
      <c r="A7" s="960" t="s">
        <v>2461</v>
      </c>
      <c r="B7" s="140" t="s">
        <v>2462</v>
      </c>
      <c r="C7" s="321">
        <f>SUMIF('数据-汇总表'!$C19:$C33,假设开发法!C5,'数据-汇总表'!$E19:$E33)</f>
        <v>462528.7</v>
      </c>
      <c r="D7" s="321">
        <f>SUMIF('数据-汇总表'!$C19:$C33,假设开发法!D5,'数据-汇总表'!$E19:$E33)</f>
        <v>124699.67</v>
      </c>
      <c r="E7" s="321">
        <f>SUMIF('数据-汇总表'!$C19:$C33,假设开发法!E5,'数据-汇总表'!$E19:$E33)</f>
        <v>22562.959999999999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2961"/>
      <c r="M7" s="2959" t="s">
        <v>3168</v>
      </c>
      <c r="N7" s="963">
        <v>29208</v>
      </c>
      <c r="O7" s="963">
        <v>1</v>
      </c>
      <c r="P7" s="963"/>
      <c r="Q7" s="963">
        <f>N7</f>
        <v>29208</v>
      </c>
      <c r="R7" s="963"/>
      <c r="S7" s="963"/>
      <c r="T7" s="963"/>
      <c r="U7" s="963"/>
      <c r="V7" s="963"/>
      <c r="W7" s="963"/>
      <c r="X7" s="963"/>
      <c r="Y7" s="963"/>
      <c r="Z7" s="963"/>
      <c r="AA7" s="963"/>
      <c r="AB7" s="963"/>
      <c r="AC7" s="963"/>
      <c r="AD7" s="963"/>
      <c r="AE7" s="963"/>
      <c r="AF7" s="963"/>
      <c r="AG7" s="963"/>
    </row>
    <row r="8" spans="1:33" s="964" customFormat="1" ht="13.5" customHeight="1" thickBot="1">
      <c r="A8" s="2554" t="s">
        <v>2463</v>
      </c>
      <c r="B8" s="177" t="s">
        <v>2464</v>
      </c>
      <c r="C8" s="996">
        <f ca="1">'比较法-住宅'!B2</f>
        <v>979127</v>
      </c>
      <c r="D8" s="996">
        <f ca="1">'比较法-车位'!B2</f>
        <v>47088</v>
      </c>
      <c r="E8" s="996">
        <v>58516</v>
      </c>
      <c r="F8" s="997"/>
      <c r="G8" s="997"/>
      <c r="H8" s="997"/>
      <c r="I8" s="997"/>
      <c r="J8" s="997"/>
      <c r="K8" s="998"/>
      <c r="L8" s="2961"/>
      <c r="M8" s="2959" t="s">
        <v>3170</v>
      </c>
      <c r="N8" s="963">
        <f>ROUND(N7*O8,0)</f>
        <v>24827</v>
      </c>
      <c r="O8" s="963">
        <v>0.85</v>
      </c>
      <c r="P8" s="963"/>
      <c r="Q8" s="963">
        <f>ROUND(AVERAGE(N7:N8),0)</f>
        <v>27018</v>
      </c>
      <c r="R8" s="963" t="s">
        <v>3195</v>
      </c>
      <c r="S8" s="963">
        <v>0.92</v>
      </c>
      <c r="T8" s="963">
        <f>Q7*S8</f>
        <v>26871.360000000001</v>
      </c>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c r="L9" s="2961"/>
      <c r="M9" s="2959" t="s">
        <v>3171</v>
      </c>
      <c r="N9" s="963">
        <f>ROUND(N7*O9,0)</f>
        <v>20446</v>
      </c>
      <c r="O9" s="963">
        <v>0.7</v>
      </c>
      <c r="Q9" s="963">
        <f>ROUND(AVERAGE(N7:N9),0)</f>
        <v>24827</v>
      </c>
      <c r="R9" s="963" t="s">
        <v>3196</v>
      </c>
      <c r="S9" s="955">
        <v>0.8</v>
      </c>
      <c r="T9" s="955">
        <f>Q7*S9</f>
        <v>23366.400000000001</v>
      </c>
    </row>
    <row r="10" spans="1:33" s="969" customFormat="1" ht="13.5" customHeight="1">
      <c r="A10" s="956" t="s">
        <v>2466</v>
      </c>
      <c r="B10" s="8" t="s">
        <v>2467</v>
      </c>
      <c r="C10" s="965" t="s">
        <v>2468</v>
      </c>
      <c r="D10" s="966" t="s">
        <v>2469</v>
      </c>
      <c r="E10" s="966" t="s">
        <v>2470</v>
      </c>
      <c r="F10" s="966" t="s">
        <v>2471</v>
      </c>
      <c r="G10" s="8"/>
      <c r="H10" s="967"/>
      <c r="I10" s="967"/>
      <c r="J10" s="967"/>
      <c r="K10" s="968"/>
      <c r="L10" s="2961"/>
    </row>
    <row r="11" spans="1:33" s="974" customFormat="1" ht="13.5" customHeight="1">
      <c r="A11" s="970" t="s">
        <v>1334</v>
      </c>
      <c r="B11" s="971" t="s">
        <v>2472</v>
      </c>
      <c r="C11" s="323">
        <f ca="1">IF(C1="",'数据-取费表'!P16,INDIRECT("'数据-取费表'!p"&amp;$K$1)+INDIRECT("'数据-取费表'!ar"&amp;$K$1))</f>
        <v>91327</v>
      </c>
      <c r="D11" s="972"/>
      <c r="E11" s="375"/>
      <c r="F11" s="973">
        <f ca="1">1-IF('数据-取费表'!B24=0,1,IF(C1="",'数据-取费表'!N16,INDIRECT("'数据-取费表'!n"&amp;$K$1)))</f>
        <v>0.65300000000000002</v>
      </c>
      <c r="G11" s="8"/>
      <c r="H11" s="967"/>
      <c r="I11" s="967"/>
      <c r="J11" s="967"/>
      <c r="K11" s="968"/>
      <c r="L11" s="2962" t="s">
        <v>3174</v>
      </c>
      <c r="M11" s="2962" t="s">
        <v>3189</v>
      </c>
      <c r="N11" s="2962" t="s">
        <v>3190</v>
      </c>
      <c r="O11" s="2962" t="s">
        <v>3191</v>
      </c>
      <c r="P11" s="2962" t="s">
        <v>3193</v>
      </c>
      <c r="Q11" s="2961"/>
    </row>
    <row r="12" spans="1:33" s="974" customFormat="1" ht="13.5" customHeight="1">
      <c r="A12" s="970" t="s">
        <v>1335</v>
      </c>
      <c r="B12" s="971" t="s">
        <v>2473</v>
      </c>
      <c r="C12" s="24">
        <f ca="1">ROUND(C11*F12,0)</f>
        <v>2740</v>
      </c>
      <c r="D12" s="972"/>
      <c r="E12" s="375"/>
      <c r="F12" s="975">
        <f>'数据-取费表'!B33</f>
        <v>0.03</v>
      </c>
      <c r="G12" s="8" t="s">
        <v>2474</v>
      </c>
      <c r="H12" s="967"/>
      <c r="I12" s="967"/>
      <c r="J12" s="967"/>
      <c r="K12" s="968"/>
      <c r="L12" s="2961" t="s">
        <v>3175</v>
      </c>
      <c r="M12" s="2961">
        <v>2002.59</v>
      </c>
      <c r="N12" s="2961">
        <f>M12/2</f>
        <v>1001.295</v>
      </c>
      <c r="O12" s="2961">
        <f>N7*N12+N8*N12</f>
        <v>54104975.325000003</v>
      </c>
      <c r="P12" s="2961">
        <v>2</v>
      </c>
      <c r="Q12" s="2961"/>
    </row>
    <row r="13" spans="1:33" s="974" customFormat="1" ht="13.5" customHeight="1">
      <c r="A13" s="970" t="s">
        <v>1336</v>
      </c>
      <c r="B13" s="971" t="s">
        <v>2475</v>
      </c>
      <c r="C13" s="24">
        <f ca="1">ROUND(IF(C1="",SUMIF('数据-取费表'!C:C,"住宅",'数据-取费表'!P:P)*F13,IF(INDIRECT("'数据-取费表'!c"&amp;$K$1)="住宅",INDIRECT("'数据-取费表'!P"&amp;$K$1)*F13,0)),0)</f>
        <v>2137</v>
      </c>
      <c r="D13" s="1032"/>
      <c r="E13" s="375"/>
      <c r="F13" s="975">
        <f>'数据-取费表'!B34</f>
        <v>0.03</v>
      </c>
      <c r="G13" s="8" t="s">
        <v>2476</v>
      </c>
      <c r="H13" s="967"/>
      <c r="I13" s="967"/>
      <c r="J13" s="967"/>
      <c r="K13" s="968"/>
      <c r="L13" s="2961" t="s">
        <v>3176</v>
      </c>
      <c r="M13" s="2961">
        <v>1169.23</v>
      </c>
      <c r="N13" s="2961">
        <f>M13/2</f>
        <v>584.61500000000001</v>
      </c>
      <c r="O13" s="2961">
        <f>N7*N13+N8*N13</f>
        <v>31589671.525000002</v>
      </c>
      <c r="P13" s="2961">
        <v>2</v>
      </c>
      <c r="Q13" s="2961"/>
    </row>
    <row r="14" spans="1:33" s="976" customFormat="1" ht="13.5" customHeight="1">
      <c r="A14" s="970" t="s">
        <v>1337</v>
      </c>
      <c r="B14" s="971" t="s">
        <v>2477</v>
      </c>
      <c r="C14" s="24">
        <f ca="1">ROUND(D14*E14*F11/10000,0)</f>
        <v>6291</v>
      </c>
      <c r="D14" s="1032">
        <f ca="1">IF(C1="",'数据-汇总表'!E3,INDIRECT("'数据-取费表'!K"&amp;$K$1)+INDIRECT("'数据-取费表'!S"&amp;$K$1))</f>
        <v>642216.18999999994</v>
      </c>
      <c r="E14" s="24">
        <f>'数据-取费表'!B35</f>
        <v>150</v>
      </c>
      <c r="F14" s="975"/>
      <c r="G14" s="8" t="s">
        <v>2478</v>
      </c>
      <c r="H14" s="967"/>
      <c r="I14" s="967"/>
      <c r="J14" s="967"/>
      <c r="K14" s="968"/>
      <c r="L14" s="2961" t="s">
        <v>3177</v>
      </c>
      <c r="M14" s="2961">
        <v>708.02</v>
      </c>
      <c r="N14" s="2961">
        <f>M14/2</f>
        <v>354.01</v>
      </c>
      <c r="O14" s="2961">
        <f>N7*N14+N8*N14</f>
        <v>19128930.350000001</v>
      </c>
      <c r="P14" s="2961">
        <v>2</v>
      </c>
      <c r="Q14" s="2961"/>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2479</v>
      </c>
      <c r="C15" s="982">
        <f ca="1">ROUND(C11*F15,0)</f>
        <v>1370</v>
      </c>
      <c r="D15" s="977"/>
      <c r="E15" s="982"/>
      <c r="F15" s="983">
        <f>'数据-取费表'!B36</f>
        <v>1.4999999999999999E-2</v>
      </c>
      <c r="G15" s="140" t="s">
        <v>2480</v>
      </c>
      <c r="H15" s="978"/>
      <c r="I15" s="978"/>
      <c r="J15" s="978"/>
      <c r="K15" s="979"/>
      <c r="L15" s="2961" t="s">
        <v>3178</v>
      </c>
      <c r="M15" s="2961">
        <v>528.80999999999995</v>
      </c>
      <c r="N15" s="2961">
        <f>M15</f>
        <v>528.80999999999995</v>
      </c>
      <c r="O15" s="2961">
        <f>N7*N15</f>
        <v>15445482.479999999</v>
      </c>
      <c r="P15" s="2961">
        <v>1</v>
      </c>
      <c r="Q15" s="2961"/>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103865</v>
      </c>
      <c r="D16" s="977"/>
      <c r="E16" s="982"/>
      <c r="F16" s="983"/>
      <c r="G16" s="140"/>
      <c r="H16" s="1577"/>
      <c r="I16" s="978"/>
      <c r="J16" s="978"/>
      <c r="K16" s="979"/>
      <c r="L16" s="2961" t="s">
        <v>3179</v>
      </c>
      <c r="M16" s="2961">
        <v>1982.7</v>
      </c>
      <c r="N16" s="2961">
        <f>M16/3</f>
        <v>660.9</v>
      </c>
      <c r="O16" s="2961">
        <f>N7*N16+N8*N16+N9*N16</f>
        <v>49224492.899999999</v>
      </c>
      <c r="P16" s="2961">
        <v>3</v>
      </c>
      <c r="Q16" s="2961"/>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6422</v>
      </c>
      <c r="D17" s="1032">
        <f ca="1">D14</f>
        <v>642216.18999999994</v>
      </c>
      <c r="E17" s="24">
        <f>'数据-取费表'!B32</f>
        <v>100</v>
      </c>
      <c r="F17" s="977"/>
      <c r="G17" s="140" t="s">
        <v>2483</v>
      </c>
      <c r="H17" s="1577"/>
      <c r="I17" s="978"/>
      <c r="J17" s="978"/>
      <c r="K17" s="979"/>
      <c r="L17" s="2961" t="s">
        <v>3180</v>
      </c>
      <c r="M17" s="2961">
        <v>3093.75</v>
      </c>
      <c r="N17" s="2961">
        <f>M17/3</f>
        <v>1031.25</v>
      </c>
      <c r="O17" s="2961">
        <f>N7*N17+N8*N17+N9*N17</f>
        <v>76808531.25</v>
      </c>
      <c r="P17" s="2961">
        <v>3</v>
      </c>
      <c r="Q17" s="2961"/>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2484</v>
      </c>
      <c r="C18" s="24">
        <f ca="1">C19+C20-IF(C1="",'数据-取费表'!B29,IF(G18="已全部缴纳",C19+C20,H18))</f>
        <v>0</v>
      </c>
      <c r="D18" s="1032"/>
      <c r="E18" s="24"/>
      <c r="F18" s="975"/>
      <c r="G18" s="2555"/>
      <c r="H18" s="1576"/>
      <c r="I18" s="2556" t="s">
        <v>2485</v>
      </c>
      <c r="J18" s="978"/>
      <c r="K18" s="979"/>
      <c r="L18" s="2961"/>
      <c r="M18" s="2961"/>
      <c r="N18" s="2961"/>
      <c r="O18" s="2961"/>
      <c r="P18" s="2961"/>
      <c r="Q18" s="2961"/>
    </row>
    <row r="19" spans="1:33" s="974" customFormat="1" ht="13.5" customHeight="1">
      <c r="A19" s="970" t="s">
        <v>805</v>
      </c>
      <c r="B19" s="971" t="s">
        <v>2486</v>
      </c>
      <c r="C19" s="24">
        <f ca="1">ROUND(D19*E19/10000,0)</f>
        <v>0</v>
      </c>
      <c r="D19" s="1032">
        <f ca="1">IF(C1="",'数据-汇总表'!E5,IF(INDIRECT("'数据-取费表'!c"&amp;$K$1)="住宅",INDIRECT("'数据-取费表'!k"&amp;$K$1),0))</f>
        <v>462528.7</v>
      </c>
      <c r="E19" s="24">
        <f>'数据-取费表'!B27</f>
        <v>0</v>
      </c>
      <c r="F19" s="975"/>
      <c r="G19" s="15"/>
      <c r="H19" s="1578"/>
      <c r="I19" s="980"/>
      <c r="J19" s="980"/>
      <c r="K19" s="981"/>
      <c r="L19" s="2961" t="s">
        <v>3186</v>
      </c>
      <c r="M19" s="2961"/>
      <c r="N19" s="2961"/>
      <c r="O19" s="2961"/>
      <c r="P19" s="2961"/>
      <c r="Q19" s="2961"/>
    </row>
    <row r="20" spans="1:33" s="974" customFormat="1" ht="13.5" customHeight="1">
      <c r="A20" s="970" t="s">
        <v>806</v>
      </c>
      <c r="B20" s="971" t="s">
        <v>2487</v>
      </c>
      <c r="C20" s="24">
        <f ca="1">ROUND(D20*E20/10000,0)</f>
        <v>0</v>
      </c>
      <c r="D20" s="1032">
        <f ca="1">IF(C1="",'数据-汇总表'!E6,IF(INDIRECT("'数据-取费表'!c"&amp;$K$1)="住宅",INDIRECT("'数据-取费表'!s"&amp;$K$1),INDIRECT("'数据-取费表'!k"&amp;$K$1)+INDIRECT("'数据-取费表'!s"&amp;$K$1)))</f>
        <v>179687.48999999993</v>
      </c>
      <c r="E20" s="24">
        <f>'数据-取费表'!B28</f>
        <v>0</v>
      </c>
      <c r="F20" s="975"/>
      <c r="G20" s="15"/>
      <c r="H20" s="980"/>
      <c r="I20" s="980"/>
      <c r="J20" s="980"/>
      <c r="K20" s="981"/>
      <c r="L20" s="2961" t="s">
        <v>3187</v>
      </c>
      <c r="M20" s="2961">
        <v>1731.12</v>
      </c>
      <c r="N20" s="2961">
        <f>M20/2</f>
        <v>865.56</v>
      </c>
      <c r="O20" s="2961">
        <f>N7*N20+N8*N20</f>
        <v>46770534.599999994</v>
      </c>
      <c r="P20" s="2961">
        <v>2</v>
      </c>
      <c r="Q20" s="2961"/>
    </row>
    <row r="21" spans="1:33" s="974" customFormat="1" ht="13.5" customHeight="1">
      <c r="A21" s="960" t="s">
        <v>802</v>
      </c>
      <c r="B21" s="984" t="s">
        <v>2488</v>
      </c>
      <c r="C21" s="985">
        <f ca="1">C16+C17+C18</f>
        <v>110287</v>
      </c>
      <c r="D21" s="986"/>
      <c r="E21" s="325"/>
      <c r="F21" s="325"/>
      <c r="G21" s="140" t="s">
        <v>2489</v>
      </c>
      <c r="H21" s="978"/>
      <c r="I21" s="978"/>
      <c r="J21" s="978"/>
      <c r="K21" s="979"/>
      <c r="L21" s="2961" t="s">
        <v>3188</v>
      </c>
      <c r="M21" s="2961">
        <v>1841.91</v>
      </c>
      <c r="N21" s="2961">
        <f>M21/3</f>
        <v>613.97</v>
      </c>
      <c r="O21" s="2961">
        <f>N7*N21+N8*N21+N9*N21</f>
        <v>45729099.570000008</v>
      </c>
      <c r="P21" s="2961">
        <v>3</v>
      </c>
      <c r="Q21" s="2961"/>
    </row>
    <row r="22" spans="1:33" s="974" customFormat="1" ht="13.5" customHeight="1">
      <c r="A22" s="960" t="s">
        <v>2461</v>
      </c>
      <c r="B22" s="984" t="s">
        <v>2490</v>
      </c>
      <c r="C22" s="985">
        <f ca="1">ROUND(C21*F22,0)</f>
        <v>3309</v>
      </c>
      <c r="D22" s="325"/>
      <c r="E22" s="325"/>
      <c r="F22" s="987">
        <f>'数据-取费表'!B37</f>
        <v>0.03</v>
      </c>
      <c r="G22" s="8" t="s">
        <v>2491</v>
      </c>
      <c r="H22" s="967"/>
      <c r="I22" s="967"/>
      <c r="J22" s="967"/>
      <c r="K22" s="968"/>
      <c r="L22" s="2961" t="s">
        <v>3181</v>
      </c>
      <c r="M22" s="2961">
        <v>3050.99</v>
      </c>
      <c r="N22" s="2961">
        <f>M22/2</f>
        <v>1525.4949999999999</v>
      </c>
      <c r="O22" s="2961">
        <f>N7*N22+N8*N22</f>
        <v>82430122.324999988</v>
      </c>
      <c r="P22" s="2961">
        <v>2</v>
      </c>
      <c r="Q22" s="2961"/>
    </row>
    <row r="23" spans="1:33" s="974" customFormat="1" ht="13.5" customHeight="1">
      <c r="A23" s="960" t="s">
        <v>2463</v>
      </c>
      <c r="B23" s="984" t="s">
        <v>2492</v>
      </c>
      <c r="C23" s="985">
        <f ca="1">ROUND(C4*F23*F11,0)</f>
        <v>21250</v>
      </c>
      <c r="D23" s="325"/>
      <c r="E23" s="325"/>
      <c r="F23" s="987">
        <f>'数据-取费表'!B38</f>
        <v>0.03</v>
      </c>
      <c r="G23" s="8" t="s">
        <v>2493</v>
      </c>
      <c r="H23" s="967"/>
      <c r="I23" s="967"/>
      <c r="J23" s="967"/>
      <c r="K23" s="968"/>
      <c r="L23" s="2961" t="s">
        <v>3182</v>
      </c>
      <c r="M23" s="2961">
        <v>1112.92</v>
      </c>
      <c r="N23" s="2961">
        <f>M23/3</f>
        <v>370.97333333333336</v>
      </c>
      <c r="O23" s="2961">
        <f>N7*N23+N8*N23+N9*N23</f>
        <v>27630464.840000004</v>
      </c>
      <c r="P23" s="2961">
        <v>3</v>
      </c>
      <c r="Q23" s="2961"/>
    </row>
    <row r="24" spans="1:33" s="974" customFormat="1" ht="13.5" customHeight="1">
      <c r="A24" s="960" t="s">
        <v>2494</v>
      </c>
      <c r="B24" s="984" t="s">
        <v>2495</v>
      </c>
      <c r="C24" s="324">
        <f>ROUND(F24/(1+'数据-取费表'!C42),4)</f>
        <v>3.8600000000000002E-2</v>
      </c>
      <c r="D24" s="325" t="s">
        <v>15</v>
      </c>
      <c r="E24" s="325"/>
      <c r="F24" s="987">
        <f>'数据-取费表'!B48+'数据-取费表'!B49</f>
        <v>4.0500000000000001E-2</v>
      </c>
      <c r="G24" s="8" t="s">
        <v>2496</v>
      </c>
      <c r="H24" s="989"/>
      <c r="I24" s="989"/>
      <c r="J24" s="989"/>
      <c r="K24" s="990"/>
      <c r="L24" s="2961" t="s">
        <v>3183</v>
      </c>
      <c r="M24" s="2961">
        <v>1754.02</v>
      </c>
      <c r="N24" s="2961">
        <f>M24/3</f>
        <v>584.67333333333329</v>
      </c>
      <c r="O24" s="2961">
        <f>N7*N24+N8*N24+N9*N24</f>
        <v>43547054.539999992</v>
      </c>
      <c r="P24" s="2961">
        <v>3</v>
      </c>
      <c r="Q24" s="2961"/>
    </row>
    <row r="25" spans="1:33" s="974" customFormat="1" ht="13.5" customHeight="1">
      <c r="A25" s="960" t="s">
        <v>2497</v>
      </c>
      <c r="B25" s="986" t="s">
        <v>2498</v>
      </c>
      <c r="C25" s="1355">
        <f ca="1">C27</f>
        <v>4776</v>
      </c>
      <c r="D25" s="324">
        <f ca="1">C26</f>
        <v>7.4899999999999994E-2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c r="L25" s="2961" t="s">
        <v>3184</v>
      </c>
      <c r="M25" s="2961">
        <v>843.84</v>
      </c>
      <c r="N25" s="2961">
        <f>M25</f>
        <v>843.84</v>
      </c>
      <c r="O25" s="2961">
        <f>N7*N25</f>
        <v>24646878.720000003</v>
      </c>
      <c r="P25" s="2961">
        <v>1</v>
      </c>
      <c r="Q25" s="2961"/>
    </row>
    <row r="26" spans="1:33" s="992" customFormat="1" ht="13.5" customHeight="1">
      <c r="A26" s="970" t="s">
        <v>803</v>
      </c>
      <c r="B26" s="991" t="s">
        <v>2499</v>
      </c>
      <c r="C26" s="1356">
        <f ca="1">ROUND(IF('数据-取费表'!B22&lt;=1,(1+C24)*F25*'数据-取费表'!B24,(1+C24)*(POWER((1+F25),'数据-取费表'!B24)-1)),4)</f>
        <v>7.4899999999999994E-2</v>
      </c>
      <c r="D26" s="328"/>
      <c r="E26" s="329"/>
      <c r="F26" s="330"/>
      <c r="G26" s="2557" t="str">
        <f>IF('数据-取费表'!B22&lt;=1,"（(1)+取得税费率/(1+5%)）×年利率×建设期","（(1)+取得税费率）/(1+5%)×((1+年利率)^建设期-1)")</f>
        <v>（(1)+取得税费率）/(1+5%)×((1+年利率)^建设期-1)</v>
      </c>
      <c r="H26" s="978"/>
      <c r="I26" s="978"/>
      <c r="J26" s="978"/>
      <c r="K26" s="979"/>
      <c r="L26" s="2961" t="s">
        <v>3185</v>
      </c>
      <c r="M26" s="2961">
        <v>2743.06</v>
      </c>
      <c r="N26" s="2961">
        <f>M26/3</f>
        <v>914.35333333333335</v>
      </c>
      <c r="O26" s="2961">
        <f>N7*N26+N8*N26+N9*N26</f>
        <v>68101950.620000005</v>
      </c>
      <c r="P26" s="2961">
        <v>3</v>
      </c>
      <c r="Q26" s="2961"/>
    </row>
    <row r="27" spans="1:33" s="992" customFormat="1" ht="13.5" customHeight="1">
      <c r="A27" s="970" t="s">
        <v>804</v>
      </c>
      <c r="B27" s="991" t="s">
        <v>2500</v>
      </c>
      <c r="C27" s="1357">
        <f ca="1">ROUND(IF('数据-取费表'!B22&lt;=1,(C21+C22+C23)*F25*'数据-取费表'!B24/2,(C21+C22+C23)*(POWER((1+F25),'数据-取费表'!B24/2)-1)),0)</f>
        <v>4776</v>
      </c>
      <c r="D27" s="328"/>
      <c r="E27" s="329"/>
      <c r="F27" s="330"/>
      <c r="G27" s="2557" t="str">
        <f>IF('数据-取费表'!B22&lt;=1,"（1）-（3）项×年利率×建设期÷2","（1）-（3）项×((1+年利率)^(建设期÷2)-1)")</f>
        <v>（1）-（3）项×((1+年利率)^(建设期÷2)-1)</v>
      </c>
      <c r="H27" s="978"/>
      <c r="I27" s="978"/>
      <c r="J27" s="978"/>
      <c r="K27" s="979"/>
      <c r="L27" s="2961"/>
      <c r="O27" s="992">
        <f>SUM(O12:O26)</f>
        <v>585158189.04499996</v>
      </c>
    </row>
    <row r="28" spans="1:33" s="333" customFormat="1" ht="13.5" customHeight="1">
      <c r="A28" s="960" t="s">
        <v>2501</v>
      </c>
      <c r="B28" s="2558" t="s">
        <v>2502</v>
      </c>
      <c r="C28" s="331">
        <f ca="1">C30</f>
        <v>12136</v>
      </c>
      <c r="D28" s="324">
        <f ca="1">C29</f>
        <v>5.6099999999999997E-2</v>
      </c>
      <c r="E28" s="326" t="s">
        <v>15</v>
      </c>
      <c r="F28" s="332">
        <f ca="1">IF(C1="",'数据-取费表'!Q16,INDIRECT("'数据-取费表'!q"&amp;$K$1))</f>
        <v>0.09</v>
      </c>
      <c r="G28" s="988"/>
      <c r="H28" s="989"/>
      <c r="I28" s="989"/>
      <c r="J28" s="989"/>
      <c r="K28" s="990"/>
      <c r="L28" s="2961" t="s">
        <v>3194</v>
      </c>
      <c r="M28" s="333">
        <f>SUM(M12:M18)+SUM(M20:M26)</f>
        <v>22562.959999999999</v>
      </c>
      <c r="O28" s="333">
        <f>O27/10000</f>
        <v>58515.818904499996</v>
      </c>
    </row>
    <row r="29" spans="1:33" s="335" customFormat="1" ht="13.5" customHeight="1">
      <c r="A29" s="970" t="s">
        <v>803</v>
      </c>
      <c r="B29" s="993" t="s">
        <v>2503</v>
      </c>
      <c r="C29" s="328">
        <f ca="1">ROUND((1+C24)*F28*'数据-取费表'!B24/'数据-取费表'!B20,4)</f>
        <v>5.6099999999999997E-2</v>
      </c>
      <c r="D29" s="328"/>
      <c r="E29" s="329"/>
      <c r="F29" s="334"/>
      <c r="G29" s="140" t="s">
        <v>2504</v>
      </c>
      <c r="H29" s="978"/>
      <c r="I29" s="978"/>
      <c r="J29" s="978"/>
      <c r="K29" s="979"/>
      <c r="L29" s="2961" t="s">
        <v>3197</v>
      </c>
      <c r="M29" s="335">
        <f>M15+M25</f>
        <v>1372.65</v>
      </c>
      <c r="O29" s="335">
        <f>ROUND(Q7*M29/10000,0)</f>
        <v>4009</v>
      </c>
    </row>
    <row r="30" spans="1:33" s="335" customFormat="1" ht="13.5" customHeight="1">
      <c r="A30" s="970" t="s">
        <v>804</v>
      </c>
      <c r="B30" s="993" t="s">
        <v>2505</v>
      </c>
      <c r="C30" s="336">
        <f ca="1">ROUND((C21+C22+C23)*F28,0)</f>
        <v>12136</v>
      </c>
      <c r="D30" s="328"/>
      <c r="E30" s="329"/>
      <c r="F30" s="334"/>
      <c r="G30" s="140"/>
      <c r="H30" s="978"/>
      <c r="I30" s="978"/>
      <c r="J30" s="978"/>
      <c r="K30" s="979"/>
      <c r="L30" s="2961" t="s">
        <v>3198</v>
      </c>
      <c r="M30" s="335">
        <f>M12+M13+M14+M20+M22</f>
        <v>8661.9499999999989</v>
      </c>
      <c r="O30" s="335">
        <f>ROUND(Q8*M30/10000,0)</f>
        <v>23403</v>
      </c>
    </row>
    <row r="31" spans="1:33" s="974" customFormat="1" ht="13.5" customHeight="1" thickBot="1">
      <c r="A31" s="2559" t="s">
        <v>2506</v>
      </c>
      <c r="B31" s="1004" t="s">
        <v>2507</v>
      </c>
      <c r="C31" s="1005">
        <f ca="1">ROUND(C4*F31/(1+'数据-取费表'!C42),0)</f>
        <v>57852</v>
      </c>
      <c r="D31" s="1006"/>
      <c r="E31" s="1007"/>
      <c r="F31" s="1008">
        <f>'数据-取费表'!B41</f>
        <v>5.6000000000000001E-2</v>
      </c>
      <c r="G31" s="1009" t="s">
        <v>2508</v>
      </c>
      <c r="H31" s="1010"/>
      <c r="I31" s="1010"/>
      <c r="J31" s="1010"/>
      <c r="K31" s="1011"/>
      <c r="L31" s="2961" t="s">
        <v>3199</v>
      </c>
      <c r="M31" s="335">
        <f>M16+M17+M21+M23+M24+M26</f>
        <v>12528.359999999999</v>
      </c>
      <c r="O31" s="335">
        <f>ROUND(Q9*M31/10000,0)</f>
        <v>31104</v>
      </c>
    </row>
    <row r="32" spans="1:33" s="969" customFormat="1" ht="13.5" customHeight="1" thickBot="1">
      <c r="A32" s="999" t="s">
        <v>2509</v>
      </c>
      <c r="B32" s="1000"/>
      <c r="C32" s="1001">
        <f ca="1">ROUND((C4-C21-C22-C23-C25-C28-C31)/(1+C24+D25+D28),0)</f>
        <v>748222</v>
      </c>
      <c r="D32" s="1000"/>
      <c r="E32" s="1000"/>
      <c r="F32" s="1000"/>
      <c r="G32" s="1002" t="s">
        <v>2510</v>
      </c>
      <c r="H32" s="1000"/>
      <c r="I32" s="1000"/>
      <c r="J32" s="1000"/>
      <c r="K32" s="1003"/>
      <c r="L32" s="296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c r="D1" s="1819"/>
      <c r="E1" s="1820" t="s">
        <v>1387</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t="e">
        <f ca="1">C40+J29+L46</f>
        <v>#DIV/0!</v>
      </c>
      <c r="C2" s="1844" t="s">
        <v>1516</v>
      </c>
      <c r="D2" s="1844"/>
      <c r="E2" s="1845"/>
      <c r="F2" s="1846"/>
      <c r="G2" s="1847"/>
      <c r="H2" s="1839"/>
      <c r="I2" s="1839"/>
      <c r="J2" s="1839"/>
      <c r="K2" s="1840"/>
      <c r="L2" s="1839"/>
      <c r="M2" s="1839"/>
    </row>
    <row r="3" spans="1:37" ht="18" customHeight="1" thickBot="1">
      <c r="A3" s="1848" t="s">
        <v>1517</v>
      </c>
      <c r="B3" s="1849">
        <f ca="1">IF(ISERROR(B2*10000/F43),0,ROUND(B2*10000/F43,0))</f>
        <v>0</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0</v>
      </c>
      <c r="D5" s="1821" t="s">
        <v>1402</v>
      </c>
      <c r="E5" s="1292"/>
      <c r="F5" s="1293"/>
      <c r="G5" s="1850"/>
      <c r="H5" s="344">
        <v>1</v>
      </c>
      <c r="I5" s="345" t="s">
        <v>1401</v>
      </c>
      <c r="J5" s="1291">
        <f ca="1">J6+J10+J12</f>
        <v>0</v>
      </c>
      <c r="K5" s="1821" t="s">
        <v>1402</v>
      </c>
      <c r="L5" s="1292"/>
      <c r="M5" s="1293"/>
    </row>
    <row r="6" spans="1:37" ht="18" customHeight="1">
      <c r="A6" s="1290" t="s">
        <v>1035</v>
      </c>
      <c r="B6" s="3202" t="s">
        <v>1403</v>
      </c>
      <c r="C6" s="1295">
        <f ca="1">ROUND(F6*F8*F7*(1-F9)/10000,0)</f>
        <v>0</v>
      </c>
      <c r="D6" s="164" t="s">
        <v>3025</v>
      </c>
      <c r="E6" s="347" t="s">
        <v>1405</v>
      </c>
      <c r="F6" s="348">
        <f ca="1">INDIRECT("'数据-取费表'!u"&amp;$G$1)</f>
        <v>0</v>
      </c>
      <c r="G6" s="1850"/>
      <c r="H6" s="1290" t="s">
        <v>1035</v>
      </c>
      <c r="I6" s="3202" t="s">
        <v>1403</v>
      </c>
      <c r="J6" s="346">
        <f ca="1">ROUND(M6*M8*M7*(1-M9)/10000,0)</f>
        <v>0</v>
      </c>
      <c r="K6" s="164" t="s">
        <v>3024</v>
      </c>
      <c r="L6" s="347" t="s">
        <v>1405</v>
      </c>
      <c r="M6" s="348">
        <f ca="1">INDIRECT("'数据-取费表'!z"&amp;$G$1)</f>
        <v>0</v>
      </c>
    </row>
    <row r="7" spans="1:37" ht="18" customHeight="1">
      <c r="A7" s="1294"/>
      <c r="B7" s="3203"/>
      <c r="C7" s="1296"/>
      <c r="D7" s="352"/>
      <c r="E7" s="1297" t="s">
        <v>1406</v>
      </c>
      <c r="F7" s="348">
        <f ca="1">IF(INDIRECT("'数据-取费表'!ah"&amp;$G$1)="",INDIRECT("'数据-取费表'!k"&amp;$G$1),INDIRECT("'数据-取费表'!ah"&amp;$G$1))</f>
        <v>0</v>
      </c>
      <c r="G7" s="1850"/>
      <c r="H7" s="349"/>
      <c r="I7" s="3203"/>
      <c r="J7" s="351"/>
      <c r="K7" s="352"/>
      <c r="L7" s="347" t="s">
        <v>1406</v>
      </c>
      <c r="M7" s="348">
        <f ca="1">F7</f>
        <v>0</v>
      </c>
    </row>
    <row r="8" spans="1:37" ht="18" customHeight="1">
      <c r="A8" s="349"/>
      <c r="B8" s="3203"/>
      <c r="C8" s="351"/>
      <c r="D8" s="352"/>
      <c r="E8" s="347" t="s">
        <v>1407</v>
      </c>
      <c r="F8" s="348">
        <f ca="1">INDIRECT("'数据-取费表'!ai"&amp;$G$1)</f>
        <v>0</v>
      </c>
      <c r="G8" s="1850"/>
      <c r="H8" s="349"/>
      <c r="I8" s="3203"/>
      <c r="J8" s="351"/>
      <c r="K8" s="352"/>
      <c r="L8" s="347" t="s">
        <v>1407</v>
      </c>
      <c r="M8" s="348">
        <f ca="1">INDIRECT("'数据-取费表'!ai"&amp;$G$1)</f>
        <v>0</v>
      </c>
    </row>
    <row r="9" spans="1:37" ht="18" customHeight="1">
      <c r="A9" s="349"/>
      <c r="B9" s="3204"/>
      <c r="C9" s="351"/>
      <c r="D9" s="352"/>
      <c r="E9" s="347" t="s">
        <v>1408</v>
      </c>
      <c r="F9" s="357">
        <f ca="1">INDIRECT("'数据-取费表'!w"&amp;$G$1)</f>
        <v>0</v>
      </c>
      <c r="G9" s="1850"/>
      <c r="H9" s="349"/>
      <c r="I9" s="3204"/>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3034</v>
      </c>
      <c r="E10" s="358" t="s">
        <v>1410</v>
      </c>
      <c r="F10" s="1365"/>
      <c r="G10" s="1850"/>
      <c r="H10" s="1290" t="s">
        <v>1039</v>
      </c>
      <c r="I10" s="1822" t="s">
        <v>1409</v>
      </c>
      <c r="J10" s="346">
        <f ca="1">ROUND(IF(M10="押一",J6/12*M11,IF(M10="押二",J6/12*2*M11,IF(M10="押三",J6/12*3*M11,J11*M11))),0)</f>
        <v>0</v>
      </c>
      <c r="K10" s="1823" t="s">
        <v>3033</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ROUND(F17*(F43+INDIRECT("'数据-取费表'!S"&amp;$G$1))/10000,0)</f>
        <v>0</v>
      </c>
      <c r="D17" s="347" t="s">
        <v>1427</v>
      </c>
      <c r="E17" s="347" t="s">
        <v>1428</v>
      </c>
      <c r="F17" s="26">
        <f>'数据-取费表'!B35</f>
        <v>150</v>
      </c>
      <c r="G17" s="1853"/>
      <c r="H17" s="1200" t="s">
        <v>1035</v>
      </c>
      <c r="I17" s="347" t="s">
        <v>1429</v>
      </c>
      <c r="J17" s="24">
        <f ca="1">ROUND(IF(项目基本情况!B11="自然人",J5*M17,J18+J19+J20),1)</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IF(K19="按租金收入计税",ROUND(J5*M19,2),ROUND(C29*M19*0.7,2))</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0.03</v>
      </c>
      <c r="G20" s="1853"/>
      <c r="H20" s="1200" t="s">
        <v>1389</v>
      </c>
      <c r="I20" s="164" t="s">
        <v>1441</v>
      </c>
      <c r="J20" s="25">
        <f ca="1">ROUND(M20*M21/10000,2)</f>
        <v>0</v>
      </c>
      <c r="K20" s="370" t="s">
        <v>1442</v>
      </c>
      <c r="L20" s="347" t="s">
        <v>1443</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ROUND(J14*M22,1)</f>
        <v>0</v>
      </c>
      <c r="K22" s="1797" t="s">
        <v>1450</v>
      </c>
      <c r="L22" s="347" t="s">
        <v>1422</v>
      </c>
      <c r="M22" s="374">
        <f ca="1">INDIRECT("'数据-取费表'!Ak"&amp;$G$1)</f>
        <v>0</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3"/>
      <c r="H23" s="1200" t="s">
        <v>1075</v>
      </c>
      <c r="I23" s="347" t="s">
        <v>1453</v>
      </c>
      <c r="J23" s="24">
        <f ca="1">ROUND(J13*M23,1)</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ROUND(IF(项目基本情况!B11="自然人",C5*F31,C32+C33+C34),1)</f>
        <v>0</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0</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0</v>
      </c>
      <c r="D34" s="370" t="s">
        <v>1442</v>
      </c>
      <c r="E34" s="347" t="s">
        <v>1443</v>
      </c>
      <c r="F34" s="371">
        <f>'数据-取费表'!B52</f>
        <v>5</v>
      </c>
      <c r="G34" s="1850"/>
      <c r="H34" s="745"/>
      <c r="I34" s="1859"/>
      <c r="J34" s="1860"/>
      <c r="K34" s="1862"/>
      <c r="L34" s="1863"/>
      <c r="M34" s="1863"/>
    </row>
    <row r="35" spans="1:18" ht="18" customHeight="1">
      <c r="A35" s="1352"/>
      <c r="B35" s="1350"/>
      <c r="C35" s="29"/>
      <c r="D35" s="373"/>
      <c r="E35" s="347" t="s">
        <v>1447</v>
      </c>
      <c r="F35" s="348">
        <f ca="1">INDIRECT("'数据-取费表'!r"&amp;$G$1)</f>
        <v>0</v>
      </c>
      <c r="G35" s="1850"/>
      <c r="H35" s="745"/>
      <c r="I35" s="1859"/>
      <c r="J35" s="1860"/>
      <c r="K35" s="1861"/>
      <c r="L35" s="1858"/>
      <c r="M35" s="1858"/>
    </row>
    <row r="36" spans="1:18" ht="18" customHeight="1">
      <c r="A36" s="1351" t="s">
        <v>1039</v>
      </c>
      <c r="B36" s="347" t="s">
        <v>1449</v>
      </c>
      <c r="C36" s="24">
        <f ca="1">ROUND(C29*F36,1)</f>
        <v>0</v>
      </c>
      <c r="D36" s="1797" t="s">
        <v>1482</v>
      </c>
      <c r="E36" s="347" t="s">
        <v>1422</v>
      </c>
      <c r="F36" s="374">
        <f ca="1">INDIRECT("'数据-取费表'!Ak"&amp;$G$1)</f>
        <v>0</v>
      </c>
      <c r="G36" s="1850"/>
      <c r="H36" s="1858"/>
      <c r="I36" s="1859"/>
      <c r="J36" s="1860"/>
      <c r="K36" s="751"/>
      <c r="L36" s="1858"/>
      <c r="M36" s="1858"/>
    </row>
    <row r="37" spans="1:18" ht="18" customHeight="1">
      <c r="A37" s="1200" t="s">
        <v>1075</v>
      </c>
      <c r="B37" s="347" t="s">
        <v>1453</v>
      </c>
      <c r="C37" s="24">
        <f ca="1">ROUND(C13*F37,1)</f>
        <v>0</v>
      </c>
      <c r="D37" s="1797" t="s">
        <v>1454</v>
      </c>
      <c r="E37" s="347" t="s">
        <v>1455</v>
      </c>
      <c r="F37" s="376">
        <f ca="1">INDIRECT("'数据-取费表'!Al"&amp;$G$1)</f>
        <v>0</v>
      </c>
      <c r="G37" s="1850"/>
      <c r="H37" s="1858"/>
      <c r="I37" s="1859"/>
      <c r="J37" s="1860"/>
      <c r="K37" s="751"/>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1477</v>
      </c>
      <c r="F42" s="357">
        <f ca="1">INDIRECT("'数据-取费表'!v"&amp;$G$1)</f>
        <v>0</v>
      </c>
      <c r="G42" s="1850"/>
      <c r="H42" s="732"/>
      <c r="I42" s="1859"/>
      <c r="J42" s="1860"/>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t="e">
        <f ca="1">C68-C40</f>
        <v>#DIV/0!</v>
      </c>
      <c r="D46" s="1871" t="str">
        <f>C2</f>
        <v>万元</v>
      </c>
      <c r="E46" s="1865"/>
      <c r="F46" s="1865"/>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2"/>
      <c r="H48" s="793"/>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ROUND(F49*F51*F50*(1-F52)/10000,0)</f>
        <v>0</v>
      </c>
      <c r="D49" s="1275" t="s">
        <v>3026</v>
      </c>
      <c r="E49" s="1829" t="s">
        <v>1491</v>
      </c>
      <c r="F49" s="1280"/>
      <c r="G49" s="1890"/>
      <c r="H49" s="793"/>
      <c r="I49" s="1886" t="s">
        <v>1534</v>
      </c>
      <c r="J49" s="1891"/>
      <c r="K49" s="1888" t="s">
        <v>1535</v>
      </c>
      <c r="L49" s="1892"/>
      <c r="O49" s="1893" t="s">
        <v>1042</v>
      </c>
      <c r="P49" s="1884" t="s">
        <v>1536</v>
      </c>
      <c r="Q49" s="1885">
        <f ca="1">C29</f>
        <v>0</v>
      </c>
      <c r="R49" s="1885" t="s">
        <v>1529</v>
      </c>
    </row>
    <row r="50" spans="1:18" s="1841" customFormat="1" ht="13.5" thickBot="1">
      <c r="A50" s="1194"/>
      <c r="B50" s="1197"/>
      <c r="C50" s="1367"/>
      <c r="D50" s="1171"/>
      <c r="E50" s="1276" t="s">
        <v>1406</v>
      </c>
      <c r="F50" s="1277">
        <f ca="1">F7</f>
        <v>0</v>
      </c>
      <c r="H50" s="793"/>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24.75" thickBot="1">
      <c r="A53" s="1404" t="s">
        <v>1137</v>
      </c>
      <c r="B53" s="1830" t="s">
        <v>1409</v>
      </c>
      <c r="C53" s="361">
        <f ca="1">ROUND(IF(F53="押一",C49/12*F11,IF(F53="押二",C49/12*2*F11,IF(F53="押三",C49/12*3*F11,C54*F11))),0)</f>
        <v>0</v>
      </c>
      <c r="D53" s="1823" t="s">
        <v>3033</v>
      </c>
      <c r="E53" s="358" t="s">
        <v>1410</v>
      </c>
      <c r="F53" s="1365"/>
      <c r="I53" s="1904" t="s">
        <v>1547</v>
      </c>
      <c r="J53" s="1905" t="b">
        <f>IF(M47="住宅",IF(D1="——",MAX(J51,L48),IF(D1="在建（套用方法）",MAX(J51,L48-'数据-取费表'!B24),MAX(J51,L48-'数据-取费表'!B20))),IF(D1="——",MIN(J51,L48),IF(D1="在建（套用方法）",MIN(J51,L48-'数据-取费表'!B24),IF(D1="土地（套用方法）",MIN(J51,L48-'数据-取费表'!B20)))))</f>
        <v>0</v>
      </c>
      <c r="K53" s="3200" t="s">
        <v>1548</v>
      </c>
      <c r="L53" s="3201"/>
      <c r="O53" s="1883" t="s">
        <v>1046</v>
      </c>
      <c r="P53" s="1884" t="s">
        <v>1549</v>
      </c>
      <c r="Q53" s="1885" t="e">
        <f ca="1">Q47+Q48</f>
        <v>#DIV/0!</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0</v>
      </c>
      <c r="D56" s="1913"/>
      <c r="E56" s="1914"/>
      <c r="F56" s="1906"/>
      <c r="I56" s="1915" t="s">
        <v>1554</v>
      </c>
      <c r="J56" s="1916"/>
      <c r="K56" s="1886" t="s">
        <v>1555</v>
      </c>
      <c r="L56" s="1889">
        <f ca="1">IF(L48&lt;J51,"——",L48-J53)</f>
        <v>0</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f ca="1">IF(OR(M47="住宅",J51&lt;L48,J56="是"),"——",J51-L48)</f>
        <v>0</v>
      </c>
      <c r="K57" s="1886" t="s">
        <v>1557</v>
      </c>
      <c r="L57" s="1889">
        <f ca="1">IF(L48&lt;J51,"——",IF(L55="比较法",L49,IF(L55="基准地价",L50,L51)))</f>
        <v>0</v>
      </c>
      <c r="O57" s="1883" t="s">
        <v>1041</v>
      </c>
      <c r="P57" s="1884" t="s">
        <v>1558</v>
      </c>
      <c r="Q57" s="1885" t="e">
        <f ca="1">L60</f>
        <v>#DIV/0!</v>
      </c>
      <c r="R57" s="1885" t="s">
        <v>1559</v>
      </c>
    </row>
    <row r="58" spans="1:18" s="1841" customFormat="1" ht="24.75" thickBot="1">
      <c r="A58" s="360" t="s">
        <v>1030</v>
      </c>
      <c r="B58" s="1176" t="s">
        <v>1424</v>
      </c>
      <c r="C58" s="361">
        <f ca="1">ROUND(C59+C64+C65+C66,0)</f>
        <v>0</v>
      </c>
      <c r="D58" s="1178" t="s">
        <v>1425</v>
      </c>
      <c r="E58" s="1179"/>
      <c r="F58" s="1180"/>
      <c r="I58" s="1921" t="s">
        <v>1560</v>
      </c>
      <c r="J58" s="1923" t="e">
        <f ca="1">IF(J55&lt;0.4,0.4,J55)</f>
        <v>#DIV/0!</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0</v>
      </c>
      <c r="D59" s="1181" t="s">
        <v>1430</v>
      </c>
      <c r="E59" s="1182"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0</v>
      </c>
      <c r="D62" s="1183" t="s">
        <v>1497</v>
      </c>
      <c r="E62" s="1168" t="s">
        <v>1498</v>
      </c>
      <c r="F62" s="371">
        <f t="shared" si="0"/>
        <v>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0</v>
      </c>
      <c r="D64" s="1182" t="s">
        <v>1502</v>
      </c>
      <c r="E64" s="1168"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0</v>
      </c>
      <c r="D65" s="1182" t="s">
        <v>1454</v>
      </c>
      <c r="E65" s="1168"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ROUND(C48*F66,1)</f>
        <v>0</v>
      </c>
      <c r="D66" s="1182" t="s">
        <v>1505</v>
      </c>
      <c r="E66" s="1168" t="s">
        <v>1422</v>
      </c>
      <c r="F66" s="357">
        <f t="shared" ca="1" si="0"/>
        <v>0</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c r="O70" s="1893" t="s">
        <v>1049</v>
      </c>
      <c r="P70" s="1933" t="s">
        <v>1585</v>
      </c>
      <c r="Q70" s="1885">
        <f ca="1">C13</f>
        <v>0</v>
      </c>
      <c r="R70" s="1885" t="s">
        <v>1529</v>
      </c>
    </row>
    <row r="71" spans="1:18" s="1841" customFormat="1" ht="13.5" thickBot="1">
      <c r="A71" s="1189" t="s">
        <v>1033</v>
      </c>
      <c r="B71" s="1190" t="s">
        <v>1487</v>
      </c>
      <c r="C71" s="382" t="e">
        <f ca="1">ROUND(C68*10000/F71,0)</f>
        <v>#DIV/0!</v>
      </c>
      <c r="D71" s="1191" t="s">
        <v>1488</v>
      </c>
      <c r="E71" s="1192" t="s">
        <v>1489</v>
      </c>
      <c r="F71" s="385">
        <f ca="1">F43</f>
        <v>0</v>
      </c>
      <c r="O71" s="1893" t="s">
        <v>1050</v>
      </c>
      <c r="P71" s="1933" t="s">
        <v>1586</v>
      </c>
      <c r="Q71" s="1896">
        <f ca="1">C76</f>
        <v>0</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c r="D1" s="1819"/>
      <c r="E1" s="1820" t="s">
        <v>1387</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0</v>
      </c>
      <c r="D5" s="1821" t="s">
        <v>1601</v>
      </c>
      <c r="E5" s="1292"/>
      <c r="F5" s="1293"/>
      <c r="G5" s="1850"/>
      <c r="H5" s="344">
        <v>1</v>
      </c>
      <c r="I5" s="345" t="s">
        <v>1600</v>
      </c>
      <c r="J5" s="1291">
        <f ca="1">J6+J10+J12</f>
        <v>0</v>
      </c>
      <c r="K5" s="1821" t="s">
        <v>1601</v>
      </c>
      <c r="L5" s="1292"/>
      <c r="M5" s="1293"/>
    </row>
    <row r="6" spans="1:37" ht="18" customHeight="1">
      <c r="A6" s="1290" t="s">
        <v>1035</v>
      </c>
      <c r="B6" s="3202" t="s">
        <v>1403</v>
      </c>
      <c r="C6" s="1295">
        <f ca="1">ROUND(F6*F8*F7*(1-F9),0)</f>
        <v>0</v>
      </c>
      <c r="D6" s="164" t="s">
        <v>3022</v>
      </c>
      <c r="E6" s="347" t="s">
        <v>1405</v>
      </c>
      <c r="F6" s="348">
        <f ca="1">INDIRECT("'数据-取费表'!u"&amp;$G$1)</f>
        <v>0</v>
      </c>
      <c r="G6" s="1850"/>
      <c r="H6" s="1290" t="s">
        <v>1035</v>
      </c>
      <c r="I6" s="3202" t="s">
        <v>1403</v>
      </c>
      <c r="J6" s="346">
        <f ca="1">ROUND(M6*M8*M7*(1-M9),0)</f>
        <v>0</v>
      </c>
      <c r="K6" s="1833" t="s">
        <v>3023</v>
      </c>
      <c r="L6" s="347" t="s">
        <v>1405</v>
      </c>
      <c r="M6" s="348">
        <f ca="1">INDIRECT("'数据-取费表'!z"&amp;$G$1)</f>
        <v>0</v>
      </c>
    </row>
    <row r="7" spans="1:37" ht="18" customHeight="1">
      <c r="A7" s="1294"/>
      <c r="B7" s="3203"/>
      <c r="C7" s="1296"/>
      <c r="D7" s="352"/>
      <c r="E7" s="1297" t="s">
        <v>1406</v>
      </c>
      <c r="F7" s="348">
        <f ca="1">IF(INDIRECT("'数据-取费表'!ah"&amp;$G$1)="",INDIRECT("'数据-取费表'!k"&amp;$G$1),INDIRECT("'数据-取费表'!ah"&amp;$G$1))</f>
        <v>0</v>
      </c>
      <c r="G7" s="1850"/>
      <c r="H7" s="349"/>
      <c r="I7" s="3203"/>
      <c r="J7" s="351"/>
      <c r="K7" s="352"/>
      <c r="L7" s="347" t="s">
        <v>1406</v>
      </c>
      <c r="M7" s="348">
        <f ca="1">F7</f>
        <v>0</v>
      </c>
    </row>
    <row r="8" spans="1:37" ht="18" customHeight="1">
      <c r="A8" s="349"/>
      <c r="B8" s="3203"/>
      <c r="C8" s="351"/>
      <c r="D8" s="352"/>
      <c r="E8" s="347" t="s">
        <v>1407</v>
      </c>
      <c r="F8" s="348">
        <f ca="1">INDIRECT("'数据-取费表'!ai"&amp;$G$1)</f>
        <v>0</v>
      </c>
      <c r="G8" s="1850"/>
      <c r="H8" s="349"/>
      <c r="I8" s="3203"/>
      <c r="J8" s="351"/>
      <c r="K8" s="352"/>
      <c r="L8" s="347" t="s">
        <v>1407</v>
      </c>
      <c r="M8" s="348">
        <f ca="1">INDIRECT("'数据-取费表'!ai"&amp;$G$1)</f>
        <v>0</v>
      </c>
    </row>
    <row r="9" spans="1:37" ht="18" customHeight="1">
      <c r="A9" s="349"/>
      <c r="B9" s="3204"/>
      <c r="C9" s="351"/>
      <c r="D9" s="352"/>
      <c r="E9" s="347" t="s">
        <v>1408</v>
      </c>
      <c r="F9" s="357">
        <f ca="1">INDIRECT("'数据-取费表'!w"&amp;$G$1)</f>
        <v>0</v>
      </c>
      <c r="G9" s="1850"/>
      <c r="H9" s="349"/>
      <c r="I9" s="3204"/>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3033</v>
      </c>
      <c r="E10" s="358" t="s">
        <v>1410</v>
      </c>
      <c r="F10" s="1365"/>
      <c r="G10" s="1850"/>
      <c r="H10" s="1290" t="s">
        <v>1039</v>
      </c>
      <c r="I10" s="1822" t="s">
        <v>1409</v>
      </c>
      <c r="J10" s="346">
        <f ca="1">ROUND(IF(M10="押一",J6/12*M11,IF(M10="押二",J6/12*2*M11,IF(M10="押三",J6/12*3*M11,J11*M11))),0)</f>
        <v>0</v>
      </c>
      <c r="K10" s="1834" t="s">
        <v>3035</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ROUND(F17*(F43+INDIRECT("'数据-取费表'!S"&amp;$G$1)),0)</f>
        <v>0</v>
      </c>
      <c r="D17" s="347" t="s">
        <v>1427</v>
      </c>
      <c r="E17" s="347" t="s">
        <v>1428</v>
      </c>
      <c r="F17" s="26">
        <f>'数据-取费表'!B35</f>
        <v>150</v>
      </c>
      <c r="G17" s="1853"/>
      <c r="H17" s="1200"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0.03</v>
      </c>
      <c r="G20" s="1853"/>
      <c r="H20" s="1200" t="s">
        <v>1389</v>
      </c>
      <c r="I20" s="164" t="s">
        <v>1441</v>
      </c>
      <c r="J20" s="25">
        <f ca="1">ROUND(M20*M21,0)</f>
        <v>0</v>
      </c>
      <c r="K20" s="370" t="s">
        <v>1442</v>
      </c>
      <c r="L20" s="347" t="s">
        <v>1443</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0.03</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ROUND(J14*M22,0)</f>
        <v>0</v>
      </c>
      <c r="K22" s="1797" t="s">
        <v>1450</v>
      </c>
      <c r="L22" s="347" t="s">
        <v>1422</v>
      </c>
      <c r="M22" s="374">
        <f ca="1">INDIRECT("'数据-取费表'!Ak"&amp;$G$1)</f>
        <v>0</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3"/>
      <c r="H23" s="1200"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IF(项目基本情况!B11="自然人","——",ROUND(C5*F32/(1+'数据-取费表'!C42),0))</f>
        <v>0</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5</v>
      </c>
      <c r="G34" s="1850"/>
      <c r="H34" s="745"/>
      <c r="I34" s="1859"/>
      <c r="J34" s="1860"/>
      <c r="K34" s="1862"/>
      <c r="L34" s="1863"/>
      <c r="M34" s="1863"/>
    </row>
    <row r="35" spans="1:18" ht="18" customHeight="1">
      <c r="A35" s="1352"/>
      <c r="B35" s="1350"/>
      <c r="C35" s="29"/>
      <c r="D35" s="373"/>
      <c r="E35" s="347" t="s">
        <v>1447</v>
      </c>
      <c r="F35" s="348">
        <f ca="1">INDIRECT("'数据-取费表'!r"&amp;$G$1)</f>
        <v>0</v>
      </c>
      <c r="G35" s="1850"/>
      <c r="H35" s="745"/>
      <c r="I35" s="1859"/>
      <c r="J35" s="1860"/>
      <c r="K35" s="1861"/>
      <c r="L35" s="1858"/>
      <c r="M35" s="1858"/>
    </row>
    <row r="36" spans="1:18" ht="18" customHeight="1">
      <c r="A36" s="1351" t="s">
        <v>1039</v>
      </c>
      <c r="B36" s="347" t="s">
        <v>1449</v>
      </c>
      <c r="C36" s="24">
        <f ca="1">ROUND(C29*F36,0)</f>
        <v>0</v>
      </c>
      <c r="D36" s="1797" t="s">
        <v>1482</v>
      </c>
      <c r="E36" s="347" t="s">
        <v>1422</v>
      </c>
      <c r="F36" s="374">
        <f ca="1">INDIRECT("'数据-取费表'!Ak"&amp;$G$1)</f>
        <v>0</v>
      </c>
      <c r="G36" s="1850"/>
      <c r="H36" s="1858"/>
      <c r="I36" s="1859"/>
      <c r="J36" s="1860"/>
      <c r="K36" s="751"/>
      <c r="L36" s="1858"/>
      <c r="M36" s="1858"/>
    </row>
    <row r="37" spans="1:18" ht="18" customHeight="1">
      <c r="A37" s="1200" t="s">
        <v>1075</v>
      </c>
      <c r="B37" s="347" t="s">
        <v>1453</v>
      </c>
      <c r="C37" s="24">
        <f ca="1">ROUND(C13*F37,0)</f>
        <v>0</v>
      </c>
      <c r="D37" s="1797" t="s">
        <v>1454</v>
      </c>
      <c r="E37" s="347" t="s">
        <v>1455</v>
      </c>
      <c r="F37" s="376">
        <f ca="1">INDIRECT("'数据-取费表'!Al"&amp;$G$1)</f>
        <v>0</v>
      </c>
      <c r="G37" s="1850"/>
      <c r="H37" s="1858"/>
      <c r="I37" s="1859"/>
      <c r="J37" s="1860"/>
      <c r="K37" s="751"/>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1477</v>
      </c>
      <c r="F42" s="357">
        <f ca="1">INDIRECT("'数据-取费表'!v"&amp;$G$1)</f>
        <v>0</v>
      </c>
      <c r="G42" s="1850"/>
      <c r="H42" s="732"/>
      <c r="I42" s="1859"/>
      <c r="J42" s="1860"/>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2"/>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2"/>
      <c r="H48" s="793"/>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3"/>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3"/>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9" t="s">
        <v>1409</v>
      </c>
      <c r="C53" s="361">
        <f ca="1">ROUND(IF(F53="押一",C49/12*F11,IF(F53="押二",C49/12*2*F11,IF(F53="押三",C49/12*3*F11,C54*F11))),0)</f>
        <v>0</v>
      </c>
      <c r="D53" s="1823" t="s">
        <v>3036</v>
      </c>
      <c r="E53" s="358" t="s">
        <v>1410</v>
      </c>
      <c r="F53" s="1365"/>
      <c r="I53" s="1904" t="s">
        <v>1547</v>
      </c>
      <c r="J53" s="1905" t="b">
        <f>IF(M47="住宅",IF(D1="——",MAX(J51,L48),IF(D1="在建（套用方法）",MAX(J51,L48-'数据-取费表'!B24),MAX(J51,L48-'数据-取费表'!B20))),IF(D1="——",MIN(J51,L48),IF(D1="在建（套用方法）",MIN(J51,L48-'数据-取费表'!B24),IF(D1="土地（套用方法）",MIN(J51,L48-'数据-取费表'!B20)))))</f>
        <v>0</v>
      </c>
      <c r="K53" s="3200" t="s">
        <v>1548</v>
      </c>
      <c r="L53" s="3201"/>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6" t="s">
        <v>1424</v>
      </c>
      <c r="C58" s="361">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7">
        <f t="shared" ca="1" si="0"/>
        <v>0</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2" t="e">
        <f ca="1">ROUND(C68/F71,0)</f>
        <v>#DIV/0!</v>
      </c>
      <c r="D71" s="1191" t="s">
        <v>1488</v>
      </c>
      <c r="E71" s="1192" t="s">
        <v>1489</v>
      </c>
      <c r="F71" s="385">
        <f ca="1">F43</f>
        <v>0</v>
      </c>
      <c r="O71" s="1893" t="s">
        <v>1050</v>
      </c>
      <c r="P71" s="1933" t="s">
        <v>1586</v>
      </c>
      <c r="Q71" s="1896">
        <f ca="1">C76</f>
        <v>0</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2518</v>
      </c>
      <c r="B1" s="2561"/>
      <c r="C1" s="2561"/>
      <c r="D1" s="2561"/>
      <c r="E1" s="2562"/>
    </row>
    <row r="2" spans="1:6" ht="15.75">
      <c r="A2" s="2563" t="s">
        <v>2322</v>
      </c>
      <c r="B2" s="2564">
        <f ca="1">SUMIF(B6:B13,"&lt;&gt;#ref!",B6:B13)</f>
        <v>0</v>
      </c>
      <c r="C2" s="2565" t="s">
        <v>2511</v>
      </c>
      <c r="D2" s="2566" t="s">
        <v>2512</v>
      </c>
      <c r="E2" s="2567">
        <f>SUM(E6:E13)</f>
        <v>0</v>
      </c>
    </row>
    <row r="3" spans="1:6" ht="15.75">
      <c r="A3" s="2563" t="s">
        <v>1395</v>
      </c>
      <c r="B3" s="2564" t="e">
        <f ca="1">ROUND(B2*10000/E2,0)</f>
        <v>#DIV/0!</v>
      </c>
      <c r="C3" s="2565" t="s">
        <v>2519</v>
      </c>
      <c r="D3" s="2568"/>
      <c r="E3" s="2569"/>
    </row>
    <row r="4" spans="1:6" ht="15.75">
      <c r="A4" s="2570"/>
      <c r="B4" s="2568"/>
      <c r="C4" s="2568"/>
      <c r="D4" s="2568"/>
      <c r="E4" s="2569"/>
    </row>
    <row r="5" spans="1:6" ht="15">
      <c r="A5" s="2571" t="s">
        <v>2513</v>
      </c>
      <c r="B5" s="3205" t="s">
        <v>2514</v>
      </c>
      <c r="C5" s="3205"/>
      <c r="D5" s="2572"/>
      <c r="E5" s="2573" t="s">
        <v>2515</v>
      </c>
      <c r="F5" s="2574" t="s">
        <v>2516</v>
      </c>
    </row>
    <row r="6" spans="1:6">
      <c r="A6" s="2575">
        <f>'数据-取费表'!AN6</f>
        <v>0</v>
      </c>
      <c r="B6" s="2574" t="e">
        <f ca="1">IF(F6="是",'数据-取费表'!AO6,0)</f>
        <v>#REF!</v>
      </c>
      <c r="C6" s="2565" t="s">
        <v>2511</v>
      </c>
      <c r="D6" s="2568"/>
      <c r="E6" s="2576">
        <f>IF(OR(A6=0,F6="否"),0,'数据-取费表'!K6+'数据-取费表'!S6)</f>
        <v>0</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12" t="s">
        <v>1077</v>
      </c>
      <c r="B2" s="3213" t="s">
        <v>1078</v>
      </c>
      <c r="C2" s="3213"/>
      <c r="D2" s="1300" t="s">
        <v>1079</v>
      </c>
      <c r="E2" s="1300" t="s">
        <v>1080</v>
      </c>
      <c r="F2" s="1300" t="s">
        <v>1081</v>
      </c>
      <c r="G2" s="1300" t="s">
        <v>1082</v>
      </c>
      <c r="H2" s="1300" t="s">
        <v>1083</v>
      </c>
      <c r="I2" s="1301" t="s">
        <v>1084</v>
      </c>
    </row>
    <row r="3" spans="1:9">
      <c r="A3" s="3212"/>
      <c r="B3" s="3213" t="s">
        <v>1085</v>
      </c>
      <c r="C3" s="3213"/>
      <c r="D3" s="1302"/>
      <c r="E3" s="1300"/>
      <c r="F3" s="1303"/>
      <c r="G3" s="1303"/>
      <c r="H3" s="1304"/>
      <c r="I3" s="1305">
        <f>ROUND(D3*E3*F3*G3*H3/10000,0)</f>
        <v>0</v>
      </c>
    </row>
    <row r="4" spans="1:9">
      <c r="A4" s="3212"/>
      <c r="B4" s="3213" t="s">
        <v>1086</v>
      </c>
      <c r="C4" s="3213"/>
      <c r="D4" s="1302"/>
      <c r="E4" s="1300"/>
      <c r="F4" s="1303"/>
      <c r="G4" s="1303"/>
      <c r="H4" s="1304"/>
      <c r="I4" s="1305">
        <f t="shared" ref="I4:I9" si="0">ROUND(D4*E4*F4*G4*H4/10000,0)</f>
        <v>0</v>
      </c>
    </row>
    <row r="5" spans="1:9">
      <c r="A5" s="3212"/>
      <c r="B5" s="3213" t="s">
        <v>1087</v>
      </c>
      <c r="C5" s="3213"/>
      <c r="D5" s="1302"/>
      <c r="E5" s="1300"/>
      <c r="F5" s="1303"/>
      <c r="G5" s="1303"/>
      <c r="H5" s="1304"/>
      <c r="I5" s="1305">
        <f t="shared" si="0"/>
        <v>0</v>
      </c>
    </row>
    <row r="6" spans="1:9">
      <c r="A6" s="3212"/>
      <c r="B6" s="3213" t="s">
        <v>1088</v>
      </c>
      <c r="C6" s="3213"/>
      <c r="D6" s="1302"/>
      <c r="E6" s="1300"/>
      <c r="F6" s="1303"/>
      <c r="G6" s="1303"/>
      <c r="H6" s="1304"/>
      <c r="I6" s="1305">
        <f t="shared" si="0"/>
        <v>0</v>
      </c>
    </row>
    <row r="7" spans="1:9">
      <c r="A7" s="3212"/>
      <c r="B7" s="3213" t="s">
        <v>1089</v>
      </c>
      <c r="C7" s="3213"/>
      <c r="D7" s="1302"/>
      <c r="E7" s="1300"/>
      <c r="F7" s="1303"/>
      <c r="G7" s="1303"/>
      <c r="H7" s="1304"/>
      <c r="I7" s="1305">
        <f t="shared" si="0"/>
        <v>0</v>
      </c>
    </row>
    <row r="8" spans="1:9">
      <c r="A8" s="3212"/>
      <c r="B8" s="3213" t="s">
        <v>1090</v>
      </c>
      <c r="C8" s="3213"/>
      <c r="D8" s="1302"/>
      <c r="E8" s="1300"/>
      <c r="F8" s="1303"/>
      <c r="G8" s="1303"/>
      <c r="H8" s="1304"/>
      <c r="I8" s="1305">
        <f t="shared" si="0"/>
        <v>0</v>
      </c>
    </row>
    <row r="9" spans="1:9">
      <c r="A9" s="3212"/>
      <c r="B9" s="3213" t="s">
        <v>1091</v>
      </c>
      <c r="C9" s="3213"/>
      <c r="D9" s="1302"/>
      <c r="E9" s="1300"/>
      <c r="F9" s="1303"/>
      <c r="G9" s="1303"/>
      <c r="H9" s="1304"/>
      <c r="I9" s="1305">
        <f t="shared" si="0"/>
        <v>0</v>
      </c>
    </row>
    <row r="10" spans="1:9">
      <c r="A10" s="3212"/>
      <c r="B10" s="3214" t="s">
        <v>1092</v>
      </c>
      <c r="C10" s="3214"/>
      <c r="D10" s="1306"/>
      <c r="E10" s="1306" t="e">
        <f>ROUND(D1*10000/D10/H9,0)</f>
        <v>#DIV/0!</v>
      </c>
      <c r="F10" s="1307"/>
      <c r="G10" s="1307"/>
      <c r="H10" s="1308"/>
      <c r="I10" s="1309">
        <f>SUM(I3:I9)</f>
        <v>0</v>
      </c>
    </row>
    <row r="11" spans="1:9" ht="14.25">
      <c r="A11" s="3212" t="s">
        <v>1093</v>
      </c>
      <c r="B11" s="3213" t="s">
        <v>1094</v>
      </c>
      <c r="C11" s="3213"/>
      <c r="D11" s="1302" t="s">
        <v>1095</v>
      </c>
      <c r="E11" s="1302" t="s">
        <v>1096</v>
      </c>
      <c r="F11" s="1303" t="s">
        <v>1097</v>
      </c>
      <c r="G11" s="1303" t="s">
        <v>1083</v>
      </c>
      <c r="H11" s="1310" t="s">
        <v>1098</v>
      </c>
      <c r="I11" s="1301" t="s">
        <v>1084</v>
      </c>
    </row>
    <row r="12" spans="1:9">
      <c r="A12" s="3212"/>
      <c r="B12" s="3213" t="s">
        <v>1099</v>
      </c>
      <c r="C12" s="3213"/>
      <c r="D12" s="1302"/>
      <c r="E12" s="1302"/>
      <c r="F12" s="1303"/>
      <c r="G12" s="1304"/>
      <c r="H12" s="1311"/>
      <c r="I12" s="1301">
        <f>ROUND(D12*E12*F12*G12/10000,0)</f>
        <v>0</v>
      </c>
    </row>
    <row r="13" spans="1:9">
      <c r="A13" s="3212"/>
      <c r="B13" s="3213" t="s">
        <v>1100</v>
      </c>
      <c r="C13" s="3213"/>
      <c r="D13" s="1302"/>
      <c r="E13" s="1302"/>
      <c r="F13" s="1303"/>
      <c r="G13" s="1304"/>
      <c r="H13" s="1311"/>
      <c r="I13" s="1301">
        <f>ROUND(D13*E13*F13*G13/10000,0)</f>
        <v>0</v>
      </c>
    </row>
    <row r="14" spans="1:9">
      <c r="A14" s="3212"/>
      <c r="B14" s="3213" t="s">
        <v>1101</v>
      </c>
      <c r="C14" s="3213"/>
      <c r="D14" s="1302"/>
      <c r="E14" s="1302"/>
      <c r="F14" s="1303"/>
      <c r="G14" s="1304"/>
      <c r="H14" s="1311"/>
      <c r="I14" s="1301">
        <f>ROUND(D14*E14*F14*G14/10000,0)</f>
        <v>0</v>
      </c>
    </row>
    <row r="15" spans="1:9">
      <c r="A15" s="3212"/>
      <c r="B15" s="3214" t="s">
        <v>1092</v>
      </c>
      <c r="C15" s="3214"/>
      <c r="D15" s="1306"/>
      <c r="E15" s="1306">
        <f>SUM(E12:E14)</f>
        <v>0</v>
      </c>
      <c r="F15" s="1307"/>
      <c r="G15" s="1304"/>
      <c r="H15" s="1311"/>
      <c r="I15" s="1312">
        <f>SUM(I12:I14)</f>
        <v>0</v>
      </c>
    </row>
    <row r="16" spans="1:9" ht="24">
      <c r="A16" s="3212" t="s">
        <v>1102</v>
      </c>
      <c r="B16" s="3213" t="s">
        <v>1103</v>
      </c>
      <c r="C16" s="3213"/>
      <c r="D16" s="1302" t="s">
        <v>1079</v>
      </c>
      <c r="E16" s="1313" t="s">
        <v>1104</v>
      </c>
      <c r="F16" s="1303" t="s">
        <v>1105</v>
      </c>
      <c r="G16" s="1304" t="s">
        <v>1083</v>
      </c>
      <c r="H16" s="1310" t="s">
        <v>1098</v>
      </c>
      <c r="I16" s="1301" t="s">
        <v>1084</v>
      </c>
    </row>
    <row r="17" spans="1:9" ht="14.25">
      <c r="A17" s="3212"/>
      <c r="B17" s="3213" t="s">
        <v>1106</v>
      </c>
      <c r="C17" s="3213"/>
      <c r="D17" s="1302"/>
      <c r="E17" s="1302"/>
      <c r="F17" s="1303"/>
      <c r="G17" s="1304"/>
      <c r="H17" s="1314"/>
      <c r="I17" s="1315">
        <f>ROUND(D17*E17*F17*G17/10000,0)</f>
        <v>0</v>
      </c>
    </row>
    <row r="18" spans="1:9" ht="14.25">
      <c r="A18" s="3212"/>
      <c r="B18" s="3213" t="s">
        <v>1107</v>
      </c>
      <c r="C18" s="3213"/>
      <c r="D18" s="1302"/>
      <c r="E18" s="1302"/>
      <c r="F18" s="1303"/>
      <c r="G18" s="1304"/>
      <c r="H18" s="1314"/>
      <c r="I18" s="1315">
        <f>ROUND(D18*E18*F18*G18/10000,0)</f>
        <v>0</v>
      </c>
    </row>
    <row r="19" spans="1:9" ht="14.25">
      <c r="A19" s="3212"/>
      <c r="B19" s="3213" t="s">
        <v>1108</v>
      </c>
      <c r="C19" s="3213"/>
      <c r="D19" s="1302"/>
      <c r="E19" s="1302"/>
      <c r="F19" s="1303"/>
      <c r="G19" s="1304"/>
      <c r="H19" s="1314"/>
      <c r="I19" s="1315">
        <f>ROUND(D19*E19*F19*G19/10000,0)</f>
        <v>0</v>
      </c>
    </row>
    <row r="20" spans="1:9">
      <c r="A20" s="3212"/>
      <c r="B20" s="3214" t="s">
        <v>1092</v>
      </c>
      <c r="C20" s="3214"/>
      <c r="D20" s="1306">
        <f>SUM(D17:D19)</f>
        <v>0</v>
      </c>
      <c r="E20" s="1306"/>
      <c r="F20" s="1307"/>
      <c r="G20" s="1304"/>
      <c r="H20" s="1311"/>
      <c r="I20" s="1312">
        <f>SUM(I17:I19)</f>
        <v>0</v>
      </c>
    </row>
    <row r="21" spans="1:9">
      <c r="A21" s="3212" t="s">
        <v>1109</v>
      </c>
      <c r="B21" s="3215"/>
      <c r="C21" s="3215"/>
      <c r="D21" s="3215"/>
      <c r="E21" s="3215"/>
      <c r="F21" s="3215"/>
      <c r="G21" s="3215"/>
      <c r="H21" s="1764">
        <v>0.1</v>
      </c>
      <c r="I21" s="1309">
        <f>ROUND(I10*H21,0)</f>
        <v>0</v>
      </c>
    </row>
    <row r="22" spans="1:9" ht="14.25">
      <c r="A22" s="3216" t="s">
        <v>1110</v>
      </c>
      <c r="B22" s="3217"/>
      <c r="C22" s="3218"/>
      <c r="D22" s="1316" t="s">
        <v>1111</v>
      </c>
      <c r="E22" s="1316" t="s">
        <v>1112</v>
      </c>
      <c r="F22" s="1317" t="s">
        <v>1113</v>
      </c>
      <c r="G22" s="1317" t="s">
        <v>1114</v>
      </c>
      <c r="H22" s="1310" t="s">
        <v>1115</v>
      </c>
      <c r="I22" s="1301" t="s">
        <v>1116</v>
      </c>
    </row>
    <row r="23" spans="1:9" ht="14.25" thickBot="1">
      <c r="A23" s="3219"/>
      <c r="B23" s="3220"/>
      <c r="C23" s="3221"/>
      <c r="D23" s="1318"/>
      <c r="E23" s="1318"/>
      <c r="F23" s="1318"/>
      <c r="G23" s="1319"/>
      <c r="H23" s="1320"/>
      <c r="I23" s="1321">
        <f>ROUND(E23*D23*F23*(1-G23)/10000,0)</f>
        <v>0</v>
      </c>
    </row>
    <row r="26" spans="1:9">
      <c r="A26" s="1322" t="s">
        <v>1117</v>
      </c>
      <c r="B26" s="1322"/>
      <c r="C26" s="1322"/>
      <c r="D26" s="1322"/>
      <c r="E26" s="3209">
        <f>C27-C30-C31-C32</f>
        <v>0</v>
      </c>
      <c r="F26" s="3209"/>
      <c r="G26" s="3209"/>
      <c r="H26" s="1736" t="s">
        <v>1340</v>
      </c>
    </row>
    <row r="27" spans="1:9">
      <c r="A27" s="1323">
        <v>1</v>
      </c>
      <c r="B27" s="1324" t="s">
        <v>1118</v>
      </c>
      <c r="C27" s="1324">
        <f>C28+C29</f>
        <v>0</v>
      </c>
      <c r="D27" s="1324"/>
      <c r="E27" s="3210"/>
      <c r="F27" s="3210"/>
      <c r="G27" s="3210"/>
    </row>
    <row r="28" spans="1:9">
      <c r="A28" s="1325" t="s">
        <v>1119</v>
      </c>
      <c r="B28" s="1324" t="s">
        <v>1120</v>
      </c>
      <c r="C28" s="1324"/>
      <c r="D28" s="1324"/>
      <c r="E28" s="3210"/>
      <c r="F28" s="3210"/>
      <c r="G28" s="321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11"/>
      <c r="F32" s="3211"/>
      <c r="G32" s="3211"/>
    </row>
    <row r="33" spans="1:7" hidden="1">
      <c r="A33" s="3206" t="s">
        <v>1129</v>
      </c>
      <c r="B33" s="3207"/>
      <c r="C33" s="3207"/>
      <c r="D33" s="3208"/>
      <c r="E33" s="3209"/>
      <c r="F33" s="3209"/>
      <c r="G33" s="3209"/>
    </row>
    <row r="34" spans="1:7" hidden="1">
      <c r="A34" s="1327">
        <v>1</v>
      </c>
      <c r="B34" s="1324" t="s">
        <v>1130</v>
      </c>
      <c r="C34" s="1324"/>
      <c r="D34" s="1324"/>
      <c r="E34" s="3210"/>
      <c r="F34" s="3210"/>
      <c r="G34" s="3210"/>
    </row>
    <row r="35" spans="1:7" hidden="1">
      <c r="A35" s="1327">
        <v>2</v>
      </c>
      <c r="B35" s="1324" t="s">
        <v>1131</v>
      </c>
      <c r="C35" s="1324"/>
      <c r="D35" s="1324"/>
      <c r="E35" s="3210"/>
      <c r="F35" s="3210"/>
      <c r="G35" s="3210"/>
    </row>
    <row r="36" spans="1:7" hidden="1">
      <c r="A36" s="1327">
        <v>3</v>
      </c>
      <c r="B36" s="1324" t="s">
        <v>1132</v>
      </c>
      <c r="C36" s="1324"/>
      <c r="D36" s="1324"/>
      <c r="E36" s="3210"/>
      <c r="F36" s="3210"/>
      <c r="G36" s="3210"/>
    </row>
    <row r="37" spans="1:7" hidden="1">
      <c r="A37" s="1327">
        <v>4</v>
      </c>
      <c r="B37" s="1324" t="s">
        <v>1133</v>
      </c>
      <c r="C37" s="1324"/>
      <c r="D37" s="1324"/>
      <c r="E37" s="3210"/>
      <c r="F37" s="3210"/>
      <c r="G37" s="3210"/>
    </row>
    <row r="38" spans="1:7" hidden="1">
      <c r="A38" s="3206" t="s">
        <v>1134</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B2" sqref="B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6.625" style="403" customWidth="1"/>
    <col min="10" max="10" width="11.5" style="403" bestFit="1"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81" t="s">
        <v>2521</v>
      </c>
      <c r="C1" s="1633" t="s">
        <v>2522</v>
      </c>
      <c r="D1" s="1620" t="s">
        <v>3059</v>
      </c>
      <c r="E1" s="2582"/>
      <c r="F1" s="2583" t="s">
        <v>2523</v>
      </c>
      <c r="G1" s="1630" t="s">
        <v>2524</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f ca="1">IF(C2="——",ROUND(C49*D3/10000,0),ROUND(C49*D3/10000,0)-D2)</f>
        <v>979127</v>
      </c>
      <c r="C2" s="2585"/>
      <c r="D2" s="1364">
        <f ca="1">SUMIF(INDIRECT("'"&amp;F2&amp;"'"&amp;"!A:A"),"承租人权益价值",INDIRECT("'"&amp;F2&amp;"'"&amp;"!c:c"))</f>
        <v>0</v>
      </c>
      <c r="E2" s="2586" t="s">
        <v>2525</v>
      </c>
      <c r="F2" s="2587" t="s">
        <v>3067</v>
      </c>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 ca="1">IF(C2="——",C49,ROUND(B2*10000/D3,0))</f>
        <v>21169</v>
      </c>
      <c r="C3" s="400" t="s">
        <v>2526</v>
      </c>
      <c r="D3" s="399">
        <f>IF(D1="",'数据-汇总表'!E3,SUMIF('数据-汇总表'!$C19:$C33,D1,'数据-汇总表'!$E19:$E33))</f>
        <v>462528.7</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2527</v>
      </c>
      <c r="B4" s="402"/>
      <c r="C4" s="3160" t="s">
        <v>2528</v>
      </c>
      <c r="D4" s="3173"/>
      <c r="E4" s="3174" t="s">
        <v>2529</v>
      </c>
      <c r="F4" s="3175"/>
      <c r="G4" s="3160" t="s">
        <v>2530</v>
      </c>
      <c r="H4" s="3173"/>
      <c r="I4" s="3160" t="s">
        <v>2531</v>
      </c>
      <c r="J4" s="3173"/>
      <c r="K4" s="2595" t="s">
        <v>2532</v>
      </c>
      <c r="L4" s="1129"/>
      <c r="M4" s="1130"/>
      <c r="N4" s="1130"/>
      <c r="O4" s="1130"/>
      <c r="P4" s="3176" t="s">
        <v>2533</v>
      </c>
      <c r="Q4" s="3177"/>
      <c r="R4" s="3182" t="s">
        <v>2529</v>
      </c>
      <c r="S4" s="3183"/>
      <c r="T4" s="3182" t="s">
        <v>2530</v>
      </c>
      <c r="U4" s="3183"/>
      <c r="V4" s="3169" t="s">
        <v>2531</v>
      </c>
      <c r="W4" s="3169"/>
      <c r="X4" s="1812"/>
      <c r="Y4" s="3182" t="s">
        <v>2533</v>
      </c>
      <c r="Z4" s="3183"/>
      <c r="AA4" s="3170" t="s">
        <v>2529</v>
      </c>
      <c r="AB4" s="3170" t="s">
        <v>2530</v>
      </c>
      <c r="AC4" s="3170" t="s">
        <v>2531</v>
      </c>
    </row>
    <row r="5" spans="1:29" ht="15">
      <c r="A5" s="404"/>
      <c r="B5" s="405"/>
      <c r="C5" s="3190" t="s">
        <v>2534</v>
      </c>
      <c r="D5" s="3191"/>
      <c r="E5" s="3236" t="s">
        <v>3074</v>
      </c>
      <c r="F5" s="3199"/>
      <c r="G5" s="3235" t="s">
        <v>3069</v>
      </c>
      <c r="H5" s="3191"/>
      <c r="I5" s="3235" t="s">
        <v>3252</v>
      </c>
      <c r="J5" s="3191"/>
      <c r="K5" s="2596"/>
      <c r="L5" s="1129"/>
      <c r="M5" s="1130"/>
      <c r="N5" s="1130"/>
      <c r="O5" s="1130"/>
      <c r="P5" s="3178"/>
      <c r="Q5" s="3179"/>
      <c r="R5" s="3184"/>
      <c r="S5" s="3185"/>
      <c r="T5" s="3184"/>
      <c r="U5" s="3185"/>
      <c r="V5" s="3169"/>
      <c r="W5" s="3169"/>
      <c r="X5" s="1812"/>
      <c r="Y5" s="3184"/>
      <c r="Z5" s="3185"/>
      <c r="AA5" s="3171"/>
      <c r="AB5" s="3171"/>
      <c r="AC5" s="3171"/>
    </row>
    <row r="6" spans="1:29" ht="30.75" customHeight="1" thickBot="1">
      <c r="A6" s="406"/>
      <c r="B6" s="407"/>
      <c r="C6" s="3195" t="s">
        <v>2538</v>
      </c>
      <c r="D6" s="3189"/>
      <c r="E6" s="3196" t="s">
        <v>3073</v>
      </c>
      <c r="F6" s="3197"/>
      <c r="G6" s="3188" t="s">
        <v>3070</v>
      </c>
      <c r="H6" s="3189"/>
      <c r="I6" s="3188" t="s">
        <v>3072</v>
      </c>
      <c r="J6" s="3189"/>
      <c r="K6" s="2596" t="s">
        <v>2539</v>
      </c>
      <c r="L6" s="1129"/>
      <c r="M6" s="1130"/>
      <c r="N6" s="1130"/>
      <c r="O6" s="1130"/>
      <c r="P6" s="3180"/>
      <c r="Q6" s="3181"/>
      <c r="R6" s="3184"/>
      <c r="S6" s="3185"/>
      <c r="T6" s="3186"/>
      <c r="U6" s="3187"/>
      <c r="V6" s="3169"/>
      <c r="W6" s="3169"/>
      <c r="X6" s="1812"/>
      <c r="Y6" s="3186"/>
      <c r="Z6" s="3187"/>
      <c r="AA6" s="3172"/>
      <c r="AB6" s="3172"/>
      <c r="AC6" s="3172"/>
    </row>
    <row r="7" spans="1:29" s="117" customFormat="1" ht="15.75" thickBot="1">
      <c r="A7" s="408" t="s">
        <v>2540</v>
      </c>
      <c r="B7" s="409"/>
      <c r="C7" s="410">
        <f>'数据-取费表'!B2</f>
        <v>43371</v>
      </c>
      <c r="D7" s="411">
        <v>100</v>
      </c>
      <c r="E7" s="412">
        <v>43371</v>
      </c>
      <c r="F7" s="413">
        <f>SUMIF(58:58,YEAR(E7)&amp;"-"&amp;MONTH(E7),59:59)</f>
        <v>100</v>
      </c>
      <c r="G7" s="412">
        <v>43371</v>
      </c>
      <c r="H7" s="411">
        <f>SUMIF(58:58,YEAR(G7)&amp;"-"&amp;MONTH(G7),59:59)</f>
        <v>100</v>
      </c>
      <c r="I7" s="412">
        <v>43371</v>
      </c>
      <c r="J7" s="411">
        <f>SUMIF(58:58,YEAR(I7)&amp;"-"&amp;MONTH(I7),59:59)</f>
        <v>100</v>
      </c>
      <c r="K7" s="2597"/>
      <c r="L7" s="1131"/>
      <c r="M7" s="1132"/>
      <c r="N7" s="1132"/>
      <c r="O7" s="1132"/>
      <c r="P7" s="3192" t="s">
        <v>2541</v>
      </c>
      <c r="Q7" s="3194"/>
      <c r="R7" s="770" t="s">
        <v>23</v>
      </c>
      <c r="S7" s="771">
        <f t="shared" ref="S7:S15" si="0">F7</f>
        <v>100</v>
      </c>
      <c r="T7" s="770" t="s">
        <v>23</v>
      </c>
      <c r="U7" s="771">
        <f t="shared" ref="U7:U15" si="1">H7</f>
        <v>100</v>
      </c>
      <c r="V7" s="770" t="s">
        <v>23</v>
      </c>
      <c r="W7" s="771">
        <f t="shared" ref="W7:W15" si="2">J7</f>
        <v>100</v>
      </c>
      <c r="X7" s="772"/>
      <c r="Y7" s="3192" t="s">
        <v>2541</v>
      </c>
      <c r="Z7" s="3193"/>
      <c r="AA7" s="773">
        <f>D7/F7</f>
        <v>1</v>
      </c>
      <c r="AB7" s="773">
        <f>D7/H7</f>
        <v>1</v>
      </c>
      <c r="AC7" s="773">
        <f>D7/J7</f>
        <v>1</v>
      </c>
    </row>
    <row r="8" spans="1:29" s="117" customFormat="1" ht="15.75" thickBot="1">
      <c r="A8" s="408" t="s">
        <v>2542</v>
      </c>
      <c r="B8" s="409"/>
      <c r="C8" s="414" t="s">
        <v>2543</v>
      </c>
      <c r="D8" s="411">
        <v>100</v>
      </c>
      <c r="E8" s="2598" t="s">
        <v>3075</v>
      </c>
      <c r="F8" s="413">
        <f>SUMIF(61:61,E8,62:62)-SUMIF(61:61,C8,62:62)+100</f>
        <v>100</v>
      </c>
      <c r="G8" s="414" t="s">
        <v>3075</v>
      </c>
      <c r="H8" s="411">
        <f>SUMIF(61:61,G8,62:62)-SUMIF(61:61,C8,62:62)+100</f>
        <v>100</v>
      </c>
      <c r="I8" s="2598" t="s">
        <v>3075</v>
      </c>
      <c r="J8" s="411">
        <f>SUMIF(61:61,I8,62:62)-SUMIF(61:61,C8,62:62)+100</f>
        <v>100</v>
      </c>
      <c r="K8" s="2597"/>
      <c r="L8" s="1131"/>
      <c r="M8" s="1132"/>
      <c r="N8" s="1132"/>
      <c r="O8" s="1132"/>
      <c r="P8" s="3192" t="s">
        <v>2544</v>
      </c>
      <c r="Q8" s="3193"/>
      <c r="R8" s="770" t="s">
        <v>23</v>
      </c>
      <c r="S8" s="771">
        <f t="shared" si="0"/>
        <v>100</v>
      </c>
      <c r="T8" s="770" t="s">
        <v>23</v>
      </c>
      <c r="U8" s="771">
        <f t="shared" si="1"/>
        <v>100</v>
      </c>
      <c r="V8" s="770" t="s">
        <v>23</v>
      </c>
      <c r="W8" s="771">
        <f t="shared" si="2"/>
        <v>100</v>
      </c>
      <c r="X8" s="772"/>
      <c r="Y8" s="3192" t="s">
        <v>2544</v>
      </c>
      <c r="Z8" s="3193"/>
      <c r="AA8" s="773">
        <f t="shared" ref="AA8:AA19" si="3">D8/F8</f>
        <v>1</v>
      </c>
      <c r="AB8" s="773">
        <f t="shared" ref="AB8:AB19" si="4">D8/H8</f>
        <v>1</v>
      </c>
      <c r="AC8" s="773">
        <f t="shared" ref="AC8:AC19" si="5">D8/J8</f>
        <v>1</v>
      </c>
    </row>
    <row r="9" spans="1:29" s="117" customFormat="1">
      <c r="A9" s="415" t="s">
        <v>2545</v>
      </c>
      <c r="B9" s="71" t="s">
        <v>2546</v>
      </c>
      <c r="C9" s="2945" t="s">
        <v>3076</v>
      </c>
      <c r="D9" s="135">
        <v>100</v>
      </c>
      <c r="E9" s="417" t="s">
        <v>3059</v>
      </c>
      <c r="F9" s="418">
        <f>SUMIF(63:63,E9,64:64)-SUMIF(63:63,C9,64:64)+100</f>
        <v>100</v>
      </c>
      <c r="G9" s="419" t="s">
        <v>3059</v>
      </c>
      <c r="H9" s="135">
        <f>SUMIF(63:63,G9,64:64)-SUMIF(63:63,C9,64:64)+100</f>
        <v>100</v>
      </c>
      <c r="I9" s="419" t="s">
        <v>3059</v>
      </c>
      <c r="J9" s="135">
        <f>SUMIF(63:63,I9,64:64)-SUMIF(63:63,C9,64:64)+100</f>
        <v>100</v>
      </c>
      <c r="K9" s="2597"/>
      <c r="L9" s="1131"/>
      <c r="M9" s="1132"/>
      <c r="N9" s="1132"/>
      <c r="O9" s="1132"/>
      <c r="P9" s="3162" t="s">
        <v>2547</v>
      </c>
      <c r="Q9" s="1794" t="str">
        <f t="shared" ref="Q9:Q15" si="6">B9</f>
        <v>用途</v>
      </c>
      <c r="R9" s="770" t="s">
        <v>17</v>
      </c>
      <c r="S9" s="771">
        <f t="shared" si="0"/>
        <v>100</v>
      </c>
      <c r="T9" s="770" t="s">
        <v>17</v>
      </c>
      <c r="U9" s="771">
        <f t="shared" si="1"/>
        <v>100</v>
      </c>
      <c r="V9" s="770" t="s">
        <v>17</v>
      </c>
      <c r="W9" s="771">
        <f t="shared" si="2"/>
        <v>100</v>
      </c>
      <c r="X9" s="772"/>
      <c r="Y9" s="3011" t="s">
        <v>2548</v>
      </c>
      <c r="Z9" s="55" t="str">
        <f t="shared" ref="Z9:Z15" si="7">Q9</f>
        <v>用途</v>
      </c>
      <c r="AA9" s="773">
        <f t="shared" si="3"/>
        <v>1</v>
      </c>
      <c r="AB9" s="773">
        <f t="shared" si="4"/>
        <v>1</v>
      </c>
      <c r="AC9" s="773">
        <f t="shared" si="5"/>
        <v>1</v>
      </c>
    </row>
    <row r="10" spans="1:29" s="427" customFormat="1" ht="27">
      <c r="A10" s="421"/>
      <c r="B10" s="422" t="s">
        <v>2549</v>
      </c>
      <c r="C10" s="423" t="s">
        <v>3077</v>
      </c>
      <c r="D10" s="136">
        <v>100</v>
      </c>
      <c r="E10" s="424" t="s">
        <v>3077</v>
      </c>
      <c r="F10" s="425">
        <f>SUMIF(65:65,E10,66:66)-SUMIF(65:65,C10,66:66)+100</f>
        <v>100</v>
      </c>
      <c r="G10" s="423" t="s">
        <v>3077</v>
      </c>
      <c r="H10" s="136">
        <f>SUMIF(65:65,G10,66:66)-SUMIF(65:65,C10,66:66)+100</f>
        <v>100</v>
      </c>
      <c r="I10" s="423" t="s">
        <v>3077</v>
      </c>
      <c r="J10" s="136">
        <f>SUMIF(65:65,I10,66:66)-SUMIF(65:65,C10,66:66)+100</f>
        <v>100</v>
      </c>
      <c r="K10" s="426">
        <v>1</v>
      </c>
      <c r="L10" s="1134"/>
      <c r="M10" s="1135"/>
      <c r="N10" s="1135"/>
      <c r="O10" s="1135"/>
      <c r="P10" s="3162"/>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75" thickBot="1">
      <c r="A11" s="428"/>
      <c r="B11" s="422" t="s">
        <v>2550</v>
      </c>
      <c r="C11" s="429">
        <v>4.74</v>
      </c>
      <c r="D11" s="136">
        <v>100</v>
      </c>
      <c r="E11" s="430">
        <v>4.55</v>
      </c>
      <c r="F11" s="425">
        <f>LOOKUP(E11,68:68,69:69)-LOOKUP(C11,68:68,69:69)+100</f>
        <v>100</v>
      </c>
      <c r="G11" s="429">
        <v>5.44</v>
      </c>
      <c r="H11" s="136">
        <f>LOOKUP(G11,68:68,69:69)-LOOKUP(C11,68:68,69:69)+100</f>
        <v>99</v>
      </c>
      <c r="I11" s="429">
        <v>3.98</v>
      </c>
      <c r="J11" s="136">
        <f>LOOKUP(I11,68:68,69:69)-LOOKUP(C11,68:68,69:69)+100</f>
        <v>101</v>
      </c>
      <c r="K11" s="426">
        <v>1</v>
      </c>
      <c r="L11" s="1137"/>
      <c r="M11" s="1130"/>
      <c r="N11" s="1130"/>
      <c r="O11" s="1130"/>
      <c r="P11" s="3162"/>
      <c r="Q11" s="1794" t="str">
        <f t="shared" si="6"/>
        <v>容积率</v>
      </c>
      <c r="R11" s="770" t="s">
        <v>21</v>
      </c>
      <c r="S11" s="771">
        <f t="shared" si="0"/>
        <v>100</v>
      </c>
      <c r="T11" s="770" t="s">
        <v>21</v>
      </c>
      <c r="U11" s="771">
        <f t="shared" si="1"/>
        <v>99</v>
      </c>
      <c r="V11" s="770" t="s">
        <v>21</v>
      </c>
      <c r="W11" s="771">
        <f t="shared" si="2"/>
        <v>101</v>
      </c>
      <c r="X11" s="772"/>
      <c r="Y11" s="3011"/>
      <c r="Z11" s="55" t="str">
        <f t="shared" si="7"/>
        <v>容积率</v>
      </c>
      <c r="AA11" s="773">
        <f t="shared" si="3"/>
        <v>1</v>
      </c>
      <c r="AB11" s="773">
        <f t="shared" si="4"/>
        <v>1.0101010101010102</v>
      </c>
      <c r="AC11" s="773">
        <f t="shared" si="5"/>
        <v>0.99009900990099009</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162"/>
      <c r="Q12" s="1794">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162"/>
      <c r="Q13" s="1794">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162"/>
      <c r="Q14" s="1794">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2551</v>
      </c>
      <c r="B15" s="69" t="s">
        <v>2078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39"/>
      <c r="M15" s="1130"/>
      <c r="N15" s="1130"/>
      <c r="O15" s="1130"/>
      <c r="P15" s="3233" t="s">
        <v>2552</v>
      </c>
      <c r="Q15" s="1809" t="str">
        <f t="shared" si="6"/>
        <v>居住社区成熟度</v>
      </c>
      <c r="R15" s="774" t="s">
        <v>21</v>
      </c>
      <c r="S15" s="775">
        <f t="shared" si="0"/>
        <v>100</v>
      </c>
      <c r="T15" s="774" t="s">
        <v>21</v>
      </c>
      <c r="U15" s="775">
        <f t="shared" si="1"/>
        <v>100</v>
      </c>
      <c r="V15" s="774" t="s">
        <v>21</v>
      </c>
      <c r="W15" s="775">
        <f t="shared" si="2"/>
        <v>100</v>
      </c>
      <c r="X15" s="1812"/>
      <c r="Y15" s="3165" t="s">
        <v>2552</v>
      </c>
      <c r="Z15" s="1813" t="str">
        <f t="shared" si="7"/>
        <v>居住社区成熟度</v>
      </c>
      <c r="AA15" s="1810">
        <f t="shared" si="3"/>
        <v>1</v>
      </c>
      <c r="AB15" s="1810">
        <f t="shared" si="4"/>
        <v>1</v>
      </c>
      <c r="AC15" s="1810">
        <f t="shared" si="5"/>
        <v>1</v>
      </c>
    </row>
    <row r="16" spans="1:29" ht="15">
      <c r="A16" s="428"/>
      <c r="B16" s="446"/>
      <c r="C16" s="447" t="s">
        <v>3078</v>
      </c>
      <c r="D16" s="448"/>
      <c r="E16" s="2603" t="s">
        <v>3078</v>
      </c>
      <c r="F16" s="448"/>
      <c r="G16" s="2604" t="s">
        <v>3078</v>
      </c>
      <c r="H16" s="450"/>
      <c r="I16" s="2604" t="s">
        <v>3078</v>
      </c>
      <c r="J16" s="448"/>
      <c r="K16" s="2605"/>
      <c r="L16" s="1139"/>
      <c r="M16" s="1130"/>
      <c r="N16" s="1130"/>
      <c r="O16" s="1130"/>
      <c r="P16" s="3234"/>
      <c r="Q16" s="1809"/>
      <c r="R16" s="774"/>
      <c r="S16" s="775"/>
      <c r="T16" s="774"/>
      <c r="U16" s="775"/>
      <c r="V16" s="774"/>
      <c r="W16" s="775"/>
      <c r="X16" s="1812"/>
      <c r="Y16" s="3166"/>
      <c r="Z16" s="1813"/>
      <c r="AA16" s="1810">
        <v>1</v>
      </c>
      <c r="AB16" s="1810">
        <v>1</v>
      </c>
      <c r="AC16" s="1810">
        <v>1</v>
      </c>
    </row>
    <row r="17" spans="1:29" ht="85.5">
      <c r="A17" s="428"/>
      <c r="B17" s="451" t="s">
        <v>2090</v>
      </c>
      <c r="C17" s="2606" t="str">
        <f>估价对象房地状况!C6</f>
        <v>估价对象周边道路状况、公共交通通达情况、停车便捷程度，综合评价交通便捷度较好</v>
      </c>
      <c r="D17" s="450">
        <v>100</v>
      </c>
      <c r="E17" s="454"/>
      <c r="F17" s="450">
        <f>SUMIF(78:78,E18,79:79)-SUMIF(78:78,C18,79:79)+100</f>
        <v>102</v>
      </c>
      <c r="G17" s="452"/>
      <c r="H17" s="455">
        <f>SUMIF(78:78,G18,79:79)-SUMIF(78:78,C18,79:79)+100</f>
        <v>100</v>
      </c>
      <c r="I17" s="452"/>
      <c r="J17" s="455">
        <f>SUMIF(78:78,I18,79:79)-SUMIF(78:78,C18,79:79)+100</f>
        <v>98</v>
      </c>
      <c r="K17" s="445">
        <v>2</v>
      </c>
      <c r="L17" s="1139"/>
      <c r="M17" s="1130"/>
      <c r="N17" s="1130"/>
      <c r="O17" s="1130"/>
      <c r="P17" s="3234"/>
      <c r="Q17" s="1809" t="str">
        <f>B17</f>
        <v>交通便捷度</v>
      </c>
      <c r="R17" s="774" t="s">
        <v>21</v>
      </c>
      <c r="S17" s="775">
        <f>F17</f>
        <v>102</v>
      </c>
      <c r="T17" s="774" t="s">
        <v>21</v>
      </c>
      <c r="U17" s="775">
        <f>H17</f>
        <v>100</v>
      </c>
      <c r="V17" s="774" t="s">
        <v>21</v>
      </c>
      <c r="W17" s="775">
        <f>J17</f>
        <v>98</v>
      </c>
      <c r="X17" s="1812"/>
      <c r="Y17" s="3166"/>
      <c r="Z17" s="1813" t="str">
        <f>Q17</f>
        <v>交通便捷度</v>
      </c>
      <c r="AA17" s="1810">
        <f t="shared" si="3"/>
        <v>0.98039215686274506</v>
      </c>
      <c r="AB17" s="1810">
        <f t="shared" si="4"/>
        <v>1</v>
      </c>
      <c r="AC17" s="1810">
        <f t="shared" si="5"/>
        <v>1.0204081632653061</v>
      </c>
    </row>
    <row r="18" spans="1:29" ht="15">
      <c r="A18" s="428"/>
      <c r="B18" s="456"/>
      <c r="C18" s="2607" t="s">
        <v>3078</v>
      </c>
      <c r="D18" s="450"/>
      <c r="E18" s="2608" t="s">
        <v>3096</v>
      </c>
      <c r="F18" s="450"/>
      <c r="G18" s="2609" t="s">
        <v>3078</v>
      </c>
      <c r="H18" s="448"/>
      <c r="I18" s="2609" t="s">
        <v>3079</v>
      </c>
      <c r="J18" s="448"/>
      <c r="K18" s="2605"/>
      <c r="L18" s="1139"/>
      <c r="M18" s="1130"/>
      <c r="N18" s="1130"/>
      <c r="O18" s="1130"/>
      <c r="P18" s="3234"/>
      <c r="Q18" s="1809"/>
      <c r="R18" s="774"/>
      <c r="S18" s="775"/>
      <c r="T18" s="774"/>
      <c r="U18" s="775"/>
      <c r="V18" s="774"/>
      <c r="W18" s="775"/>
      <c r="X18" s="1812"/>
      <c r="Y18" s="3166"/>
      <c r="Z18" s="1813"/>
      <c r="AA18" s="1810">
        <v>1</v>
      </c>
      <c r="AB18" s="1810">
        <v>1</v>
      </c>
      <c r="AC18" s="1810">
        <v>1</v>
      </c>
    </row>
    <row r="19" spans="1:29" ht="42.75">
      <c r="A19" s="428"/>
      <c r="B19" s="451" t="s">
        <v>2088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234"/>
      <c r="Q19" s="1809" t="str">
        <f>B19</f>
        <v>公共配套设施</v>
      </c>
      <c r="R19" s="774" t="s">
        <v>21</v>
      </c>
      <c r="S19" s="775">
        <f>F19</f>
        <v>100</v>
      </c>
      <c r="T19" s="774" t="s">
        <v>21</v>
      </c>
      <c r="U19" s="775">
        <f>H19</f>
        <v>100</v>
      </c>
      <c r="V19" s="774" t="s">
        <v>21</v>
      </c>
      <c r="W19" s="775">
        <f>J19</f>
        <v>100</v>
      </c>
      <c r="X19" s="1812"/>
      <c r="Y19" s="3166"/>
      <c r="Z19" s="1813" t="str">
        <f>Q19</f>
        <v>公共配套设施</v>
      </c>
      <c r="AA19" s="1810">
        <f t="shared" si="3"/>
        <v>1</v>
      </c>
      <c r="AB19" s="1810">
        <f t="shared" si="4"/>
        <v>1</v>
      </c>
      <c r="AC19" s="1810">
        <f t="shared" si="5"/>
        <v>1</v>
      </c>
    </row>
    <row r="20" spans="1:29" ht="15">
      <c r="A20" s="428"/>
      <c r="B20" s="456"/>
      <c r="C20" s="447" t="s">
        <v>3078</v>
      </c>
      <c r="D20" s="448"/>
      <c r="E20" s="2603" t="s">
        <v>3078</v>
      </c>
      <c r="F20" s="448"/>
      <c r="G20" s="2604" t="s">
        <v>3078</v>
      </c>
      <c r="H20" s="448"/>
      <c r="I20" s="2604" t="s">
        <v>3078</v>
      </c>
      <c r="J20" s="448"/>
      <c r="K20" s="2605"/>
      <c r="L20" s="1139"/>
      <c r="M20" s="1130"/>
      <c r="N20" s="1130"/>
      <c r="O20" s="1130"/>
      <c r="P20" s="3234"/>
      <c r="Q20" s="1809"/>
      <c r="R20" s="774"/>
      <c r="S20" s="775"/>
      <c r="T20" s="774"/>
      <c r="U20" s="775"/>
      <c r="V20" s="774"/>
      <c r="W20" s="775"/>
      <c r="X20" s="1812"/>
      <c r="Y20" s="3166"/>
      <c r="Z20" s="1813"/>
      <c r="AA20" s="1810">
        <v>1</v>
      </c>
      <c r="AB20" s="1810">
        <v>1</v>
      </c>
      <c r="AC20" s="1810">
        <v>1</v>
      </c>
    </row>
    <row r="21" spans="1:29" ht="28.5">
      <c r="A21" s="428"/>
      <c r="B21" s="1383" t="s">
        <v>2091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39"/>
      <c r="M21" s="1130"/>
      <c r="N21" s="1130"/>
      <c r="O21" s="1130"/>
      <c r="P21" s="3234"/>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1810">
        <f t="shared" ref="AC21" si="10">D21/J21</f>
        <v>1</v>
      </c>
    </row>
    <row r="22" spans="1:29" ht="15">
      <c r="A22" s="428"/>
      <c r="B22" s="1383"/>
      <c r="C22" s="2607" t="s">
        <v>3162</v>
      </c>
      <c r="D22" s="448"/>
      <c r="E22" s="447" t="s">
        <v>3162</v>
      </c>
      <c r="F22" s="448"/>
      <c r="G22" s="2610" t="s">
        <v>3162</v>
      </c>
      <c r="H22" s="448"/>
      <c r="I22" s="447" t="s">
        <v>3162</v>
      </c>
      <c r="J22" s="448"/>
      <c r="K22" s="2611"/>
      <c r="L22" s="1139"/>
      <c r="M22" s="1130"/>
      <c r="N22" s="1130"/>
      <c r="O22" s="1130"/>
      <c r="P22" s="3234"/>
      <c r="Q22" s="1809"/>
      <c r="R22" s="774"/>
      <c r="S22" s="775"/>
      <c r="T22" s="774"/>
      <c r="U22" s="775"/>
      <c r="V22" s="774"/>
      <c r="W22" s="775"/>
      <c r="X22" s="1812"/>
      <c r="Y22" s="3166"/>
      <c r="Z22" s="1813"/>
      <c r="AA22" s="1810">
        <v>1</v>
      </c>
      <c r="AB22" s="1810">
        <v>1</v>
      </c>
      <c r="AC22" s="1810">
        <v>1</v>
      </c>
    </row>
    <row r="23" spans="1:29" ht="57">
      <c r="A23" s="428"/>
      <c r="B23" s="451" t="s">
        <v>2095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1.5</v>
      </c>
      <c r="L23" s="1139"/>
      <c r="M23" s="1130"/>
      <c r="N23" s="1130"/>
      <c r="O23" s="1130"/>
      <c r="P23" s="3234"/>
      <c r="Q23" s="1809" t="str">
        <f>B23</f>
        <v>自然及人文环境</v>
      </c>
      <c r="R23" s="774" t="s">
        <v>21</v>
      </c>
      <c r="S23" s="775">
        <f>F23</f>
        <v>100</v>
      </c>
      <c r="T23" s="774" t="s">
        <v>21</v>
      </c>
      <c r="U23" s="775">
        <f>H23</f>
        <v>100</v>
      </c>
      <c r="V23" s="774" t="s">
        <v>21</v>
      </c>
      <c r="W23" s="775">
        <f>J23</f>
        <v>100</v>
      </c>
      <c r="X23" s="1812"/>
      <c r="Y23" s="3166"/>
      <c r="Z23" s="1813" t="str">
        <f>Q23</f>
        <v>自然及人文环境</v>
      </c>
      <c r="AA23" s="1810">
        <f>D23/F23</f>
        <v>1</v>
      </c>
      <c r="AB23" s="1810">
        <f>D23/H23</f>
        <v>1</v>
      </c>
      <c r="AC23" s="1810">
        <f>D23/J23</f>
        <v>1</v>
      </c>
    </row>
    <row r="24" spans="1:29" ht="15.75" thickBot="1">
      <c r="A24" s="428"/>
      <c r="B24" s="456"/>
      <c r="C24" s="447" t="s">
        <v>3078</v>
      </c>
      <c r="D24" s="448"/>
      <c r="E24" s="2603" t="s">
        <v>3078</v>
      </c>
      <c r="F24" s="448"/>
      <c r="G24" s="2604" t="s">
        <v>3078</v>
      </c>
      <c r="H24" s="448"/>
      <c r="I24" s="2604" t="s">
        <v>3078</v>
      </c>
      <c r="J24" s="448"/>
      <c r="K24" s="2605"/>
      <c r="L24" s="1139"/>
      <c r="M24" s="1130"/>
      <c r="N24" s="1130"/>
      <c r="O24" s="1130"/>
      <c r="P24" s="3234"/>
      <c r="Q24" s="1809"/>
      <c r="R24" s="774"/>
      <c r="S24" s="775"/>
      <c r="T24" s="774"/>
      <c r="U24" s="775"/>
      <c r="V24" s="774"/>
      <c r="W24" s="775"/>
      <c r="X24" s="1812"/>
      <c r="Y24" s="3166"/>
      <c r="Z24" s="1813"/>
      <c r="AA24" s="1810">
        <v>1</v>
      </c>
      <c r="AB24" s="1810">
        <v>1</v>
      </c>
      <c r="AC24" s="1810">
        <v>1</v>
      </c>
    </row>
    <row r="25" spans="1:29" ht="15" hidden="1">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23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66"/>
      <c r="Z25" s="1813" t="str">
        <f>Q25</f>
        <v>楼层-1</v>
      </c>
      <c r="AA25" s="1810">
        <f t="shared" ref="AA25:AA46" si="15">D25/F25</f>
        <v>1</v>
      </c>
      <c r="AB25" s="1810">
        <f t="shared" ref="AB25:AB46" si="16">D25/H25</f>
        <v>1</v>
      </c>
      <c r="AC25" s="1810">
        <f t="shared" ref="AC25:AC46" si="17">D25/J25</f>
        <v>1</v>
      </c>
    </row>
    <row r="26" spans="1:29" ht="15" hidden="1">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234"/>
      <c r="Q26" s="1809" t="str">
        <f t="shared" si="11"/>
        <v>朝向</v>
      </c>
      <c r="R26" s="774" t="s">
        <v>21</v>
      </c>
      <c r="S26" s="775">
        <f t="shared" si="12"/>
        <v>100</v>
      </c>
      <c r="T26" s="774" t="s">
        <v>21</v>
      </c>
      <c r="U26" s="775">
        <f t="shared" si="13"/>
        <v>100</v>
      </c>
      <c r="V26" s="774" t="s">
        <v>21</v>
      </c>
      <c r="W26" s="775">
        <f t="shared" si="14"/>
        <v>100</v>
      </c>
      <c r="X26" s="1812"/>
      <c r="Y26" s="3166"/>
      <c r="Z26" s="1813" t="str">
        <f>Q26</f>
        <v>朝向</v>
      </c>
      <c r="AA26" s="1810">
        <f t="shared" si="15"/>
        <v>1</v>
      </c>
      <c r="AB26" s="1810">
        <f t="shared" si="16"/>
        <v>1</v>
      </c>
      <c r="AC26" s="1810">
        <f t="shared" si="17"/>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234"/>
      <c r="Q27" s="1794">
        <f t="shared" si="11"/>
        <v>111</v>
      </c>
      <c r="R27" s="770" t="s">
        <v>21</v>
      </c>
      <c r="S27" s="771">
        <f t="shared" si="12"/>
        <v>100</v>
      </c>
      <c r="T27" s="770" t="s">
        <v>21</v>
      </c>
      <c r="U27" s="771">
        <f t="shared" si="13"/>
        <v>100</v>
      </c>
      <c r="V27" s="770" t="s">
        <v>21</v>
      </c>
      <c r="W27" s="771">
        <f t="shared" si="14"/>
        <v>100</v>
      </c>
      <c r="X27" s="772"/>
      <c r="Y27" s="3166"/>
      <c r="Z27" s="55">
        <f>Q27</f>
        <v>111</v>
      </c>
      <c r="AA27" s="1810">
        <f t="shared" si="15"/>
        <v>1</v>
      </c>
      <c r="AB27" s="1810">
        <f t="shared" si="16"/>
        <v>1</v>
      </c>
      <c r="AC27" s="1810">
        <f t="shared" si="17"/>
        <v>1</v>
      </c>
    </row>
    <row r="28" spans="1:29" ht="15" hidden="1">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234"/>
      <c r="Q28" s="1809">
        <f t="shared" si="11"/>
        <v>111</v>
      </c>
      <c r="R28" s="774" t="s">
        <v>21</v>
      </c>
      <c r="S28" s="775">
        <f t="shared" si="12"/>
        <v>100</v>
      </c>
      <c r="T28" s="774" t="s">
        <v>21</v>
      </c>
      <c r="U28" s="775">
        <f t="shared" si="13"/>
        <v>100</v>
      </c>
      <c r="V28" s="774" t="s">
        <v>21</v>
      </c>
      <c r="W28" s="775">
        <f t="shared" si="14"/>
        <v>100</v>
      </c>
      <c r="X28" s="1812"/>
      <c r="Y28" s="3166"/>
      <c r="Z28" s="1813">
        <f t="shared" ref="Z28:Z46" si="18">Q28</f>
        <v>111</v>
      </c>
      <c r="AA28" s="1810">
        <f t="shared" si="15"/>
        <v>1</v>
      </c>
      <c r="AB28" s="1810">
        <f t="shared" si="16"/>
        <v>1</v>
      </c>
      <c r="AC28" s="1810">
        <f t="shared" si="17"/>
        <v>1</v>
      </c>
    </row>
    <row r="29" spans="1:29" ht="15" hidden="1">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234"/>
      <c r="Q29" s="1809">
        <f t="shared" si="11"/>
        <v>111</v>
      </c>
      <c r="R29" s="774" t="s">
        <v>21</v>
      </c>
      <c r="S29" s="775">
        <f t="shared" si="12"/>
        <v>100</v>
      </c>
      <c r="T29" s="774" t="s">
        <v>21</v>
      </c>
      <c r="U29" s="775">
        <f t="shared" si="13"/>
        <v>100</v>
      </c>
      <c r="V29" s="774" t="s">
        <v>21</v>
      </c>
      <c r="W29" s="775">
        <f t="shared" si="14"/>
        <v>100</v>
      </c>
      <c r="X29" s="1812"/>
      <c r="Y29" s="3166"/>
      <c r="Z29" s="1813">
        <f t="shared" si="18"/>
        <v>111</v>
      </c>
      <c r="AA29" s="1810">
        <f t="shared" si="15"/>
        <v>1</v>
      </c>
      <c r="AB29" s="1810">
        <f t="shared" si="16"/>
        <v>1</v>
      </c>
      <c r="AC29" s="1810">
        <f t="shared" si="17"/>
        <v>1</v>
      </c>
    </row>
    <row r="30" spans="1:29" ht="15" hidden="1">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234"/>
      <c r="Q30" s="1809">
        <f t="shared" si="11"/>
        <v>111</v>
      </c>
      <c r="R30" s="774" t="s">
        <v>21</v>
      </c>
      <c r="S30" s="775">
        <f t="shared" si="12"/>
        <v>100</v>
      </c>
      <c r="T30" s="774" t="s">
        <v>21</v>
      </c>
      <c r="U30" s="775">
        <f t="shared" si="13"/>
        <v>100</v>
      </c>
      <c r="V30" s="774" t="s">
        <v>21</v>
      </c>
      <c r="W30" s="775">
        <f t="shared" si="14"/>
        <v>100</v>
      </c>
      <c r="X30" s="1812"/>
      <c r="Y30" s="3166"/>
      <c r="Z30" s="1813">
        <f t="shared" si="18"/>
        <v>111</v>
      </c>
      <c r="AA30" s="1810">
        <f t="shared" si="15"/>
        <v>1</v>
      </c>
      <c r="AB30" s="1810">
        <f t="shared" si="16"/>
        <v>1</v>
      </c>
      <c r="AC30" s="1810">
        <f t="shared" si="17"/>
        <v>1</v>
      </c>
    </row>
    <row r="31" spans="1:29" ht="15.75" hidden="1"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234"/>
      <c r="Q31" s="1809">
        <f t="shared" si="11"/>
        <v>111</v>
      </c>
      <c r="R31" s="774" t="s">
        <v>21</v>
      </c>
      <c r="S31" s="775">
        <f t="shared" si="12"/>
        <v>100</v>
      </c>
      <c r="T31" s="774" t="s">
        <v>21</v>
      </c>
      <c r="U31" s="775">
        <f t="shared" si="13"/>
        <v>100</v>
      </c>
      <c r="V31" s="774" t="s">
        <v>21</v>
      </c>
      <c r="W31" s="775">
        <f t="shared" si="14"/>
        <v>100</v>
      </c>
      <c r="X31" s="1812"/>
      <c r="Y31" s="3166"/>
      <c r="Z31" s="1813">
        <f t="shared" si="18"/>
        <v>111</v>
      </c>
      <c r="AA31" s="1810">
        <f t="shared" si="15"/>
        <v>1</v>
      </c>
      <c r="AB31" s="1810">
        <f t="shared" si="16"/>
        <v>1</v>
      </c>
      <c r="AC31" s="1810">
        <f t="shared" si="17"/>
        <v>1</v>
      </c>
    </row>
    <row r="32" spans="1:29" ht="15">
      <c r="A32" s="440" t="s">
        <v>2555</v>
      </c>
      <c r="B32" s="71" t="s">
        <v>2556</v>
      </c>
      <c r="C32" s="2616" t="s">
        <v>3080</v>
      </c>
      <c r="D32" s="467">
        <v>100</v>
      </c>
      <c r="E32" s="2617" t="s">
        <v>3080</v>
      </c>
      <c r="F32" s="461">
        <f>SUMIF(100:100,E32,101:101)-SUMIF(100:100,C32,101:101)+100</f>
        <v>100</v>
      </c>
      <c r="G32" s="2616" t="s">
        <v>3080</v>
      </c>
      <c r="H32" s="467">
        <f>SUMIF(100:100,G32,101:101)-SUMIF(100:100,C32,101:101)+100</f>
        <v>100</v>
      </c>
      <c r="I32" s="2617" t="s">
        <v>3080</v>
      </c>
      <c r="J32" s="435">
        <f>SUMIF(100:100,I32,101:101)-SUMIF(100:100,C32,101:101)+100</f>
        <v>100</v>
      </c>
      <c r="K32" s="426">
        <v>5</v>
      </c>
      <c r="L32" s="1139"/>
      <c r="M32" s="1130"/>
      <c r="N32" s="1130"/>
      <c r="O32" s="1130"/>
      <c r="P32" s="3229" t="s">
        <v>2557</v>
      </c>
      <c r="Q32" s="1809" t="str">
        <f t="shared" si="11"/>
        <v>建筑类型</v>
      </c>
      <c r="R32" s="774" t="s">
        <v>21</v>
      </c>
      <c r="S32" s="775">
        <f t="shared" si="12"/>
        <v>100</v>
      </c>
      <c r="T32" s="774" t="s">
        <v>21</v>
      </c>
      <c r="U32" s="775">
        <f t="shared" si="13"/>
        <v>100</v>
      </c>
      <c r="V32" s="774" t="s">
        <v>21</v>
      </c>
      <c r="W32" s="775">
        <f t="shared" si="14"/>
        <v>100</v>
      </c>
      <c r="X32" s="1812"/>
      <c r="Y32" s="3168" t="s">
        <v>2557</v>
      </c>
      <c r="Z32" s="1813" t="str">
        <f t="shared" si="18"/>
        <v>建筑类型</v>
      </c>
      <c r="AA32" s="1810">
        <f t="shared" si="15"/>
        <v>1</v>
      </c>
      <c r="AB32" s="1810">
        <f t="shared" si="16"/>
        <v>1</v>
      </c>
      <c r="AC32" s="1810">
        <f t="shared" si="17"/>
        <v>1</v>
      </c>
    </row>
    <row r="33" spans="1:29" s="471" customFormat="1" ht="15" hidden="1">
      <c r="A33" s="468"/>
      <c r="B33" s="422" t="s">
        <v>2558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230"/>
      <c r="Q33" s="776" t="str">
        <f t="shared" si="11"/>
        <v>项目建筑规模</v>
      </c>
      <c r="R33" s="777" t="s">
        <v>21</v>
      </c>
      <c r="S33" s="778">
        <f t="shared" si="12"/>
        <v>100</v>
      </c>
      <c r="T33" s="777" t="s">
        <v>21</v>
      </c>
      <c r="U33" s="778">
        <f t="shared" si="13"/>
        <v>100</v>
      </c>
      <c r="V33" s="777" t="s">
        <v>21</v>
      </c>
      <c r="W33" s="778">
        <f t="shared" si="14"/>
        <v>100</v>
      </c>
      <c r="X33" s="779"/>
      <c r="Y33" s="3168"/>
      <c r="Z33" s="780" t="str">
        <f t="shared" si="18"/>
        <v>项目建筑规模</v>
      </c>
      <c r="AA33" s="1810">
        <f t="shared" si="15"/>
        <v>1</v>
      </c>
      <c r="AB33" s="1810">
        <f t="shared" si="16"/>
        <v>1</v>
      </c>
      <c r="AC33" s="1810">
        <f t="shared" si="17"/>
        <v>1</v>
      </c>
    </row>
    <row r="34" spans="1:29" ht="15">
      <c r="A34" s="472"/>
      <c r="B34" s="422" t="s">
        <v>2559</v>
      </c>
      <c r="C34" s="2618" t="s">
        <v>3082</v>
      </c>
      <c r="D34" s="435">
        <v>100</v>
      </c>
      <c r="E34" s="2619" t="s">
        <v>3082</v>
      </c>
      <c r="F34" s="461">
        <f>SUMIF(105:105,E34,106:106)-SUMIF(105:105,C34,106:106)+100</f>
        <v>100</v>
      </c>
      <c r="G34" s="2618" t="s">
        <v>3082</v>
      </c>
      <c r="H34" s="435">
        <f>SUMIF(105:105,G34,106:106)-SUMIF(105:105,C34,106:106)+100</f>
        <v>100</v>
      </c>
      <c r="I34" s="2619" t="s">
        <v>3082</v>
      </c>
      <c r="J34" s="435">
        <f>SUMIF(105:105,I34,106:106)-SUMIF(105:105,C34,106:106)+100</f>
        <v>100</v>
      </c>
      <c r="K34" s="426">
        <v>2</v>
      </c>
      <c r="L34" s="1139"/>
      <c r="M34" s="1130"/>
      <c r="N34" s="1130"/>
      <c r="O34" s="1130"/>
      <c r="P34" s="3230"/>
      <c r="Q34" s="1809" t="str">
        <f t="shared" si="11"/>
        <v>建筑结构</v>
      </c>
      <c r="R34" s="774" t="s">
        <v>21</v>
      </c>
      <c r="S34" s="775">
        <f t="shared" si="12"/>
        <v>100</v>
      </c>
      <c r="T34" s="774" t="s">
        <v>21</v>
      </c>
      <c r="U34" s="775">
        <f t="shared" si="13"/>
        <v>100</v>
      </c>
      <c r="V34" s="774" t="s">
        <v>21</v>
      </c>
      <c r="W34" s="775">
        <f t="shared" si="14"/>
        <v>100</v>
      </c>
      <c r="X34" s="1812"/>
      <c r="Y34" s="3168"/>
      <c r="Z34" s="1813" t="str">
        <f t="shared" si="18"/>
        <v>建筑结构</v>
      </c>
      <c r="AA34" s="1810">
        <f t="shared" si="15"/>
        <v>1</v>
      </c>
      <c r="AB34" s="1810">
        <f t="shared" si="16"/>
        <v>1</v>
      </c>
      <c r="AC34" s="1810">
        <f t="shared" si="17"/>
        <v>1</v>
      </c>
    </row>
    <row r="35" spans="1:29" ht="15">
      <c r="A35" s="472"/>
      <c r="B35" s="422" t="s">
        <v>2560</v>
      </c>
      <c r="C35" s="2612" t="s">
        <v>3084</v>
      </c>
      <c r="D35" s="435">
        <v>100</v>
      </c>
      <c r="E35" s="2613" t="s">
        <v>3084</v>
      </c>
      <c r="F35" s="461">
        <f>SUMIF(107:107,E35,108:108)-SUMIF(107:107,C35,108:108)+100</f>
        <v>100</v>
      </c>
      <c r="G35" s="2612" t="s">
        <v>3084</v>
      </c>
      <c r="H35" s="435">
        <f>SUMIF(107:107,G35,108:108)-SUMIF(107:107,C35,108:108)+100</f>
        <v>100</v>
      </c>
      <c r="I35" s="2613" t="s">
        <v>3084</v>
      </c>
      <c r="J35" s="435">
        <f>SUMIF(107:107,I35,108:108)-SUMIF(107:107,C35,108:108)+100</f>
        <v>100</v>
      </c>
      <c r="K35" s="426">
        <v>2</v>
      </c>
      <c r="L35" s="1139"/>
      <c r="M35" s="1130"/>
      <c r="N35" s="1130"/>
      <c r="O35" s="1130"/>
      <c r="P35" s="3230"/>
      <c r="Q35" s="1809" t="str">
        <f t="shared" si="11"/>
        <v>建筑品质</v>
      </c>
      <c r="R35" s="774" t="s">
        <v>21</v>
      </c>
      <c r="S35" s="775">
        <f t="shared" si="12"/>
        <v>100</v>
      </c>
      <c r="T35" s="774" t="s">
        <v>21</v>
      </c>
      <c r="U35" s="775">
        <f t="shared" si="13"/>
        <v>100</v>
      </c>
      <c r="V35" s="774" t="s">
        <v>21</v>
      </c>
      <c r="W35" s="775">
        <f t="shared" si="14"/>
        <v>100</v>
      </c>
      <c r="X35" s="1812"/>
      <c r="Y35" s="3168"/>
      <c r="Z35" s="1813" t="str">
        <f t="shared" si="18"/>
        <v>建筑品质</v>
      </c>
      <c r="AA35" s="1810">
        <f t="shared" si="15"/>
        <v>1</v>
      </c>
      <c r="AB35" s="1810">
        <f t="shared" si="16"/>
        <v>1</v>
      </c>
      <c r="AC35" s="1810">
        <f t="shared" si="17"/>
        <v>1</v>
      </c>
    </row>
    <row r="36" spans="1:29" ht="15">
      <c r="A36" s="472"/>
      <c r="B36" s="422" t="s">
        <v>2561</v>
      </c>
      <c r="C36" s="2612" t="s">
        <v>3094</v>
      </c>
      <c r="D36" s="435">
        <v>100</v>
      </c>
      <c r="E36" s="2613" t="s">
        <v>3094</v>
      </c>
      <c r="F36" s="461">
        <f>SUMIF(109:109,E36,110:110)-SUMIF(109:109,C36,110:110)+100</f>
        <v>100</v>
      </c>
      <c r="G36" s="2612" t="s">
        <v>3094</v>
      </c>
      <c r="H36" s="435">
        <f>SUMIF(109:109,G36,110:110)-SUMIF(109:109,C36,110:110)+100</f>
        <v>100</v>
      </c>
      <c r="I36" s="2613" t="s">
        <v>3094</v>
      </c>
      <c r="J36" s="435">
        <f>SUMIF(109:109,I36,110:110)-SUMIF(109:109,C36,110:110)+100</f>
        <v>100</v>
      </c>
      <c r="K36" s="426">
        <v>3</v>
      </c>
      <c r="L36" s="1139"/>
      <c r="M36" s="1130"/>
      <c r="N36" s="1130"/>
      <c r="O36" s="1130"/>
      <c r="P36" s="3230"/>
      <c r="Q36" s="1809" t="str">
        <f t="shared" si="11"/>
        <v>公共部分装修</v>
      </c>
      <c r="R36" s="774" t="s">
        <v>21</v>
      </c>
      <c r="S36" s="775">
        <f t="shared" si="12"/>
        <v>100</v>
      </c>
      <c r="T36" s="774" t="s">
        <v>21</v>
      </c>
      <c r="U36" s="775">
        <f t="shared" si="13"/>
        <v>100</v>
      </c>
      <c r="V36" s="774" t="s">
        <v>21</v>
      </c>
      <c r="W36" s="775">
        <f t="shared" si="14"/>
        <v>100</v>
      </c>
      <c r="X36" s="1812"/>
      <c r="Y36" s="3168"/>
      <c r="Z36" s="1813" t="str">
        <f t="shared" si="18"/>
        <v>公共部分装修</v>
      </c>
      <c r="AA36" s="1810">
        <f t="shared" si="15"/>
        <v>1</v>
      </c>
      <c r="AB36" s="1810">
        <f t="shared" si="16"/>
        <v>1</v>
      </c>
      <c r="AC36" s="1810">
        <f t="shared" si="17"/>
        <v>1</v>
      </c>
    </row>
    <row r="37" spans="1:29" s="117" customFormat="1" ht="15">
      <c r="A37" s="473"/>
      <c r="B37" s="422"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1"/>
      <c r="M37" s="1132"/>
      <c r="N37" s="1132"/>
      <c r="O37" s="1132"/>
      <c r="P37" s="3230"/>
      <c r="Q37" s="1794" t="str">
        <f t="shared" si="11"/>
        <v>成新度</v>
      </c>
      <c r="R37" s="770" t="s">
        <v>21</v>
      </c>
      <c r="S37" s="771">
        <f t="shared" si="12"/>
        <v>100</v>
      </c>
      <c r="T37" s="770" t="s">
        <v>21</v>
      </c>
      <c r="U37" s="771">
        <f t="shared" si="13"/>
        <v>100</v>
      </c>
      <c r="V37" s="770" t="s">
        <v>21</v>
      </c>
      <c r="W37" s="771">
        <f t="shared" si="14"/>
        <v>100</v>
      </c>
      <c r="X37" s="772"/>
      <c r="Y37" s="3168"/>
      <c r="Z37" s="55" t="str">
        <f t="shared" si="18"/>
        <v>成新度</v>
      </c>
      <c r="AA37" s="773">
        <f t="shared" si="15"/>
        <v>1</v>
      </c>
      <c r="AB37" s="773">
        <f t="shared" si="16"/>
        <v>1</v>
      </c>
      <c r="AC37" s="773">
        <f t="shared" si="17"/>
        <v>1</v>
      </c>
    </row>
    <row r="38" spans="1:29" ht="15">
      <c r="A38" s="472"/>
      <c r="B38" s="422" t="s">
        <v>2563</v>
      </c>
      <c r="C38" s="2612" t="s">
        <v>3092</v>
      </c>
      <c r="D38" s="435">
        <v>100</v>
      </c>
      <c r="E38" s="2613" t="s">
        <v>3092</v>
      </c>
      <c r="F38" s="461">
        <f>SUMIF(114:114,E38,115:115)-SUMIF(114:114,C38,115:115)+100</f>
        <v>100</v>
      </c>
      <c r="G38" s="2612" t="s">
        <v>3092</v>
      </c>
      <c r="H38" s="435">
        <f>SUMIF(114:114,G38,115:115)-SUMIF(114:114,C38,115:115)+100</f>
        <v>100</v>
      </c>
      <c r="I38" s="2613" t="s">
        <v>3092</v>
      </c>
      <c r="J38" s="435">
        <f>SUMIF(114:114,I38,115:115)-SUMIF(114:114,C38,115:115)+100</f>
        <v>100</v>
      </c>
      <c r="K38" s="426">
        <v>2</v>
      </c>
      <c r="L38" s="1139"/>
      <c r="M38" s="1130"/>
      <c r="N38" s="1130"/>
      <c r="O38" s="1130"/>
      <c r="P38" s="3230" t="s">
        <v>2557</v>
      </c>
      <c r="Q38" s="1809" t="str">
        <f t="shared" si="11"/>
        <v>物业管理</v>
      </c>
      <c r="R38" s="774" t="s">
        <v>21</v>
      </c>
      <c r="S38" s="775">
        <f t="shared" si="12"/>
        <v>100</v>
      </c>
      <c r="T38" s="774" t="s">
        <v>21</v>
      </c>
      <c r="U38" s="775">
        <f t="shared" si="13"/>
        <v>100</v>
      </c>
      <c r="V38" s="774" t="s">
        <v>21</v>
      </c>
      <c r="W38" s="775">
        <f t="shared" si="14"/>
        <v>100</v>
      </c>
      <c r="X38" s="1812"/>
      <c r="Y38" s="3168" t="s">
        <v>2557</v>
      </c>
      <c r="Z38" s="1813" t="str">
        <f t="shared" si="18"/>
        <v>物业管理</v>
      </c>
      <c r="AA38" s="1810">
        <f t="shared" si="15"/>
        <v>1</v>
      </c>
      <c r="AB38" s="1810">
        <f t="shared" si="16"/>
        <v>1</v>
      </c>
      <c r="AC38" s="1810">
        <f t="shared" si="17"/>
        <v>1</v>
      </c>
    </row>
    <row r="39" spans="1:29" ht="15">
      <c r="A39" s="472"/>
      <c r="B39" s="422" t="s">
        <v>2564</v>
      </c>
      <c r="C39" s="2612" t="s">
        <v>3162</v>
      </c>
      <c r="D39" s="435">
        <v>100</v>
      </c>
      <c r="E39" s="2613" t="s">
        <v>3162</v>
      </c>
      <c r="F39" s="461">
        <f>SUMIF(116:116,E39,117:117)-SUMIF(116:116,C39,117:117)+100</f>
        <v>100</v>
      </c>
      <c r="G39" s="2612" t="s">
        <v>3162</v>
      </c>
      <c r="H39" s="435">
        <f>SUMIF(116:116,G39,117:117)-SUMIF(116:116,C39,117:117)+100</f>
        <v>100</v>
      </c>
      <c r="I39" s="2613" t="s">
        <v>3162</v>
      </c>
      <c r="J39" s="435">
        <f>SUMIF(116:116,I39,117:117)-SUMIF(116:116,C39,117:117)+100</f>
        <v>100</v>
      </c>
      <c r="K39" s="426">
        <v>1</v>
      </c>
      <c r="L39" s="1139"/>
      <c r="M39" s="1130"/>
      <c r="N39" s="1130"/>
      <c r="O39" s="1130"/>
      <c r="P39" s="3230"/>
      <c r="Q39" s="1809" t="str">
        <f t="shared" si="11"/>
        <v>市政基础设施</v>
      </c>
      <c r="R39" s="774" t="s">
        <v>21</v>
      </c>
      <c r="S39" s="775">
        <f t="shared" si="12"/>
        <v>100</v>
      </c>
      <c r="T39" s="774" t="s">
        <v>21</v>
      </c>
      <c r="U39" s="775">
        <f t="shared" si="13"/>
        <v>100</v>
      </c>
      <c r="V39" s="774" t="s">
        <v>21</v>
      </c>
      <c r="W39" s="775">
        <f t="shared" si="14"/>
        <v>100</v>
      </c>
      <c r="X39" s="1812"/>
      <c r="Y39" s="3168"/>
      <c r="Z39" s="1813" t="str">
        <f t="shared" si="18"/>
        <v>市政基础设施</v>
      </c>
      <c r="AA39" s="1810">
        <f t="shared" si="15"/>
        <v>1</v>
      </c>
      <c r="AB39" s="1810">
        <f t="shared" si="16"/>
        <v>1</v>
      </c>
      <c r="AC39" s="1810">
        <f t="shared" si="17"/>
        <v>1</v>
      </c>
    </row>
    <row r="40" spans="1:29" ht="15" hidden="1">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230"/>
      <c r="Q40" s="1809" t="str">
        <f t="shared" si="11"/>
        <v>房型</v>
      </c>
      <c r="R40" s="774" t="s">
        <v>21</v>
      </c>
      <c r="S40" s="775">
        <f t="shared" si="12"/>
        <v>100</v>
      </c>
      <c r="T40" s="774" t="s">
        <v>21</v>
      </c>
      <c r="U40" s="775">
        <f t="shared" si="13"/>
        <v>100</v>
      </c>
      <c r="V40" s="774" t="s">
        <v>21</v>
      </c>
      <c r="W40" s="775">
        <f t="shared" si="14"/>
        <v>100</v>
      </c>
      <c r="X40" s="1812"/>
      <c r="Y40" s="3168"/>
      <c r="Z40" s="1813" t="str">
        <f t="shared" si="18"/>
        <v>房型</v>
      </c>
      <c r="AA40" s="1810">
        <f t="shared" si="15"/>
        <v>1</v>
      </c>
      <c r="AB40" s="1810">
        <f t="shared" si="16"/>
        <v>1</v>
      </c>
      <c r="AC40" s="1810">
        <f t="shared" si="17"/>
        <v>1</v>
      </c>
    </row>
    <row r="41" spans="1:29" s="471" customFormat="1" ht="28.5" hidden="1">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230"/>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10">
        <f t="shared" si="15"/>
        <v>1</v>
      </c>
      <c r="AB41" s="1810">
        <f t="shared" si="16"/>
        <v>1</v>
      </c>
      <c r="AC41" s="1810">
        <f t="shared" si="17"/>
        <v>1</v>
      </c>
    </row>
    <row r="42" spans="1:29" ht="15">
      <c r="A42" s="472"/>
      <c r="B42" s="422" t="s">
        <v>2567</v>
      </c>
      <c r="C42" s="2612" t="s">
        <v>3095</v>
      </c>
      <c r="D42" s="435">
        <v>100</v>
      </c>
      <c r="E42" s="2613" t="s">
        <v>3095</v>
      </c>
      <c r="F42" s="461">
        <f>SUMIF(122:122,E42,123:123)-SUMIF(122:122,C42,123:123)+100</f>
        <v>100</v>
      </c>
      <c r="G42" s="2612" t="s">
        <v>3095</v>
      </c>
      <c r="H42" s="435">
        <f>SUMIF(122:122,G42,123:123)-SUMIF(122:122,C42,123:123)+100</f>
        <v>100</v>
      </c>
      <c r="I42" s="2613" t="s">
        <v>3095</v>
      </c>
      <c r="J42" s="435">
        <f>SUMIF(122:122,I42,123:123)-SUMIF(122:122,C42,123:123)+100</f>
        <v>100</v>
      </c>
      <c r="K42" s="426">
        <v>3</v>
      </c>
      <c r="L42" s="1139"/>
      <c r="M42" s="1130"/>
      <c r="N42" s="1130"/>
      <c r="O42" s="1130"/>
      <c r="P42" s="3230"/>
      <c r="Q42" s="1809" t="str">
        <f t="shared" si="11"/>
        <v>内部装修</v>
      </c>
      <c r="R42" s="774" t="s">
        <v>21</v>
      </c>
      <c r="S42" s="775">
        <f t="shared" si="12"/>
        <v>100</v>
      </c>
      <c r="T42" s="774" t="s">
        <v>21</v>
      </c>
      <c r="U42" s="775">
        <f t="shared" si="13"/>
        <v>100</v>
      </c>
      <c r="V42" s="774" t="s">
        <v>21</v>
      </c>
      <c r="W42" s="775">
        <f t="shared" si="14"/>
        <v>100</v>
      </c>
      <c r="X42" s="1812"/>
      <c r="Y42" s="3168"/>
      <c r="Z42" s="1813" t="str">
        <f t="shared" si="18"/>
        <v>内部装修</v>
      </c>
      <c r="AA42" s="1810">
        <f t="shared" si="15"/>
        <v>1</v>
      </c>
      <c r="AB42" s="1810">
        <f t="shared" si="16"/>
        <v>1</v>
      </c>
      <c r="AC42" s="1810">
        <f t="shared" si="17"/>
        <v>1</v>
      </c>
    </row>
    <row r="43" spans="1:29" ht="15.75" thickBot="1">
      <c r="A43" s="472"/>
      <c r="B43" s="422" t="s">
        <v>2568</v>
      </c>
      <c r="C43" s="2612" t="s">
        <v>3078</v>
      </c>
      <c r="D43" s="435">
        <v>100</v>
      </c>
      <c r="E43" s="2613" t="s">
        <v>3078</v>
      </c>
      <c r="F43" s="461">
        <f>SUMIF(124:124,E43,125:125)-SUMIF(124:124,C43,125:125)+100</f>
        <v>100</v>
      </c>
      <c r="G43" s="2612" t="s">
        <v>3078</v>
      </c>
      <c r="H43" s="435">
        <f>SUMIF(124:124,G43,125:125)-SUMIF(124:124,C43,125:125)+100</f>
        <v>100</v>
      </c>
      <c r="I43" s="2613" t="s">
        <v>3078</v>
      </c>
      <c r="J43" s="435">
        <f>SUMIF(124:124,I43,125:125)-SUMIF(124:124,C43,125:125)+100</f>
        <v>100</v>
      </c>
      <c r="K43" s="426">
        <v>2</v>
      </c>
      <c r="L43" s="1139"/>
      <c r="M43" s="1130"/>
      <c r="N43" s="1130"/>
      <c r="O43" s="1130"/>
      <c r="P43" s="3230"/>
      <c r="Q43" s="1809" t="str">
        <f t="shared" si="11"/>
        <v>内部装修维护情况</v>
      </c>
      <c r="R43" s="774" t="s">
        <v>21</v>
      </c>
      <c r="S43" s="775">
        <f t="shared" si="12"/>
        <v>100</v>
      </c>
      <c r="T43" s="774" t="s">
        <v>21</v>
      </c>
      <c r="U43" s="775">
        <f t="shared" si="13"/>
        <v>100</v>
      </c>
      <c r="V43" s="774" t="s">
        <v>21</v>
      </c>
      <c r="W43" s="775">
        <f t="shared" si="14"/>
        <v>100</v>
      </c>
      <c r="X43" s="1812"/>
      <c r="Y43" s="3168"/>
      <c r="Z43" s="1813" t="str">
        <f t="shared" si="18"/>
        <v>内部装修维护情况</v>
      </c>
      <c r="AA43" s="1810">
        <f t="shared" si="15"/>
        <v>1</v>
      </c>
      <c r="AB43" s="1810">
        <f t="shared" si="16"/>
        <v>1</v>
      </c>
      <c r="AC43" s="1810">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230"/>
      <c r="Q44" s="1794">
        <f t="shared" si="11"/>
        <v>111</v>
      </c>
      <c r="R44" s="770" t="s">
        <v>21</v>
      </c>
      <c r="S44" s="771">
        <f t="shared" si="12"/>
        <v>100</v>
      </c>
      <c r="T44" s="770" t="s">
        <v>21</v>
      </c>
      <c r="U44" s="771">
        <f t="shared" si="13"/>
        <v>100</v>
      </c>
      <c r="V44" s="770" t="s">
        <v>21</v>
      </c>
      <c r="W44" s="771">
        <f t="shared" si="14"/>
        <v>100</v>
      </c>
      <c r="X44" s="772"/>
      <c r="Y44" s="3168"/>
      <c r="Z44" s="55">
        <f t="shared" si="18"/>
        <v>111</v>
      </c>
      <c r="AA44" s="773">
        <f t="shared" si="15"/>
        <v>1</v>
      </c>
      <c r="AB44" s="773">
        <f t="shared" si="16"/>
        <v>1</v>
      </c>
      <c r="AC44" s="773">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230"/>
      <c r="Q45" s="1809">
        <f t="shared" si="11"/>
        <v>111</v>
      </c>
      <c r="R45" s="774" t="s">
        <v>21</v>
      </c>
      <c r="S45" s="775">
        <f t="shared" si="12"/>
        <v>100</v>
      </c>
      <c r="T45" s="774" t="s">
        <v>21</v>
      </c>
      <c r="U45" s="775">
        <f t="shared" si="13"/>
        <v>100</v>
      </c>
      <c r="V45" s="774" t="s">
        <v>21</v>
      </c>
      <c r="W45" s="775">
        <f t="shared" si="14"/>
        <v>100</v>
      </c>
      <c r="X45" s="1812"/>
      <c r="Y45" s="3168"/>
      <c r="Z45" s="1813">
        <f t="shared" si="18"/>
        <v>111</v>
      </c>
      <c r="AA45" s="1810">
        <f t="shared" si="15"/>
        <v>1</v>
      </c>
      <c r="AB45" s="1810">
        <f t="shared" si="16"/>
        <v>1</v>
      </c>
      <c r="AC45" s="1810">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231"/>
      <c r="Q46" s="1809">
        <f t="shared" si="11"/>
        <v>111</v>
      </c>
      <c r="R46" s="774" t="s">
        <v>20</v>
      </c>
      <c r="S46" s="775">
        <f t="shared" si="12"/>
        <v>100</v>
      </c>
      <c r="T46" s="774" t="s">
        <v>20</v>
      </c>
      <c r="U46" s="775">
        <f t="shared" si="13"/>
        <v>100</v>
      </c>
      <c r="V46" s="774" t="s">
        <v>20</v>
      </c>
      <c r="W46" s="775">
        <f t="shared" si="14"/>
        <v>100</v>
      </c>
      <c r="X46" s="1812"/>
      <c r="Y46" s="3232"/>
      <c r="Z46" s="1813">
        <f t="shared" si="18"/>
        <v>111</v>
      </c>
      <c r="AA46" s="1810">
        <f t="shared" si="15"/>
        <v>1</v>
      </c>
      <c r="AB46" s="1810">
        <f t="shared" si="16"/>
        <v>1</v>
      </c>
      <c r="AC46" s="1810">
        <f t="shared" si="17"/>
        <v>1</v>
      </c>
    </row>
    <row r="47" spans="1:29" ht="15">
      <c r="A47" s="479" t="s">
        <v>2569</v>
      </c>
      <c r="B47" s="480"/>
      <c r="C47" s="1406" t="s">
        <v>19</v>
      </c>
      <c r="D47" s="1407"/>
      <c r="E47" s="1408">
        <v>21500</v>
      </c>
      <c r="F47" s="1409"/>
      <c r="G47" s="1410">
        <v>21000</v>
      </c>
      <c r="H47" s="1411"/>
      <c r="I47" s="1408">
        <v>21000</v>
      </c>
      <c r="J47" s="1411"/>
      <c r="K47" s="2620"/>
      <c r="L47" s="1142"/>
      <c r="M47" s="1143"/>
      <c r="N47" s="1130"/>
      <c r="O47" s="1143"/>
      <c r="P47" s="3163" t="str">
        <f>A47</f>
        <v>成交单价（元/平方米）</v>
      </c>
      <c r="Q47" s="3163"/>
      <c r="R47" s="3228">
        <f>E47</f>
        <v>21500</v>
      </c>
      <c r="S47" s="3228"/>
      <c r="T47" s="3228">
        <f>G47</f>
        <v>21000</v>
      </c>
      <c r="U47" s="3228"/>
      <c r="V47" s="3228">
        <f>I47</f>
        <v>21000</v>
      </c>
      <c r="W47" s="3228"/>
      <c r="X47" s="759"/>
      <c r="Y47" s="781"/>
      <c r="Z47" s="759"/>
      <c r="AA47" s="759"/>
      <c r="AB47" s="759"/>
      <c r="AC47" s="759"/>
    </row>
    <row r="48" spans="1:29" ht="15.75" thickBot="1">
      <c r="A48" s="486" t="s">
        <v>2570</v>
      </c>
      <c r="B48" s="487"/>
      <c r="C48" s="1412">
        <f>R49</f>
        <v>21169</v>
      </c>
      <c r="D48" s="1413"/>
      <c r="E48" s="1414">
        <f>R48</f>
        <v>21078</v>
      </c>
      <c r="F48" s="1414"/>
      <c r="G48" s="1412">
        <f>T48</f>
        <v>21212</v>
      </c>
      <c r="H48" s="1413"/>
      <c r="I48" s="1414">
        <f>V48</f>
        <v>21216</v>
      </c>
      <c r="J48" s="1413"/>
      <c r="K48" s="2621"/>
      <c r="L48" s="1142"/>
      <c r="M48" s="1143"/>
      <c r="N48" s="1143"/>
      <c r="O48" s="1143"/>
      <c r="P48" s="3163" t="str">
        <f>A48</f>
        <v>比较价值（元/平方米）</v>
      </c>
      <c r="Q48" s="3163"/>
      <c r="R48" s="3228">
        <f>IF(F1="售价",ROUND(PRODUCT(R47,AA7:AA46),0),ROUND(PRODUCT(R47,AA7:AA46),1))</f>
        <v>21078</v>
      </c>
      <c r="S48" s="3228"/>
      <c r="T48" s="3228">
        <f>IF(F1="售价",ROUND(PRODUCT(T47,AB7:AB46),0),ROUND(PRODUCT(T47,AB7:AB46),1))</f>
        <v>21212</v>
      </c>
      <c r="U48" s="3228"/>
      <c r="V48" s="3228">
        <f>IF(F1="售价",ROUND(PRODUCT(V47,AC7:AC46),0),ROUND(PRODUCT(V47,AC7:AC46),1))</f>
        <v>21216</v>
      </c>
      <c r="W48" s="3228"/>
      <c r="X48" s="759"/>
      <c r="Y48" s="759"/>
      <c r="Z48" s="759"/>
      <c r="AA48" s="759"/>
      <c r="AB48" s="759"/>
      <c r="AC48" s="759"/>
    </row>
    <row r="49" spans="1:29" ht="15.75" thickBot="1">
      <c r="A49" s="492" t="s">
        <v>2571</v>
      </c>
      <c r="B49" s="493"/>
      <c r="C49" s="1415">
        <f>R49</f>
        <v>21169</v>
      </c>
      <c r="D49" s="1416"/>
      <c r="E49" s="1416"/>
      <c r="F49" s="1416"/>
      <c r="G49" s="1416"/>
      <c r="H49" s="1416"/>
      <c r="I49" s="1416"/>
      <c r="J49" s="1416"/>
      <c r="K49" s="2622"/>
      <c r="L49" s="1142"/>
      <c r="M49" s="1143"/>
      <c r="N49" s="1143"/>
      <c r="O49" s="1143"/>
      <c r="P49" s="3157" t="str">
        <f>A49</f>
        <v>估价对象XX用房的比较价值（楼面单价，元/平方米）</v>
      </c>
      <c r="Q49" s="3158"/>
      <c r="R49" s="3227">
        <f>IF(F1="售价",ROUND(AVERAGE(R48:V48),0),ROUND(AVERAGE(R48:V48),1))</f>
        <v>21169</v>
      </c>
      <c r="S49" s="3227"/>
      <c r="T49" s="3227"/>
      <c r="U49" s="3227"/>
      <c r="V49" s="3227"/>
      <c r="W49" s="322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2572</v>
      </c>
      <c r="D52" s="498"/>
      <c r="E52" s="499">
        <f>IF(E47&lt;E48,E48/E47-1,E47/E48-1)</f>
        <v>2.0020874845810832E-2</v>
      </c>
      <c r="F52" s="500" t="str">
        <f>IF(OR(E52&gt;=0.3,E52&lt;=-0.3),"超过30%","")</f>
        <v/>
      </c>
      <c r="G52" s="499">
        <f>IF(G47&lt;G48,G48/G47-1,G47/G48-1)</f>
        <v>1.0095238095238157E-2</v>
      </c>
      <c r="H52" s="500" t="str">
        <f>IF(OR(G52&gt;=0.3,G52&lt;=-0.3),"超过30%","")</f>
        <v/>
      </c>
      <c r="I52" s="499">
        <f>IF(I47&lt;I48,I48/I47-1,I47/I48-1)</f>
        <v>1.0285714285714231E-2</v>
      </c>
      <c r="J52" s="500" t="str">
        <f>IF(OR(I52&gt;=0.3,I52&lt;=-0.3),"超过30%","")</f>
        <v/>
      </c>
      <c r="K52" s="1104"/>
      <c r="L52" s="1105"/>
      <c r="M52" s="1143"/>
      <c r="N52" s="1143"/>
      <c r="O52" s="1143"/>
    </row>
    <row r="53" spans="1:29" ht="13.5" customHeight="1">
      <c r="A53" s="1143"/>
      <c r="B53" s="1143"/>
      <c r="C53" s="497" t="s">
        <v>2573</v>
      </c>
      <c r="D53" s="501"/>
      <c r="E53" s="499">
        <f>IF(E48&lt;G48,G48/E48-1,E48/G48-1)</f>
        <v>6.3573394060156829E-3</v>
      </c>
      <c r="F53" s="500" t="str">
        <f>IF(OR(E53&gt;=0.2,E53&lt;=-0.2),"超过20%","")</f>
        <v/>
      </c>
      <c r="G53" s="499">
        <f>IF(G48&lt;I48,I48/G48-1,G48/I48-1)</f>
        <v>1.8857250612858145E-4</v>
      </c>
      <c r="H53" s="500" t="str">
        <f>IF(OR(G53&gt;=0.2,G53&lt;=-0.2),"超过20%","")</f>
        <v/>
      </c>
      <c r="I53" s="499">
        <f>IF(I48&lt;E48,E48/I48-1,I48/E48-1)</f>
        <v>6.5471107315684396E-3</v>
      </c>
      <c r="J53" s="500" t="str">
        <f>IF(OR(I53&gt;=0.2,I53&lt;=-0.2),"超过20%","")</f>
        <v/>
      </c>
      <c r="K53" s="1104"/>
      <c r="L53" s="1105"/>
      <c r="M53" s="1143"/>
      <c r="N53" s="1143"/>
      <c r="O53" s="1143"/>
    </row>
    <row r="54" spans="1:29" s="502" customFormat="1" ht="13.5" customHeight="1">
      <c r="A54" s="1144"/>
      <c r="B54" s="1144"/>
      <c r="C54" s="497" t="s">
        <v>2574</v>
      </c>
      <c r="D54" s="501"/>
      <c r="E54" s="499">
        <f>IF(E47&lt;G47,G47/E47-1,E47/G47-1)</f>
        <v>2.3809523809523725E-2</v>
      </c>
      <c r="F54" s="500" t="str">
        <f>IF(OR(E54&gt;=0.3,E54&lt;=-0.3),"超过30%","")</f>
        <v/>
      </c>
      <c r="G54" s="499">
        <f>IF(G47&lt;I47,I47/G47-1,G47/I47-1)</f>
        <v>0</v>
      </c>
      <c r="H54" s="500" t="str">
        <f>IF(OR(G54&gt;=0.3,G54&lt;=-0.3),"超过30%","")</f>
        <v/>
      </c>
      <c r="I54" s="499">
        <f>IF(I47&lt;E47,E47/I47-1,I47/E47-1)</f>
        <v>2.3809523809523725E-2</v>
      </c>
      <c r="J54" s="500" t="str">
        <f>IF(OR(I54&gt;=0.3,I54&lt;=-0.3),"超过30%","")</f>
        <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2575</v>
      </c>
      <c r="B57" s="759"/>
      <c r="C57" s="764"/>
      <c r="D57" s="764"/>
      <c r="E57" s="764"/>
      <c r="F57" s="765"/>
      <c r="G57" s="765"/>
      <c r="H57" s="764"/>
      <c r="I57" s="764"/>
      <c r="J57" s="764"/>
      <c r="K57" s="1159"/>
      <c r="L57" s="1160"/>
      <c r="M57" s="1158"/>
      <c r="N57" s="1158"/>
      <c r="O57" s="1158"/>
      <c r="P57" s="2625"/>
      <c r="Q57" s="504"/>
    </row>
    <row r="58" spans="1:29" s="508" customFormat="1" ht="15">
      <c r="A58" s="505" t="s">
        <v>2576</v>
      </c>
      <c r="B58" s="506"/>
      <c r="C58" s="1575" t="str">
        <f>YEAR(C7)&amp;"-"&amp;MONTH(C7)</f>
        <v>2018-9</v>
      </c>
      <c r="D58" s="1574">
        <f>EDATE(C58,-1)</f>
        <v>43313</v>
      </c>
      <c r="E58" s="1574">
        <f>EDATE(D58,-1)</f>
        <v>43282</v>
      </c>
      <c r="F58" s="1574">
        <f t="shared" ref="F58:O58" si="19">EDATE(E58,-1)</f>
        <v>43252</v>
      </c>
      <c r="G58" s="1574">
        <f t="shared" si="19"/>
        <v>43221</v>
      </c>
      <c r="H58" s="1574">
        <f t="shared" si="19"/>
        <v>43191</v>
      </c>
      <c r="I58" s="1574">
        <f t="shared" si="19"/>
        <v>43160</v>
      </c>
      <c r="J58" s="1574">
        <f t="shared" si="19"/>
        <v>43132</v>
      </c>
      <c r="K58" s="1574">
        <f t="shared" si="19"/>
        <v>43101</v>
      </c>
      <c r="L58" s="1574">
        <f t="shared" si="19"/>
        <v>43070</v>
      </c>
      <c r="M58" s="1574">
        <f t="shared" si="19"/>
        <v>43040</v>
      </c>
      <c r="N58" s="1574">
        <f t="shared" si="19"/>
        <v>43009</v>
      </c>
      <c r="O58" s="1574">
        <f t="shared" si="19"/>
        <v>42979</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2580</v>
      </c>
      <c r="B63" s="528" t="s">
        <v>2546</v>
      </c>
      <c r="C63" s="529" t="str">
        <f>C9</f>
        <v>住宅</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29"/>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v>5</v>
      </c>
      <c r="I68" s="549">
        <v>6</v>
      </c>
      <c r="J68" s="549"/>
      <c r="K68" s="550"/>
      <c r="L68" s="551"/>
      <c r="M68" s="552"/>
      <c r="N68" s="1151"/>
      <c r="O68" s="1151"/>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9"/>
      <c r="Q81" s="504"/>
    </row>
    <row r="82" spans="1:17" ht="15.75" thickTop="1">
      <c r="A82" s="534"/>
      <c r="B82" s="546" t="s">
        <v>2091</v>
      </c>
      <c r="C82" s="539" t="s">
        <v>2596</v>
      </c>
      <c r="D82" s="539" t="s">
        <v>2597</v>
      </c>
      <c r="E82" s="539" t="s">
        <v>2598</v>
      </c>
      <c r="F82" s="539" t="s">
        <v>2599</v>
      </c>
      <c r="G82" s="539" t="s">
        <v>2600</v>
      </c>
      <c r="H82" s="539"/>
      <c r="I82" s="539"/>
      <c r="J82" s="539"/>
      <c r="K82" s="539"/>
      <c r="L82" s="539"/>
      <c r="M82" s="1381"/>
      <c r="N82" s="1152"/>
      <c r="O82" s="1152"/>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9"/>
      <c r="Q84" s="504"/>
    </row>
    <row r="85" spans="1:17" ht="15.75" thickBot="1">
      <c r="A85" s="534"/>
      <c r="B85" s="543"/>
      <c r="C85" s="544">
        <v>100</v>
      </c>
      <c r="D85" s="544">
        <f>C85-$K23</f>
        <v>98.5</v>
      </c>
      <c r="E85" s="544">
        <f>D85-$K23</f>
        <v>97</v>
      </c>
      <c r="F85" s="544">
        <f>E85-$K23</f>
        <v>95.5</v>
      </c>
      <c r="G85" s="544">
        <f>F85-$K23</f>
        <v>94</v>
      </c>
      <c r="H85" s="544"/>
      <c r="I85" s="544"/>
      <c r="J85" s="544"/>
      <c r="K85" s="544"/>
      <c r="L85" s="544"/>
      <c r="M85" s="545"/>
      <c r="N85" s="1152"/>
      <c r="O85" s="1152"/>
      <c r="P85" s="2629"/>
      <c r="Q85" s="504"/>
    </row>
    <row r="86" spans="1:17" s="117" customFormat="1" ht="15.75" thickTop="1">
      <c r="A86" s="579"/>
      <c r="B86" s="538" t="s">
        <v>2602</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2603</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2555</v>
      </c>
      <c r="B100" s="528" t="s">
        <v>2604</v>
      </c>
      <c r="C100" s="2946" t="s">
        <v>3081</v>
      </c>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2"/>
      <c r="O101" s="1152"/>
      <c r="P101" s="2629"/>
      <c r="Q101" s="504"/>
    </row>
    <row r="102" spans="1:17" ht="29.25" thickTop="1">
      <c r="A102" s="534"/>
      <c r="B102" s="538" t="s">
        <v>2605</v>
      </c>
      <c r="C102" s="578" t="str">
        <f>C103&amp;"(含)"&amp;"-"&amp;D103</f>
        <v>0(含)-200000</v>
      </c>
      <c r="D102" s="578" t="str">
        <f t="shared" ref="D102:L102" si="27">D103&amp;"(含)"&amp;"-"&amp;E103</f>
        <v>200000(含)-400000</v>
      </c>
      <c r="E102" s="578" t="str">
        <f t="shared" si="27"/>
        <v>400000(含)-600000</v>
      </c>
      <c r="F102" s="578" t="str">
        <f t="shared" si="27"/>
        <v>600000(含)-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200000</v>
      </c>
      <c r="E103" s="595">
        <v>400000</v>
      </c>
      <c r="F103" s="595">
        <v>600000</v>
      </c>
      <c r="G103" s="595"/>
      <c r="H103" s="595"/>
      <c r="I103" s="595"/>
      <c r="J103" s="596"/>
      <c r="K103" s="596"/>
      <c r="L103" s="597"/>
      <c r="M103" s="598"/>
      <c r="N103" s="1153"/>
      <c r="O103" s="1153"/>
      <c r="P103" s="2630"/>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2"/>
      <c r="O104" s="1152"/>
      <c r="P104" s="2630"/>
      <c r="Q104" s="559"/>
    </row>
    <row r="105" spans="1:17" ht="15" thickTop="1">
      <c r="A105" s="599"/>
      <c r="B105" s="538" t="s">
        <v>2606</v>
      </c>
      <c r="C105" s="2947" t="s">
        <v>3083</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2"/>
      <c r="O106" s="1152"/>
      <c r="P106" s="2629"/>
      <c r="Q106" s="504"/>
    </row>
    <row r="107" spans="1:17" ht="15" thickTop="1">
      <c r="A107" s="599"/>
      <c r="B107" s="538" t="s">
        <v>2607</v>
      </c>
      <c r="C107" s="2948" t="s">
        <v>3085</v>
      </c>
      <c r="D107" s="2948" t="s">
        <v>3087</v>
      </c>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2"/>
      <c r="O108" s="1152"/>
      <c r="P108" s="2629"/>
      <c r="Q108" s="504"/>
    </row>
    <row r="109" spans="1:17" ht="15" thickTop="1">
      <c r="A109" s="599"/>
      <c r="B109" s="538" t="s">
        <v>2608</v>
      </c>
      <c r="C109" s="2947" t="s">
        <v>3088</v>
      </c>
      <c r="D109" s="2947" t="s">
        <v>3089</v>
      </c>
      <c r="E109" s="2947" t="s">
        <v>3090</v>
      </c>
      <c r="F109" s="2948" t="s">
        <v>3091</v>
      </c>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2"/>
      <c r="O110" s="1152"/>
      <c r="P110" s="262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0"/>
      <c r="Q113" s="559"/>
    </row>
    <row r="114" spans="1:17" ht="15" thickTop="1">
      <c r="A114" s="599"/>
      <c r="B114" s="538" t="s">
        <v>2609</v>
      </c>
      <c r="C114" s="2947" t="s">
        <v>3093</v>
      </c>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2"/>
      <c r="O115" s="1152"/>
      <c r="P115" s="2629"/>
      <c r="Q115" s="504"/>
    </row>
    <row r="116" spans="1:17" ht="15" thickTop="1">
      <c r="A116" s="599"/>
      <c r="B116" s="538" t="s">
        <v>2610</v>
      </c>
      <c r="C116" s="2947" t="s">
        <v>3163</v>
      </c>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9"/>
      <c r="Q117" s="504"/>
    </row>
    <row r="118" spans="1:17" ht="15" thickTop="1">
      <c r="A118" s="599"/>
      <c r="B118" s="538" t="s">
        <v>2611</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2612</v>
      </c>
      <c r="C122" s="2947" t="s">
        <v>3088</v>
      </c>
      <c r="D122" s="2947" t="s">
        <v>3089</v>
      </c>
      <c r="E122" s="2947" t="s">
        <v>3090</v>
      </c>
      <c r="F122" s="2948" t="s">
        <v>3091</v>
      </c>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2"/>
      <c r="O123" s="1152"/>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30"/>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3">
        <v>6</v>
      </c>
      <c r="C139" s="1084">
        <v>96</v>
      </c>
      <c r="D139" s="2647" t="s">
        <v>2623</v>
      </c>
      <c r="E139" s="1085">
        <v>100</v>
      </c>
      <c r="F139" s="1086">
        <v>102.5</v>
      </c>
      <c r="G139" s="2647" t="s">
        <v>2623</v>
      </c>
      <c r="H139" s="1087">
        <v>105</v>
      </c>
      <c r="I139" s="2648" t="s">
        <v>2624</v>
      </c>
      <c r="J139" s="1084">
        <v>20</v>
      </c>
      <c r="K139" s="1088">
        <f>C145/(J139-2)</f>
        <v>4.0555555555555553E-3</v>
      </c>
    </row>
    <row r="140" spans="1:17" ht="15">
      <c r="B140" s="1089">
        <v>5</v>
      </c>
      <c r="C140" s="1090">
        <v>100</v>
      </c>
      <c r="D140" s="1090"/>
      <c r="E140" s="1091"/>
      <c r="F140" s="1092">
        <v>102</v>
      </c>
      <c r="G140" s="1090"/>
      <c r="H140" s="1093"/>
      <c r="I140" s="2649" t="s">
        <v>2625</v>
      </c>
      <c r="J140" s="315">
        <f>ROUNDUP((J139-1)/2,0)</f>
        <v>10</v>
      </c>
      <c r="K140" s="1094">
        <v>100</v>
      </c>
    </row>
    <row r="141" spans="1:17" ht="15">
      <c r="B141" s="1089">
        <v>4</v>
      </c>
      <c r="C141" s="1090">
        <v>102</v>
      </c>
      <c r="D141" s="1090"/>
      <c r="E141" s="1091"/>
      <c r="F141" s="1092">
        <v>101.5</v>
      </c>
      <c r="G141" s="1090"/>
      <c r="H141" s="1093"/>
      <c r="I141" s="2649" t="s">
        <v>2626</v>
      </c>
      <c r="J141" s="315">
        <v>1</v>
      </c>
      <c r="K141" s="1095">
        <f>ROUND(100+(J141-J140)*K139*100,1)</f>
        <v>96.4</v>
      </c>
    </row>
    <row r="142" spans="1:17" ht="15">
      <c r="B142" s="1089">
        <v>3</v>
      </c>
      <c r="C142" s="1090">
        <v>103</v>
      </c>
      <c r="D142" s="1090"/>
      <c r="E142" s="1091"/>
      <c r="F142" s="1092">
        <v>101</v>
      </c>
      <c r="G142" s="1090"/>
      <c r="H142" s="1093"/>
      <c r="I142" s="2649" t="s">
        <v>2627</v>
      </c>
      <c r="J142" s="315">
        <f>J139</f>
        <v>20</v>
      </c>
      <c r="K142" s="1096">
        <v>95</v>
      </c>
    </row>
    <row r="143" spans="1:17" ht="15">
      <c r="B143" s="1089">
        <v>2</v>
      </c>
      <c r="C143" s="1090">
        <v>100</v>
      </c>
      <c r="D143" s="1090"/>
      <c r="E143" s="1091"/>
      <c r="F143" s="1092">
        <v>100.5</v>
      </c>
      <c r="G143" s="1090"/>
      <c r="H143" s="1093"/>
      <c r="I143" s="2649" t="s">
        <v>2628</v>
      </c>
      <c r="J143" s="1090">
        <v>15</v>
      </c>
      <c r="K143" s="1095">
        <f>ROUND(100+(J143-J140)*K139*100,1)</f>
        <v>102</v>
      </c>
    </row>
    <row r="144" spans="1:17" ht="15">
      <c r="B144" s="1089">
        <v>1</v>
      </c>
      <c r="C144" s="1090">
        <v>98</v>
      </c>
      <c r="D144" s="2650" t="s">
        <v>2629</v>
      </c>
      <c r="E144" s="1091">
        <v>102</v>
      </c>
      <c r="F144" s="1097">
        <v>100</v>
      </c>
      <c r="G144" s="2650" t="s">
        <v>2629</v>
      </c>
      <c r="H144" s="1093">
        <v>105</v>
      </c>
      <c r="I144" s="2649" t="s">
        <v>2628</v>
      </c>
      <c r="J144" s="1090">
        <v>18</v>
      </c>
      <c r="K144" s="1095">
        <f>ROUND(100+(J144-J140)*K139*100,1)</f>
        <v>103.2</v>
      </c>
    </row>
    <row r="145" spans="2:11" s="403" customFormat="1" ht="15.75" thickBot="1">
      <c r="B145" s="2651" t="s">
        <v>2630</v>
      </c>
      <c r="C145" s="1098">
        <f>ROUND(MAX(C139:C144)/MIN(C139:C144)-1,3)</f>
        <v>7.2999999999999995E-2</v>
      </c>
      <c r="D145" s="1099"/>
      <c r="E145" s="1099"/>
      <c r="F145" s="2652" t="s">
        <v>2631</v>
      </c>
      <c r="G145" s="2653"/>
      <c r="H145" s="2654"/>
      <c r="I145" s="2655" t="s">
        <v>2628</v>
      </c>
      <c r="J145" s="1100">
        <v>8</v>
      </c>
      <c r="K145" s="1101">
        <f>ROUND(100+(J145-J140)*K139*100,1)</f>
        <v>99.2</v>
      </c>
    </row>
    <row r="147" spans="2:11" s="403" customFormat="1">
      <c r="B147" s="2636" t="s">
        <v>2632</v>
      </c>
      <c r="K147" s="495"/>
    </row>
    <row r="148" spans="2:11" s="403" customFormat="1">
      <c r="B148" s="2636" t="s">
        <v>2633</v>
      </c>
      <c r="K148"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C148"/>
  <sheetViews>
    <sheetView workbookViewId="0">
      <selection activeCell="I48" sqref="I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6.625" style="403" customWidth="1"/>
    <col min="10" max="10" width="11.5" style="403" bestFit="1"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81" t="s">
        <v>2521</v>
      </c>
      <c r="C1" s="1633" t="s">
        <v>2522</v>
      </c>
      <c r="D1" s="1620" t="s">
        <v>3059</v>
      </c>
      <c r="E1" s="2582"/>
      <c r="F1" s="2583" t="s">
        <v>2523</v>
      </c>
      <c r="G1" s="1630" t="s">
        <v>2524</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f ca="1">IF(C2="——",ROUND(C49*D3/10000,0),ROUND(C49*D3/10000,0)-D2)</f>
        <v>1117284</v>
      </c>
      <c r="C2" s="2585"/>
      <c r="D2" s="1364">
        <f ca="1">SUMIF(INDIRECT("'"&amp;F2&amp;"'"&amp;"!A:A"),"承租人权益价值",INDIRECT("'"&amp;F2&amp;"'"&amp;"!c:c"))</f>
        <v>0</v>
      </c>
      <c r="E2" s="2586" t="s">
        <v>2525</v>
      </c>
      <c r="F2" s="2587" t="s">
        <v>3067</v>
      </c>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 ca="1">IF(C2="——",C49,ROUND(B2*10000/D3,0))</f>
        <v>24156</v>
      </c>
      <c r="C3" s="400" t="s">
        <v>2526</v>
      </c>
      <c r="D3" s="399">
        <f>IF(D1="",'数据-汇总表'!E3,SUMIF('数据-汇总表'!$C19:$C33,D1,'数据-汇总表'!$E19:$E33))</f>
        <v>462528.7</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2527</v>
      </c>
      <c r="B4" s="402"/>
      <c r="C4" s="3160" t="s">
        <v>2528</v>
      </c>
      <c r="D4" s="3173"/>
      <c r="E4" s="3174" t="s">
        <v>2529</v>
      </c>
      <c r="F4" s="3175"/>
      <c r="G4" s="3160" t="s">
        <v>2530</v>
      </c>
      <c r="H4" s="3173"/>
      <c r="I4" s="3160" t="s">
        <v>2531</v>
      </c>
      <c r="J4" s="3173"/>
      <c r="K4" s="2595" t="s">
        <v>2532</v>
      </c>
      <c r="L4" s="1129"/>
      <c r="M4" s="1130"/>
      <c r="N4" s="1130"/>
      <c r="O4" s="1130"/>
      <c r="P4" s="3176" t="s">
        <v>2533</v>
      </c>
      <c r="Q4" s="3177"/>
      <c r="R4" s="3182" t="s">
        <v>2529</v>
      </c>
      <c r="S4" s="3183"/>
      <c r="T4" s="3182" t="s">
        <v>2530</v>
      </c>
      <c r="U4" s="3183"/>
      <c r="V4" s="3169" t="s">
        <v>2531</v>
      </c>
      <c r="W4" s="3169"/>
      <c r="X4" s="2954"/>
      <c r="Y4" s="3182" t="s">
        <v>2533</v>
      </c>
      <c r="Z4" s="3183"/>
      <c r="AA4" s="3170" t="s">
        <v>2529</v>
      </c>
      <c r="AB4" s="3170" t="s">
        <v>2530</v>
      </c>
      <c r="AC4" s="3170" t="s">
        <v>2531</v>
      </c>
    </row>
    <row r="5" spans="1:29" ht="15">
      <c r="A5" s="404"/>
      <c r="B5" s="405"/>
      <c r="C5" s="3190" t="s">
        <v>2534</v>
      </c>
      <c r="D5" s="3191"/>
      <c r="E5" s="3236" t="s">
        <v>3074</v>
      </c>
      <c r="F5" s="3199"/>
      <c r="G5" s="3235" t="s">
        <v>3069</v>
      </c>
      <c r="H5" s="3191"/>
      <c r="I5" s="3235" t="s">
        <v>3071</v>
      </c>
      <c r="J5" s="3191"/>
      <c r="K5" s="2596"/>
      <c r="L5" s="1129"/>
      <c r="M5" s="1130"/>
      <c r="N5" s="1130"/>
      <c r="O5" s="1130"/>
      <c r="P5" s="3178"/>
      <c r="Q5" s="3179"/>
      <c r="R5" s="3184"/>
      <c r="S5" s="3185"/>
      <c r="T5" s="3184"/>
      <c r="U5" s="3185"/>
      <c r="V5" s="3169"/>
      <c r="W5" s="3169"/>
      <c r="X5" s="2954"/>
      <c r="Y5" s="3184"/>
      <c r="Z5" s="3185"/>
      <c r="AA5" s="3171"/>
      <c r="AB5" s="3171"/>
      <c r="AC5" s="3171"/>
    </row>
    <row r="6" spans="1:29" ht="30.75" customHeight="1" thickBot="1">
      <c r="A6" s="406"/>
      <c r="B6" s="407"/>
      <c r="C6" s="3195" t="s">
        <v>2538</v>
      </c>
      <c r="D6" s="3189"/>
      <c r="E6" s="3196" t="s">
        <v>3073</v>
      </c>
      <c r="F6" s="3197"/>
      <c r="G6" s="3188" t="s">
        <v>3070</v>
      </c>
      <c r="H6" s="3189"/>
      <c r="I6" s="3188" t="s">
        <v>3072</v>
      </c>
      <c r="J6" s="3189"/>
      <c r="K6" s="2596" t="s">
        <v>2539</v>
      </c>
      <c r="L6" s="1129"/>
      <c r="M6" s="1130"/>
      <c r="N6" s="1130"/>
      <c r="O6" s="1130"/>
      <c r="P6" s="3180"/>
      <c r="Q6" s="3181"/>
      <c r="R6" s="3184"/>
      <c r="S6" s="3185"/>
      <c r="T6" s="3186"/>
      <c r="U6" s="3187"/>
      <c r="V6" s="3169"/>
      <c r="W6" s="3169"/>
      <c r="X6" s="2954"/>
      <c r="Y6" s="3186"/>
      <c r="Z6" s="3187"/>
      <c r="AA6" s="3172"/>
      <c r="AB6" s="3172"/>
      <c r="AC6" s="3172"/>
    </row>
    <row r="7" spans="1:29" s="117" customFormat="1" ht="15.75" thickBot="1">
      <c r="A7" s="408" t="s">
        <v>2540</v>
      </c>
      <c r="B7" s="409"/>
      <c r="C7" s="410">
        <f>'数据-取费表'!B2</f>
        <v>43371</v>
      </c>
      <c r="D7" s="411">
        <v>100</v>
      </c>
      <c r="E7" s="412">
        <v>43371</v>
      </c>
      <c r="F7" s="413">
        <f>SUMIF(58:58,YEAR(E7)&amp;"-"&amp;MONTH(E7),59:59)</f>
        <v>100</v>
      </c>
      <c r="G7" s="412">
        <v>43371</v>
      </c>
      <c r="H7" s="411">
        <f>SUMIF(58:58,YEAR(G7)&amp;"-"&amp;MONTH(G7),59:59)</f>
        <v>100</v>
      </c>
      <c r="I7" s="412">
        <v>43371</v>
      </c>
      <c r="J7" s="411">
        <f>SUMIF(58:58,YEAR(I7)&amp;"-"&amp;MONTH(I7),59:59)</f>
        <v>100</v>
      </c>
      <c r="K7" s="2597"/>
      <c r="L7" s="1131"/>
      <c r="M7" s="1132"/>
      <c r="N7" s="1132"/>
      <c r="O7" s="1132"/>
      <c r="P7" s="3192" t="s">
        <v>2541</v>
      </c>
      <c r="Q7" s="3194"/>
      <c r="R7" s="770" t="s">
        <v>23</v>
      </c>
      <c r="S7" s="771">
        <f t="shared" ref="S7:S15" si="0">F7</f>
        <v>100</v>
      </c>
      <c r="T7" s="770" t="s">
        <v>23</v>
      </c>
      <c r="U7" s="771">
        <f t="shared" ref="U7:U15" si="1">H7</f>
        <v>100</v>
      </c>
      <c r="V7" s="770" t="s">
        <v>23</v>
      </c>
      <c r="W7" s="771">
        <f t="shared" ref="W7:W15" si="2">J7</f>
        <v>100</v>
      </c>
      <c r="X7" s="772"/>
      <c r="Y7" s="3192" t="s">
        <v>2541</v>
      </c>
      <c r="Z7" s="3193"/>
      <c r="AA7" s="773">
        <f>D7/F7</f>
        <v>1</v>
      </c>
      <c r="AB7" s="773">
        <f>D7/H7</f>
        <v>1</v>
      </c>
      <c r="AC7" s="773">
        <f>D7/J7</f>
        <v>1</v>
      </c>
    </row>
    <row r="8" spans="1:29" s="117" customFormat="1" ht="15.75" thickBot="1">
      <c r="A8" s="408" t="s">
        <v>2542</v>
      </c>
      <c r="B8" s="409"/>
      <c r="C8" s="414" t="s">
        <v>2543</v>
      </c>
      <c r="D8" s="411">
        <v>100</v>
      </c>
      <c r="E8" s="2598" t="s">
        <v>3075</v>
      </c>
      <c r="F8" s="413">
        <f>SUMIF(61:61,E8,62:62)-SUMIF(61:61,C8,62:62)+100</f>
        <v>100</v>
      </c>
      <c r="G8" s="414" t="s">
        <v>3075</v>
      </c>
      <c r="H8" s="411">
        <f>SUMIF(61:61,G8,62:62)-SUMIF(61:61,C8,62:62)+100</f>
        <v>100</v>
      </c>
      <c r="I8" s="2598" t="s">
        <v>3075</v>
      </c>
      <c r="J8" s="411">
        <f>SUMIF(61:61,I8,62:62)-SUMIF(61:61,C8,62:62)+100</f>
        <v>100</v>
      </c>
      <c r="K8" s="2597"/>
      <c r="L8" s="1131"/>
      <c r="M8" s="1132"/>
      <c r="N8" s="1132"/>
      <c r="O8" s="1132"/>
      <c r="P8" s="3192" t="s">
        <v>2544</v>
      </c>
      <c r="Q8" s="3193"/>
      <c r="R8" s="770" t="s">
        <v>23</v>
      </c>
      <c r="S8" s="771">
        <f t="shared" si="0"/>
        <v>100</v>
      </c>
      <c r="T8" s="770" t="s">
        <v>23</v>
      </c>
      <c r="U8" s="771">
        <f t="shared" si="1"/>
        <v>100</v>
      </c>
      <c r="V8" s="770" t="s">
        <v>23</v>
      </c>
      <c r="W8" s="771">
        <f t="shared" si="2"/>
        <v>100</v>
      </c>
      <c r="X8" s="772"/>
      <c r="Y8" s="3192" t="s">
        <v>2544</v>
      </c>
      <c r="Z8" s="3193"/>
      <c r="AA8" s="773">
        <f t="shared" ref="AA8:AA19" si="3">D8/F8</f>
        <v>1</v>
      </c>
      <c r="AB8" s="773">
        <f t="shared" ref="AB8:AB19" si="4">D8/H8</f>
        <v>1</v>
      </c>
      <c r="AC8" s="773">
        <f t="shared" ref="AC8:AC19" si="5">D8/J8</f>
        <v>1</v>
      </c>
    </row>
    <row r="9" spans="1:29" s="117" customFormat="1">
      <c r="A9" s="415" t="s">
        <v>2545</v>
      </c>
      <c r="B9" s="71" t="s">
        <v>2546</v>
      </c>
      <c r="C9" s="2945" t="s">
        <v>3076</v>
      </c>
      <c r="D9" s="135">
        <v>100</v>
      </c>
      <c r="E9" s="417" t="s">
        <v>3059</v>
      </c>
      <c r="F9" s="418">
        <f>SUMIF(63:63,E9,64:64)-SUMIF(63:63,C9,64:64)+100</f>
        <v>100</v>
      </c>
      <c r="G9" s="419" t="s">
        <v>3059</v>
      </c>
      <c r="H9" s="135">
        <f>SUMIF(63:63,G9,64:64)-SUMIF(63:63,C9,64:64)+100</f>
        <v>100</v>
      </c>
      <c r="I9" s="419" t="s">
        <v>3059</v>
      </c>
      <c r="J9" s="135">
        <f>SUMIF(63:63,I9,64:64)-SUMIF(63:63,C9,64:64)+100</f>
        <v>100</v>
      </c>
      <c r="K9" s="2597"/>
      <c r="L9" s="1131"/>
      <c r="M9" s="1132"/>
      <c r="N9" s="1132"/>
      <c r="O9" s="1132"/>
      <c r="P9" s="3162" t="s">
        <v>2547</v>
      </c>
      <c r="Q9" s="2951" t="str">
        <f t="shared" ref="Q9:Q15" si="6">B9</f>
        <v>用途</v>
      </c>
      <c r="R9" s="770" t="s">
        <v>17</v>
      </c>
      <c r="S9" s="771">
        <f t="shared" si="0"/>
        <v>100</v>
      </c>
      <c r="T9" s="770" t="s">
        <v>17</v>
      </c>
      <c r="U9" s="771">
        <f t="shared" si="1"/>
        <v>100</v>
      </c>
      <c r="V9" s="770" t="s">
        <v>17</v>
      </c>
      <c r="W9" s="771">
        <f t="shared" si="2"/>
        <v>100</v>
      </c>
      <c r="X9" s="772"/>
      <c r="Y9" s="3011" t="s">
        <v>2548</v>
      </c>
      <c r="Z9" s="2952" t="str">
        <f t="shared" ref="Z9:Z15" si="7">Q9</f>
        <v>用途</v>
      </c>
      <c r="AA9" s="773">
        <f t="shared" si="3"/>
        <v>1</v>
      </c>
      <c r="AB9" s="773">
        <f t="shared" si="4"/>
        <v>1</v>
      </c>
      <c r="AC9" s="773">
        <f t="shared" si="5"/>
        <v>1</v>
      </c>
    </row>
    <row r="10" spans="1:29" s="427" customFormat="1" ht="27">
      <c r="A10" s="421"/>
      <c r="B10" s="2953" t="s">
        <v>2549</v>
      </c>
      <c r="C10" s="423" t="s">
        <v>3077</v>
      </c>
      <c r="D10" s="136">
        <v>100</v>
      </c>
      <c r="E10" s="424" t="s">
        <v>3077</v>
      </c>
      <c r="F10" s="425">
        <f>SUMIF(65:65,E10,66:66)-SUMIF(65:65,C10,66:66)+100</f>
        <v>100</v>
      </c>
      <c r="G10" s="423" t="s">
        <v>3077</v>
      </c>
      <c r="H10" s="136">
        <f>SUMIF(65:65,G10,66:66)-SUMIF(65:65,C10,66:66)+100</f>
        <v>100</v>
      </c>
      <c r="I10" s="423" t="s">
        <v>3077</v>
      </c>
      <c r="J10" s="136">
        <f>SUMIF(65:65,I10,66:66)-SUMIF(65:65,C10,66:66)+100</f>
        <v>100</v>
      </c>
      <c r="K10" s="426">
        <v>1</v>
      </c>
      <c r="L10" s="1134"/>
      <c r="M10" s="1135"/>
      <c r="N10" s="1135"/>
      <c r="O10" s="1135"/>
      <c r="P10" s="3162"/>
      <c r="Q10" s="2951" t="str">
        <f t="shared" si="6"/>
        <v>土地使用年限（年）</v>
      </c>
      <c r="R10" s="770" t="s">
        <v>17</v>
      </c>
      <c r="S10" s="771">
        <f t="shared" si="0"/>
        <v>100</v>
      </c>
      <c r="T10" s="770" t="s">
        <v>17</v>
      </c>
      <c r="U10" s="771">
        <f t="shared" si="1"/>
        <v>100</v>
      </c>
      <c r="V10" s="770" t="s">
        <v>17</v>
      </c>
      <c r="W10" s="771">
        <f t="shared" si="2"/>
        <v>100</v>
      </c>
      <c r="X10" s="772"/>
      <c r="Y10" s="3011"/>
      <c r="Z10" s="2952" t="str">
        <f t="shared" si="7"/>
        <v>土地使用年限（年）</v>
      </c>
      <c r="AA10" s="773">
        <f t="shared" si="3"/>
        <v>1</v>
      </c>
      <c r="AB10" s="773">
        <f t="shared" si="4"/>
        <v>1</v>
      </c>
      <c r="AC10" s="773">
        <f t="shared" si="5"/>
        <v>1</v>
      </c>
    </row>
    <row r="11" spans="1:29" ht="15">
      <c r="A11" s="428"/>
      <c r="B11" s="2953" t="s">
        <v>2550</v>
      </c>
      <c r="C11" s="429">
        <v>4.7300000000000004</v>
      </c>
      <c r="D11" s="136">
        <v>100</v>
      </c>
      <c r="E11" s="430">
        <v>4.55</v>
      </c>
      <c r="F11" s="425">
        <f>LOOKUP(E11,68:68,69:69)-LOOKUP(C11,68:68,69:69)+100</f>
        <v>100</v>
      </c>
      <c r="G11" s="429">
        <v>5.44</v>
      </c>
      <c r="H11" s="136">
        <f>LOOKUP(G11,68:68,69:69)-LOOKUP(C11,68:68,69:69)+100</f>
        <v>98</v>
      </c>
      <c r="I11" s="429">
        <v>3.98</v>
      </c>
      <c r="J11" s="136">
        <f>LOOKUP(I11,68:68,69:69)-LOOKUP(C11,68:68,69:69)+100</f>
        <v>102</v>
      </c>
      <c r="K11" s="426">
        <v>2</v>
      </c>
      <c r="L11" s="1137"/>
      <c r="M11" s="1130"/>
      <c r="N11" s="1130"/>
      <c r="O11" s="1130"/>
      <c r="P11" s="3162"/>
      <c r="Q11" s="2951" t="str">
        <f t="shared" si="6"/>
        <v>容积率</v>
      </c>
      <c r="R11" s="770" t="s">
        <v>21</v>
      </c>
      <c r="S11" s="771">
        <f t="shared" si="0"/>
        <v>100</v>
      </c>
      <c r="T11" s="770" t="s">
        <v>21</v>
      </c>
      <c r="U11" s="771">
        <f t="shared" si="1"/>
        <v>98</v>
      </c>
      <c r="V11" s="770" t="s">
        <v>21</v>
      </c>
      <c r="W11" s="771">
        <f t="shared" si="2"/>
        <v>102</v>
      </c>
      <c r="X11" s="772"/>
      <c r="Y11" s="3011"/>
      <c r="Z11" s="2952" t="str">
        <f t="shared" si="7"/>
        <v>容积率</v>
      </c>
      <c r="AA11" s="773">
        <f t="shared" si="3"/>
        <v>1</v>
      </c>
      <c r="AB11" s="773">
        <f t="shared" si="4"/>
        <v>1.0204081632653061</v>
      </c>
      <c r="AC11" s="773">
        <f t="shared" si="5"/>
        <v>0.98039215686274506</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162"/>
      <c r="Q12" s="2951">
        <f t="shared" si="6"/>
        <v>111</v>
      </c>
      <c r="R12" s="770" t="s">
        <v>21</v>
      </c>
      <c r="S12" s="771">
        <f t="shared" si="0"/>
        <v>100</v>
      </c>
      <c r="T12" s="770" t="s">
        <v>21</v>
      </c>
      <c r="U12" s="771">
        <f t="shared" si="1"/>
        <v>100</v>
      </c>
      <c r="V12" s="770" t="s">
        <v>21</v>
      </c>
      <c r="W12" s="771">
        <f t="shared" si="2"/>
        <v>100</v>
      </c>
      <c r="X12" s="772"/>
      <c r="Y12" s="3011"/>
      <c r="Z12" s="2952">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162"/>
      <c r="Q13" s="2951">
        <f t="shared" si="6"/>
        <v>111</v>
      </c>
      <c r="R13" s="770" t="s">
        <v>21</v>
      </c>
      <c r="S13" s="771">
        <f t="shared" si="0"/>
        <v>100</v>
      </c>
      <c r="T13" s="770" t="s">
        <v>21</v>
      </c>
      <c r="U13" s="771">
        <f t="shared" si="1"/>
        <v>100</v>
      </c>
      <c r="V13" s="770" t="s">
        <v>21</v>
      </c>
      <c r="W13" s="771">
        <f t="shared" si="2"/>
        <v>100</v>
      </c>
      <c r="X13" s="772"/>
      <c r="Y13" s="3011"/>
      <c r="Z13" s="2952">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162"/>
      <c r="Q14" s="2951">
        <f t="shared" si="6"/>
        <v>111</v>
      </c>
      <c r="R14" s="770" t="s">
        <v>21</v>
      </c>
      <c r="S14" s="771">
        <f t="shared" si="0"/>
        <v>100</v>
      </c>
      <c r="T14" s="770" t="s">
        <v>21</v>
      </c>
      <c r="U14" s="771">
        <f t="shared" si="1"/>
        <v>100</v>
      </c>
      <c r="V14" s="770" t="s">
        <v>21</v>
      </c>
      <c r="W14" s="771">
        <f t="shared" si="2"/>
        <v>100</v>
      </c>
      <c r="X14" s="772"/>
      <c r="Y14" s="3011"/>
      <c r="Z14" s="2952">
        <f t="shared" si="7"/>
        <v>111</v>
      </c>
      <c r="AA14" s="773">
        <f t="shared" si="3"/>
        <v>1</v>
      </c>
      <c r="AB14" s="773">
        <f t="shared" si="4"/>
        <v>1</v>
      </c>
      <c r="AC14" s="773">
        <f t="shared" si="5"/>
        <v>1</v>
      </c>
    </row>
    <row r="15" spans="1:29" ht="99.75">
      <c r="A15" s="440" t="s">
        <v>2551</v>
      </c>
      <c r="B15" s="69" t="s">
        <v>2078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39"/>
      <c r="M15" s="1130"/>
      <c r="N15" s="1130"/>
      <c r="O15" s="1130"/>
      <c r="P15" s="3233" t="s">
        <v>2552</v>
      </c>
      <c r="Q15" s="2955" t="str">
        <f t="shared" si="6"/>
        <v>居住社区成熟度</v>
      </c>
      <c r="R15" s="774" t="s">
        <v>21</v>
      </c>
      <c r="S15" s="775">
        <f t="shared" si="0"/>
        <v>100</v>
      </c>
      <c r="T15" s="774" t="s">
        <v>21</v>
      </c>
      <c r="U15" s="775">
        <f t="shared" si="1"/>
        <v>100</v>
      </c>
      <c r="V15" s="774" t="s">
        <v>21</v>
      </c>
      <c r="W15" s="775">
        <f t="shared" si="2"/>
        <v>100</v>
      </c>
      <c r="X15" s="2954"/>
      <c r="Y15" s="3165" t="s">
        <v>2552</v>
      </c>
      <c r="Z15" s="2956" t="str">
        <f t="shared" si="7"/>
        <v>居住社区成熟度</v>
      </c>
      <c r="AA15" s="2957">
        <f t="shared" si="3"/>
        <v>1</v>
      </c>
      <c r="AB15" s="2957">
        <f t="shared" si="4"/>
        <v>1</v>
      </c>
      <c r="AC15" s="2957">
        <f t="shared" si="5"/>
        <v>1</v>
      </c>
    </row>
    <row r="16" spans="1:29" ht="15">
      <c r="A16" s="428"/>
      <c r="B16" s="446"/>
      <c r="C16" s="447" t="s">
        <v>3078</v>
      </c>
      <c r="D16" s="448"/>
      <c r="E16" s="2603" t="s">
        <v>3078</v>
      </c>
      <c r="F16" s="448"/>
      <c r="G16" s="2604" t="s">
        <v>3078</v>
      </c>
      <c r="H16" s="450"/>
      <c r="I16" s="2604" t="s">
        <v>3078</v>
      </c>
      <c r="J16" s="448"/>
      <c r="K16" s="2605"/>
      <c r="L16" s="1139"/>
      <c r="M16" s="1130"/>
      <c r="N16" s="1130"/>
      <c r="O16" s="1130"/>
      <c r="P16" s="3234"/>
      <c r="Q16" s="2955"/>
      <c r="R16" s="774"/>
      <c r="S16" s="775"/>
      <c r="T16" s="774"/>
      <c r="U16" s="775"/>
      <c r="V16" s="774"/>
      <c r="W16" s="775"/>
      <c r="X16" s="2954"/>
      <c r="Y16" s="3166"/>
      <c r="Z16" s="2956"/>
      <c r="AA16" s="2957">
        <v>1</v>
      </c>
      <c r="AB16" s="2957">
        <v>1</v>
      </c>
      <c r="AC16" s="2957">
        <v>1</v>
      </c>
    </row>
    <row r="17" spans="1:29" ht="85.5">
      <c r="A17" s="428"/>
      <c r="B17" s="451" t="s">
        <v>2090</v>
      </c>
      <c r="C17" s="2606" t="str">
        <f>估价对象房地状况!C6</f>
        <v>估价对象周边道路状况、公共交通通达情况、停车便捷程度，综合评价交通便捷度较好</v>
      </c>
      <c r="D17" s="450">
        <v>100</v>
      </c>
      <c r="E17" s="454"/>
      <c r="F17" s="450">
        <f>SUMIF(78:78,E18,79:79)-SUMIF(78:78,C18,79:79)+100</f>
        <v>102</v>
      </c>
      <c r="G17" s="452"/>
      <c r="H17" s="455">
        <f>SUMIF(78:78,G18,79:79)-SUMIF(78:78,C18,79:79)+100</f>
        <v>100</v>
      </c>
      <c r="I17" s="452"/>
      <c r="J17" s="455">
        <f>SUMIF(78:78,I18,79:79)-SUMIF(78:78,C18,79:79)+100</f>
        <v>98</v>
      </c>
      <c r="K17" s="445">
        <v>2</v>
      </c>
      <c r="L17" s="1139"/>
      <c r="M17" s="1130"/>
      <c r="N17" s="1130"/>
      <c r="O17" s="1130"/>
      <c r="P17" s="3234"/>
      <c r="Q17" s="2955" t="str">
        <f>B17</f>
        <v>交通便捷度</v>
      </c>
      <c r="R17" s="774" t="s">
        <v>21</v>
      </c>
      <c r="S17" s="775">
        <f>F17</f>
        <v>102</v>
      </c>
      <c r="T17" s="774" t="s">
        <v>21</v>
      </c>
      <c r="U17" s="775">
        <f>H17</f>
        <v>100</v>
      </c>
      <c r="V17" s="774" t="s">
        <v>21</v>
      </c>
      <c r="W17" s="775">
        <f>J17</f>
        <v>98</v>
      </c>
      <c r="X17" s="2954"/>
      <c r="Y17" s="3166"/>
      <c r="Z17" s="2956" t="str">
        <f>Q17</f>
        <v>交通便捷度</v>
      </c>
      <c r="AA17" s="2957">
        <f t="shared" si="3"/>
        <v>0.98039215686274506</v>
      </c>
      <c r="AB17" s="2957">
        <f t="shared" si="4"/>
        <v>1</v>
      </c>
      <c r="AC17" s="2957">
        <f t="shared" si="5"/>
        <v>1.0204081632653061</v>
      </c>
    </row>
    <row r="18" spans="1:29" ht="15">
      <c r="A18" s="428"/>
      <c r="B18" s="456"/>
      <c r="C18" s="2607" t="s">
        <v>3078</v>
      </c>
      <c r="D18" s="450"/>
      <c r="E18" s="2608" t="s">
        <v>3096</v>
      </c>
      <c r="F18" s="450"/>
      <c r="G18" s="2609" t="s">
        <v>3078</v>
      </c>
      <c r="H18" s="448"/>
      <c r="I18" s="2609" t="s">
        <v>3079</v>
      </c>
      <c r="J18" s="448"/>
      <c r="K18" s="2605"/>
      <c r="L18" s="1139"/>
      <c r="M18" s="1130"/>
      <c r="N18" s="1130"/>
      <c r="O18" s="1130"/>
      <c r="P18" s="3234"/>
      <c r="Q18" s="2955"/>
      <c r="R18" s="774"/>
      <c r="S18" s="775"/>
      <c r="T18" s="774"/>
      <c r="U18" s="775"/>
      <c r="V18" s="774"/>
      <c r="W18" s="775"/>
      <c r="X18" s="2954"/>
      <c r="Y18" s="3166"/>
      <c r="Z18" s="2956"/>
      <c r="AA18" s="2957">
        <v>1</v>
      </c>
      <c r="AB18" s="2957">
        <v>1</v>
      </c>
      <c r="AC18" s="2957">
        <v>1</v>
      </c>
    </row>
    <row r="19" spans="1:29" ht="42.75">
      <c r="A19" s="428"/>
      <c r="B19" s="451" t="s">
        <v>2088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234"/>
      <c r="Q19" s="2955" t="str">
        <f>B19</f>
        <v>公共配套设施</v>
      </c>
      <c r="R19" s="774" t="s">
        <v>21</v>
      </c>
      <c r="S19" s="775">
        <f>F19</f>
        <v>100</v>
      </c>
      <c r="T19" s="774" t="s">
        <v>21</v>
      </c>
      <c r="U19" s="775">
        <f>H19</f>
        <v>100</v>
      </c>
      <c r="V19" s="774" t="s">
        <v>21</v>
      </c>
      <c r="W19" s="775">
        <f>J19</f>
        <v>100</v>
      </c>
      <c r="X19" s="2954"/>
      <c r="Y19" s="3166"/>
      <c r="Z19" s="2956" t="str">
        <f>Q19</f>
        <v>公共配套设施</v>
      </c>
      <c r="AA19" s="2957">
        <f t="shared" si="3"/>
        <v>1</v>
      </c>
      <c r="AB19" s="2957">
        <f t="shared" si="4"/>
        <v>1</v>
      </c>
      <c r="AC19" s="2957">
        <f t="shared" si="5"/>
        <v>1</v>
      </c>
    </row>
    <row r="20" spans="1:29" ht="15">
      <c r="A20" s="428"/>
      <c r="B20" s="456"/>
      <c r="C20" s="447" t="s">
        <v>3078</v>
      </c>
      <c r="D20" s="448"/>
      <c r="E20" s="2603" t="s">
        <v>3078</v>
      </c>
      <c r="F20" s="448"/>
      <c r="G20" s="2604" t="s">
        <v>3078</v>
      </c>
      <c r="H20" s="448"/>
      <c r="I20" s="2604" t="s">
        <v>3078</v>
      </c>
      <c r="J20" s="448"/>
      <c r="K20" s="2605"/>
      <c r="L20" s="1139"/>
      <c r="M20" s="1130"/>
      <c r="N20" s="1130"/>
      <c r="O20" s="1130"/>
      <c r="P20" s="3234"/>
      <c r="Q20" s="2955"/>
      <c r="R20" s="774"/>
      <c r="S20" s="775"/>
      <c r="T20" s="774"/>
      <c r="U20" s="775"/>
      <c r="V20" s="774"/>
      <c r="W20" s="775"/>
      <c r="X20" s="2954"/>
      <c r="Y20" s="3166"/>
      <c r="Z20" s="2956"/>
      <c r="AA20" s="2957">
        <v>1</v>
      </c>
      <c r="AB20" s="2957">
        <v>1</v>
      </c>
      <c r="AC20" s="2957">
        <v>1</v>
      </c>
    </row>
    <row r="21" spans="1:29" ht="28.5">
      <c r="A21" s="428"/>
      <c r="B21" s="1383" t="s">
        <v>2091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39"/>
      <c r="M21" s="1130"/>
      <c r="N21" s="1130"/>
      <c r="O21" s="1130"/>
      <c r="P21" s="3234"/>
      <c r="Q21" s="2955" t="str">
        <f>B21</f>
        <v>基础设施水平</v>
      </c>
      <c r="R21" s="774" t="s">
        <v>17</v>
      </c>
      <c r="S21" s="775">
        <f>F21</f>
        <v>100</v>
      </c>
      <c r="T21" s="774" t="s">
        <v>17</v>
      </c>
      <c r="U21" s="775">
        <f>H21</f>
        <v>100</v>
      </c>
      <c r="V21" s="774" t="s">
        <v>17</v>
      </c>
      <c r="W21" s="775">
        <f>J21</f>
        <v>100</v>
      </c>
      <c r="X21" s="2954"/>
      <c r="Y21" s="3166"/>
      <c r="Z21" s="2956" t="str">
        <f>Q21</f>
        <v>基础设施水平</v>
      </c>
      <c r="AA21" s="2957">
        <f t="shared" ref="AA21" si="8">D21/F21</f>
        <v>1</v>
      </c>
      <c r="AB21" s="2957">
        <f t="shared" ref="AB21" si="9">D21/H21</f>
        <v>1</v>
      </c>
      <c r="AC21" s="2957">
        <f t="shared" ref="AC21" si="10">D21/J21</f>
        <v>1</v>
      </c>
    </row>
    <row r="22" spans="1:29" ht="15">
      <c r="A22" s="428"/>
      <c r="B22" s="1383"/>
      <c r="C22" s="2607" t="s">
        <v>3162</v>
      </c>
      <c r="D22" s="448"/>
      <c r="E22" s="447" t="s">
        <v>3162</v>
      </c>
      <c r="F22" s="448"/>
      <c r="G22" s="2610" t="s">
        <v>3162</v>
      </c>
      <c r="H22" s="448"/>
      <c r="I22" s="447" t="s">
        <v>3162</v>
      </c>
      <c r="J22" s="448"/>
      <c r="K22" s="2611"/>
      <c r="L22" s="1139"/>
      <c r="M22" s="1130"/>
      <c r="N22" s="1130"/>
      <c r="O22" s="1130"/>
      <c r="P22" s="3234"/>
      <c r="Q22" s="2955"/>
      <c r="R22" s="774"/>
      <c r="S22" s="775"/>
      <c r="T22" s="774"/>
      <c r="U22" s="775"/>
      <c r="V22" s="774"/>
      <c r="W22" s="775"/>
      <c r="X22" s="2954"/>
      <c r="Y22" s="3166"/>
      <c r="Z22" s="2956"/>
      <c r="AA22" s="2957">
        <v>1</v>
      </c>
      <c r="AB22" s="2957">
        <v>1</v>
      </c>
      <c r="AC22" s="2957">
        <v>1</v>
      </c>
    </row>
    <row r="23" spans="1:29" ht="57">
      <c r="A23" s="428"/>
      <c r="B23" s="451" t="s">
        <v>2095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1.5</v>
      </c>
      <c r="L23" s="1139"/>
      <c r="M23" s="1130"/>
      <c r="N23" s="1130"/>
      <c r="O23" s="1130"/>
      <c r="P23" s="3234"/>
      <c r="Q23" s="2955" t="str">
        <f>B23</f>
        <v>自然及人文环境</v>
      </c>
      <c r="R23" s="774" t="s">
        <v>21</v>
      </c>
      <c r="S23" s="775">
        <f>F23</f>
        <v>100</v>
      </c>
      <c r="T23" s="774" t="s">
        <v>21</v>
      </c>
      <c r="U23" s="775">
        <f>H23</f>
        <v>100</v>
      </c>
      <c r="V23" s="774" t="s">
        <v>21</v>
      </c>
      <c r="W23" s="775">
        <f>J23</f>
        <v>100</v>
      </c>
      <c r="X23" s="2954"/>
      <c r="Y23" s="3166"/>
      <c r="Z23" s="2956" t="str">
        <f>Q23</f>
        <v>自然及人文环境</v>
      </c>
      <c r="AA23" s="2957">
        <f>D23/F23</f>
        <v>1</v>
      </c>
      <c r="AB23" s="2957">
        <f>D23/H23</f>
        <v>1</v>
      </c>
      <c r="AC23" s="2957">
        <f>D23/J23</f>
        <v>1</v>
      </c>
    </row>
    <row r="24" spans="1:29" ht="15">
      <c r="A24" s="428"/>
      <c r="B24" s="456"/>
      <c r="C24" s="447" t="s">
        <v>3078</v>
      </c>
      <c r="D24" s="448"/>
      <c r="E24" s="2603" t="s">
        <v>3078</v>
      </c>
      <c r="F24" s="448"/>
      <c r="G24" s="2604" t="s">
        <v>3078</v>
      </c>
      <c r="H24" s="448"/>
      <c r="I24" s="2604" t="s">
        <v>3078</v>
      </c>
      <c r="J24" s="448"/>
      <c r="K24" s="2605"/>
      <c r="L24" s="1139"/>
      <c r="M24" s="1130"/>
      <c r="N24" s="1130"/>
      <c r="O24" s="1130"/>
      <c r="P24" s="3234"/>
      <c r="Q24" s="2955"/>
      <c r="R24" s="774"/>
      <c r="S24" s="775"/>
      <c r="T24" s="774"/>
      <c r="U24" s="775"/>
      <c r="V24" s="774"/>
      <c r="W24" s="775"/>
      <c r="X24" s="2954"/>
      <c r="Y24" s="3166"/>
      <c r="Z24" s="2956"/>
      <c r="AA24" s="2957">
        <v>1</v>
      </c>
      <c r="AB24" s="2957">
        <v>1</v>
      </c>
      <c r="AC24" s="2957">
        <v>1</v>
      </c>
    </row>
    <row r="25" spans="1:29" ht="15">
      <c r="A25" s="428"/>
      <c r="B25" s="2953"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234"/>
      <c r="Q25" s="2955" t="str">
        <f t="shared" ref="Q25:Q46" si="11">B25</f>
        <v>楼层-1</v>
      </c>
      <c r="R25" s="774" t="s">
        <v>21</v>
      </c>
      <c r="S25" s="775">
        <f t="shared" ref="S25:S46" si="12">F25</f>
        <v>100</v>
      </c>
      <c r="T25" s="774" t="s">
        <v>21</v>
      </c>
      <c r="U25" s="775">
        <f t="shared" ref="U25:U46" si="13">H25</f>
        <v>100</v>
      </c>
      <c r="V25" s="774" t="s">
        <v>21</v>
      </c>
      <c r="W25" s="775">
        <f t="shared" ref="W25:W46" si="14">J25</f>
        <v>100</v>
      </c>
      <c r="X25" s="2954"/>
      <c r="Y25" s="3166"/>
      <c r="Z25" s="2956" t="str">
        <f>Q25</f>
        <v>楼层-1</v>
      </c>
      <c r="AA25" s="2957">
        <f t="shared" ref="AA25:AA46" si="15">D25/F25</f>
        <v>1</v>
      </c>
      <c r="AB25" s="2957">
        <f t="shared" ref="AB25:AB46" si="16">D25/H25</f>
        <v>1</v>
      </c>
      <c r="AC25" s="2957">
        <f t="shared" ref="AC25:AC46" si="17">D25/J25</f>
        <v>1</v>
      </c>
    </row>
    <row r="26" spans="1:29" ht="15">
      <c r="A26" s="428"/>
      <c r="B26" s="2953"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234"/>
      <c r="Q26" s="2955" t="str">
        <f t="shared" si="11"/>
        <v>朝向</v>
      </c>
      <c r="R26" s="774" t="s">
        <v>21</v>
      </c>
      <c r="S26" s="775">
        <f t="shared" si="12"/>
        <v>100</v>
      </c>
      <c r="T26" s="774" t="s">
        <v>21</v>
      </c>
      <c r="U26" s="775">
        <f t="shared" si="13"/>
        <v>100</v>
      </c>
      <c r="V26" s="774" t="s">
        <v>21</v>
      </c>
      <c r="W26" s="775">
        <f t="shared" si="14"/>
        <v>100</v>
      </c>
      <c r="X26" s="2954"/>
      <c r="Y26" s="3166"/>
      <c r="Z26" s="2956" t="str">
        <f>Q26</f>
        <v>朝向</v>
      </c>
      <c r="AA26" s="2957">
        <f t="shared" si="15"/>
        <v>1</v>
      </c>
      <c r="AB26" s="2957">
        <f t="shared" si="16"/>
        <v>1</v>
      </c>
      <c r="AC26" s="2957">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234"/>
      <c r="Q27" s="2951">
        <f t="shared" si="11"/>
        <v>111</v>
      </c>
      <c r="R27" s="770" t="s">
        <v>21</v>
      </c>
      <c r="S27" s="771">
        <f t="shared" si="12"/>
        <v>100</v>
      </c>
      <c r="T27" s="770" t="s">
        <v>21</v>
      </c>
      <c r="U27" s="771">
        <f t="shared" si="13"/>
        <v>100</v>
      </c>
      <c r="V27" s="770" t="s">
        <v>21</v>
      </c>
      <c r="W27" s="771">
        <f t="shared" si="14"/>
        <v>100</v>
      </c>
      <c r="X27" s="772"/>
      <c r="Y27" s="3166"/>
      <c r="Z27" s="2952">
        <f>Q27</f>
        <v>111</v>
      </c>
      <c r="AA27" s="2957">
        <f t="shared" si="15"/>
        <v>1</v>
      </c>
      <c r="AB27" s="2957">
        <f t="shared" si="16"/>
        <v>1</v>
      </c>
      <c r="AC27" s="2957">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234"/>
      <c r="Q28" s="2955">
        <f t="shared" si="11"/>
        <v>111</v>
      </c>
      <c r="R28" s="774" t="s">
        <v>21</v>
      </c>
      <c r="S28" s="775">
        <f t="shared" si="12"/>
        <v>100</v>
      </c>
      <c r="T28" s="774" t="s">
        <v>21</v>
      </c>
      <c r="U28" s="775">
        <f t="shared" si="13"/>
        <v>100</v>
      </c>
      <c r="V28" s="774" t="s">
        <v>21</v>
      </c>
      <c r="W28" s="775">
        <f t="shared" si="14"/>
        <v>100</v>
      </c>
      <c r="X28" s="2954"/>
      <c r="Y28" s="3166"/>
      <c r="Z28" s="2956">
        <f t="shared" ref="Z28:Z46" si="18">Q28</f>
        <v>111</v>
      </c>
      <c r="AA28" s="2957">
        <f t="shared" si="15"/>
        <v>1</v>
      </c>
      <c r="AB28" s="2957">
        <f t="shared" si="16"/>
        <v>1</v>
      </c>
      <c r="AC28" s="2957">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234"/>
      <c r="Q29" s="2955">
        <f t="shared" si="11"/>
        <v>111</v>
      </c>
      <c r="R29" s="774" t="s">
        <v>21</v>
      </c>
      <c r="S29" s="775">
        <f t="shared" si="12"/>
        <v>100</v>
      </c>
      <c r="T29" s="774" t="s">
        <v>21</v>
      </c>
      <c r="U29" s="775">
        <f t="shared" si="13"/>
        <v>100</v>
      </c>
      <c r="V29" s="774" t="s">
        <v>21</v>
      </c>
      <c r="W29" s="775">
        <f t="shared" si="14"/>
        <v>100</v>
      </c>
      <c r="X29" s="2954"/>
      <c r="Y29" s="3166"/>
      <c r="Z29" s="2956">
        <f t="shared" si="18"/>
        <v>111</v>
      </c>
      <c r="AA29" s="2957">
        <f t="shared" si="15"/>
        <v>1</v>
      </c>
      <c r="AB29" s="2957">
        <f t="shared" si="16"/>
        <v>1</v>
      </c>
      <c r="AC29" s="2957">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234"/>
      <c r="Q30" s="2955">
        <f t="shared" si="11"/>
        <v>111</v>
      </c>
      <c r="R30" s="774" t="s">
        <v>21</v>
      </c>
      <c r="S30" s="775">
        <f t="shared" si="12"/>
        <v>100</v>
      </c>
      <c r="T30" s="774" t="s">
        <v>21</v>
      </c>
      <c r="U30" s="775">
        <f t="shared" si="13"/>
        <v>100</v>
      </c>
      <c r="V30" s="774" t="s">
        <v>21</v>
      </c>
      <c r="W30" s="775">
        <f t="shared" si="14"/>
        <v>100</v>
      </c>
      <c r="X30" s="2954"/>
      <c r="Y30" s="3166"/>
      <c r="Z30" s="2956">
        <f t="shared" si="18"/>
        <v>111</v>
      </c>
      <c r="AA30" s="2957">
        <f t="shared" si="15"/>
        <v>1</v>
      </c>
      <c r="AB30" s="2957">
        <f t="shared" si="16"/>
        <v>1</v>
      </c>
      <c r="AC30" s="2957">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234"/>
      <c r="Q31" s="2955">
        <f t="shared" si="11"/>
        <v>111</v>
      </c>
      <c r="R31" s="774" t="s">
        <v>21</v>
      </c>
      <c r="S31" s="775">
        <f t="shared" si="12"/>
        <v>100</v>
      </c>
      <c r="T31" s="774" t="s">
        <v>21</v>
      </c>
      <c r="U31" s="775">
        <f t="shared" si="13"/>
        <v>100</v>
      </c>
      <c r="V31" s="774" t="s">
        <v>21</v>
      </c>
      <c r="W31" s="775">
        <f t="shared" si="14"/>
        <v>100</v>
      </c>
      <c r="X31" s="2954"/>
      <c r="Y31" s="3166"/>
      <c r="Z31" s="2956">
        <f t="shared" si="18"/>
        <v>111</v>
      </c>
      <c r="AA31" s="2957">
        <f t="shared" si="15"/>
        <v>1</v>
      </c>
      <c r="AB31" s="2957">
        <f t="shared" si="16"/>
        <v>1</v>
      </c>
      <c r="AC31" s="2957">
        <f t="shared" si="17"/>
        <v>1</v>
      </c>
    </row>
    <row r="32" spans="1:29" ht="15">
      <c r="A32" s="440" t="s">
        <v>2555</v>
      </c>
      <c r="B32" s="71" t="s">
        <v>2556</v>
      </c>
      <c r="C32" s="2616" t="s">
        <v>3080</v>
      </c>
      <c r="D32" s="467">
        <v>100</v>
      </c>
      <c r="E32" s="2617" t="s">
        <v>3080</v>
      </c>
      <c r="F32" s="461">
        <f>SUMIF(100:100,E32,101:101)-SUMIF(100:100,C32,101:101)+100</f>
        <v>100</v>
      </c>
      <c r="G32" s="2616" t="s">
        <v>3080</v>
      </c>
      <c r="H32" s="467">
        <f>SUMIF(100:100,G32,101:101)-SUMIF(100:100,C32,101:101)+100</f>
        <v>100</v>
      </c>
      <c r="I32" s="2617" t="s">
        <v>3080</v>
      </c>
      <c r="J32" s="435">
        <f>SUMIF(100:100,I32,101:101)-SUMIF(100:100,C32,101:101)+100</f>
        <v>100</v>
      </c>
      <c r="K32" s="426">
        <v>5</v>
      </c>
      <c r="L32" s="1139"/>
      <c r="M32" s="1130"/>
      <c r="N32" s="1130"/>
      <c r="O32" s="1130"/>
      <c r="P32" s="3229" t="s">
        <v>2557</v>
      </c>
      <c r="Q32" s="2955" t="str">
        <f t="shared" si="11"/>
        <v>建筑类型</v>
      </c>
      <c r="R32" s="774" t="s">
        <v>21</v>
      </c>
      <c r="S32" s="775">
        <f t="shared" si="12"/>
        <v>100</v>
      </c>
      <c r="T32" s="774" t="s">
        <v>21</v>
      </c>
      <c r="U32" s="775">
        <f t="shared" si="13"/>
        <v>100</v>
      </c>
      <c r="V32" s="774" t="s">
        <v>21</v>
      </c>
      <c r="W32" s="775">
        <f t="shared" si="14"/>
        <v>100</v>
      </c>
      <c r="X32" s="2954"/>
      <c r="Y32" s="3168" t="s">
        <v>2557</v>
      </c>
      <c r="Z32" s="2956" t="str">
        <f t="shared" si="18"/>
        <v>建筑类型</v>
      </c>
      <c r="AA32" s="2957">
        <f t="shared" si="15"/>
        <v>1</v>
      </c>
      <c r="AB32" s="2957">
        <f t="shared" si="16"/>
        <v>1</v>
      </c>
      <c r="AC32" s="2957">
        <f t="shared" si="17"/>
        <v>1</v>
      </c>
    </row>
    <row r="33" spans="1:29" s="471" customFormat="1" ht="15">
      <c r="A33" s="468"/>
      <c r="B33" s="2953" t="s">
        <v>2558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230"/>
      <c r="Q33" s="776" t="str">
        <f t="shared" si="11"/>
        <v>项目建筑规模</v>
      </c>
      <c r="R33" s="777" t="s">
        <v>21</v>
      </c>
      <c r="S33" s="778">
        <f t="shared" si="12"/>
        <v>100</v>
      </c>
      <c r="T33" s="777" t="s">
        <v>21</v>
      </c>
      <c r="U33" s="778">
        <f t="shared" si="13"/>
        <v>100</v>
      </c>
      <c r="V33" s="777" t="s">
        <v>21</v>
      </c>
      <c r="W33" s="778">
        <f t="shared" si="14"/>
        <v>100</v>
      </c>
      <c r="X33" s="779"/>
      <c r="Y33" s="3168"/>
      <c r="Z33" s="780" t="str">
        <f t="shared" si="18"/>
        <v>项目建筑规模</v>
      </c>
      <c r="AA33" s="2957">
        <f t="shared" si="15"/>
        <v>1</v>
      </c>
      <c r="AB33" s="2957">
        <f t="shared" si="16"/>
        <v>1</v>
      </c>
      <c r="AC33" s="2957">
        <f t="shared" si="17"/>
        <v>1</v>
      </c>
    </row>
    <row r="34" spans="1:29" ht="15">
      <c r="A34" s="472"/>
      <c r="B34" s="2953" t="s">
        <v>2559</v>
      </c>
      <c r="C34" s="2618" t="s">
        <v>3082</v>
      </c>
      <c r="D34" s="435">
        <v>100</v>
      </c>
      <c r="E34" s="2619" t="s">
        <v>3082</v>
      </c>
      <c r="F34" s="461">
        <f>SUMIF(105:105,E34,106:106)-SUMIF(105:105,C34,106:106)+100</f>
        <v>100</v>
      </c>
      <c r="G34" s="2618" t="s">
        <v>3082</v>
      </c>
      <c r="H34" s="435">
        <f>SUMIF(105:105,G34,106:106)-SUMIF(105:105,C34,106:106)+100</f>
        <v>100</v>
      </c>
      <c r="I34" s="2619" t="s">
        <v>3082</v>
      </c>
      <c r="J34" s="435">
        <f>SUMIF(105:105,I34,106:106)-SUMIF(105:105,C34,106:106)+100</f>
        <v>100</v>
      </c>
      <c r="K34" s="426">
        <v>2</v>
      </c>
      <c r="L34" s="1139"/>
      <c r="M34" s="1130"/>
      <c r="N34" s="1130"/>
      <c r="O34" s="1130"/>
      <c r="P34" s="3230"/>
      <c r="Q34" s="2955" t="str">
        <f t="shared" si="11"/>
        <v>建筑结构</v>
      </c>
      <c r="R34" s="774" t="s">
        <v>21</v>
      </c>
      <c r="S34" s="775">
        <f t="shared" si="12"/>
        <v>100</v>
      </c>
      <c r="T34" s="774" t="s">
        <v>21</v>
      </c>
      <c r="U34" s="775">
        <f t="shared" si="13"/>
        <v>100</v>
      </c>
      <c r="V34" s="774" t="s">
        <v>21</v>
      </c>
      <c r="W34" s="775">
        <f t="shared" si="14"/>
        <v>100</v>
      </c>
      <c r="X34" s="2954"/>
      <c r="Y34" s="3168"/>
      <c r="Z34" s="2956" t="str">
        <f t="shared" si="18"/>
        <v>建筑结构</v>
      </c>
      <c r="AA34" s="2957">
        <f t="shared" si="15"/>
        <v>1</v>
      </c>
      <c r="AB34" s="2957">
        <f t="shared" si="16"/>
        <v>1</v>
      </c>
      <c r="AC34" s="2957">
        <f t="shared" si="17"/>
        <v>1</v>
      </c>
    </row>
    <row r="35" spans="1:29" ht="15">
      <c r="A35" s="472"/>
      <c r="B35" s="2953" t="s">
        <v>2560</v>
      </c>
      <c r="C35" s="2612" t="s">
        <v>3086</v>
      </c>
      <c r="D35" s="435">
        <v>100</v>
      </c>
      <c r="E35" s="2613" t="s">
        <v>3084</v>
      </c>
      <c r="F35" s="461">
        <f>SUMIF(107:107,E35,108:108)-SUMIF(107:107,C35,108:108)+100</f>
        <v>102</v>
      </c>
      <c r="G35" s="2612" t="s">
        <v>3086</v>
      </c>
      <c r="H35" s="435">
        <f>SUMIF(107:107,G35,108:108)-SUMIF(107:107,C35,108:108)+100</f>
        <v>100</v>
      </c>
      <c r="I35" s="2613" t="s">
        <v>3086</v>
      </c>
      <c r="J35" s="435">
        <f>SUMIF(107:107,I35,108:108)-SUMIF(107:107,C35,108:108)+100</f>
        <v>100</v>
      </c>
      <c r="K35" s="426">
        <v>2</v>
      </c>
      <c r="L35" s="1139"/>
      <c r="M35" s="1130"/>
      <c r="N35" s="1130"/>
      <c r="O35" s="1130"/>
      <c r="P35" s="3230"/>
      <c r="Q35" s="2955" t="str">
        <f t="shared" si="11"/>
        <v>建筑品质</v>
      </c>
      <c r="R35" s="774" t="s">
        <v>21</v>
      </c>
      <c r="S35" s="775">
        <f t="shared" si="12"/>
        <v>102</v>
      </c>
      <c r="T35" s="774" t="s">
        <v>21</v>
      </c>
      <c r="U35" s="775">
        <f t="shared" si="13"/>
        <v>100</v>
      </c>
      <c r="V35" s="774" t="s">
        <v>21</v>
      </c>
      <c r="W35" s="775">
        <f t="shared" si="14"/>
        <v>100</v>
      </c>
      <c r="X35" s="2954"/>
      <c r="Y35" s="3168"/>
      <c r="Z35" s="2956" t="str">
        <f t="shared" si="18"/>
        <v>建筑品质</v>
      </c>
      <c r="AA35" s="2957">
        <f t="shared" si="15"/>
        <v>0.98039215686274506</v>
      </c>
      <c r="AB35" s="2957">
        <f t="shared" si="16"/>
        <v>1</v>
      </c>
      <c r="AC35" s="2957">
        <f t="shared" si="17"/>
        <v>1</v>
      </c>
    </row>
    <row r="36" spans="1:29" ht="15">
      <c r="A36" s="472"/>
      <c r="B36" s="2953" t="s">
        <v>2561</v>
      </c>
      <c r="C36" s="2612" t="s">
        <v>3094</v>
      </c>
      <c r="D36" s="435">
        <v>100</v>
      </c>
      <c r="E36" s="2613" t="s">
        <v>3094</v>
      </c>
      <c r="F36" s="461">
        <f>SUMIF(109:109,E36,110:110)-SUMIF(109:109,C36,110:110)+100</f>
        <v>100</v>
      </c>
      <c r="G36" s="2612" t="s">
        <v>3094</v>
      </c>
      <c r="H36" s="435">
        <f>SUMIF(109:109,G36,110:110)-SUMIF(109:109,C36,110:110)+100</f>
        <v>100</v>
      </c>
      <c r="I36" s="2613" t="s">
        <v>3094</v>
      </c>
      <c r="J36" s="435">
        <f>SUMIF(109:109,I36,110:110)-SUMIF(109:109,C36,110:110)+100</f>
        <v>100</v>
      </c>
      <c r="K36" s="426">
        <v>3</v>
      </c>
      <c r="L36" s="1139"/>
      <c r="M36" s="1130"/>
      <c r="N36" s="1130"/>
      <c r="O36" s="1130"/>
      <c r="P36" s="3230"/>
      <c r="Q36" s="2955" t="str">
        <f t="shared" si="11"/>
        <v>公共部分装修</v>
      </c>
      <c r="R36" s="774" t="s">
        <v>21</v>
      </c>
      <c r="S36" s="775">
        <f t="shared" si="12"/>
        <v>100</v>
      </c>
      <c r="T36" s="774" t="s">
        <v>21</v>
      </c>
      <c r="U36" s="775">
        <f t="shared" si="13"/>
        <v>100</v>
      </c>
      <c r="V36" s="774" t="s">
        <v>21</v>
      </c>
      <c r="W36" s="775">
        <f t="shared" si="14"/>
        <v>100</v>
      </c>
      <c r="X36" s="2954"/>
      <c r="Y36" s="3168"/>
      <c r="Z36" s="2956" t="str">
        <f t="shared" si="18"/>
        <v>公共部分装修</v>
      </c>
      <c r="AA36" s="2957">
        <f t="shared" si="15"/>
        <v>1</v>
      </c>
      <c r="AB36" s="2957">
        <f t="shared" si="16"/>
        <v>1</v>
      </c>
      <c r="AC36" s="2957">
        <f t="shared" si="17"/>
        <v>1</v>
      </c>
    </row>
    <row r="37" spans="1:29" s="117" customFormat="1" ht="15">
      <c r="A37" s="473"/>
      <c r="B37" s="2953"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1"/>
      <c r="M37" s="1132"/>
      <c r="N37" s="1132"/>
      <c r="O37" s="1132"/>
      <c r="P37" s="3230"/>
      <c r="Q37" s="2951" t="str">
        <f t="shared" si="11"/>
        <v>成新度</v>
      </c>
      <c r="R37" s="770" t="s">
        <v>21</v>
      </c>
      <c r="S37" s="771">
        <f t="shared" si="12"/>
        <v>100</v>
      </c>
      <c r="T37" s="770" t="s">
        <v>21</v>
      </c>
      <c r="U37" s="771">
        <f t="shared" si="13"/>
        <v>100</v>
      </c>
      <c r="V37" s="770" t="s">
        <v>21</v>
      </c>
      <c r="W37" s="771">
        <f t="shared" si="14"/>
        <v>100</v>
      </c>
      <c r="X37" s="772"/>
      <c r="Y37" s="3168"/>
      <c r="Z37" s="2952" t="str">
        <f t="shared" si="18"/>
        <v>成新度</v>
      </c>
      <c r="AA37" s="773">
        <f t="shared" si="15"/>
        <v>1</v>
      </c>
      <c r="AB37" s="773">
        <f t="shared" si="16"/>
        <v>1</v>
      </c>
      <c r="AC37" s="773">
        <f t="shared" si="17"/>
        <v>1</v>
      </c>
    </row>
    <row r="38" spans="1:29" ht="15">
      <c r="A38" s="472"/>
      <c r="B38" s="2953" t="s">
        <v>2563</v>
      </c>
      <c r="C38" s="2612" t="s">
        <v>3092</v>
      </c>
      <c r="D38" s="435">
        <v>100</v>
      </c>
      <c r="E38" s="2613" t="s">
        <v>3092</v>
      </c>
      <c r="F38" s="461">
        <f>SUMIF(114:114,E38,115:115)-SUMIF(114:114,C38,115:115)+100</f>
        <v>100</v>
      </c>
      <c r="G38" s="2612" t="s">
        <v>3092</v>
      </c>
      <c r="H38" s="435">
        <f>SUMIF(114:114,G38,115:115)-SUMIF(114:114,C38,115:115)+100</f>
        <v>100</v>
      </c>
      <c r="I38" s="2613" t="s">
        <v>3092</v>
      </c>
      <c r="J38" s="435">
        <f>SUMIF(114:114,I38,115:115)-SUMIF(114:114,C38,115:115)+100</f>
        <v>100</v>
      </c>
      <c r="K38" s="426">
        <v>2</v>
      </c>
      <c r="L38" s="1139"/>
      <c r="M38" s="1130"/>
      <c r="N38" s="1130"/>
      <c r="O38" s="1130"/>
      <c r="P38" s="3230" t="s">
        <v>2557</v>
      </c>
      <c r="Q38" s="2955" t="str">
        <f t="shared" si="11"/>
        <v>物业管理</v>
      </c>
      <c r="R38" s="774" t="s">
        <v>21</v>
      </c>
      <c r="S38" s="775">
        <f t="shared" si="12"/>
        <v>100</v>
      </c>
      <c r="T38" s="774" t="s">
        <v>21</v>
      </c>
      <c r="U38" s="775">
        <f t="shared" si="13"/>
        <v>100</v>
      </c>
      <c r="V38" s="774" t="s">
        <v>21</v>
      </c>
      <c r="W38" s="775">
        <f t="shared" si="14"/>
        <v>100</v>
      </c>
      <c r="X38" s="2954"/>
      <c r="Y38" s="3168" t="s">
        <v>2557</v>
      </c>
      <c r="Z38" s="2956" t="str">
        <f t="shared" si="18"/>
        <v>物业管理</v>
      </c>
      <c r="AA38" s="2957">
        <f t="shared" si="15"/>
        <v>1</v>
      </c>
      <c r="AB38" s="2957">
        <f t="shared" si="16"/>
        <v>1</v>
      </c>
      <c r="AC38" s="2957">
        <f t="shared" si="17"/>
        <v>1</v>
      </c>
    </row>
    <row r="39" spans="1:29" ht="15">
      <c r="A39" s="472"/>
      <c r="B39" s="2953" t="s">
        <v>2564</v>
      </c>
      <c r="C39" s="2612" t="s">
        <v>3162</v>
      </c>
      <c r="D39" s="435">
        <v>100</v>
      </c>
      <c r="E39" s="2613" t="s">
        <v>3162</v>
      </c>
      <c r="F39" s="461">
        <f>SUMIF(116:116,E39,117:117)-SUMIF(116:116,C39,117:117)+100</f>
        <v>100</v>
      </c>
      <c r="G39" s="2612" t="s">
        <v>3162</v>
      </c>
      <c r="H39" s="435">
        <f>SUMIF(116:116,G39,117:117)-SUMIF(116:116,C39,117:117)+100</f>
        <v>100</v>
      </c>
      <c r="I39" s="2613" t="s">
        <v>3162</v>
      </c>
      <c r="J39" s="435">
        <f>SUMIF(116:116,I39,117:117)-SUMIF(116:116,C39,117:117)+100</f>
        <v>100</v>
      </c>
      <c r="K39" s="426">
        <v>1</v>
      </c>
      <c r="L39" s="1139"/>
      <c r="M39" s="1130"/>
      <c r="N39" s="1130"/>
      <c r="O39" s="1130"/>
      <c r="P39" s="3230"/>
      <c r="Q39" s="2955" t="str">
        <f t="shared" si="11"/>
        <v>市政基础设施</v>
      </c>
      <c r="R39" s="774" t="s">
        <v>21</v>
      </c>
      <c r="S39" s="775">
        <f t="shared" si="12"/>
        <v>100</v>
      </c>
      <c r="T39" s="774" t="s">
        <v>21</v>
      </c>
      <c r="U39" s="775">
        <f t="shared" si="13"/>
        <v>100</v>
      </c>
      <c r="V39" s="774" t="s">
        <v>21</v>
      </c>
      <c r="W39" s="775">
        <f t="shared" si="14"/>
        <v>100</v>
      </c>
      <c r="X39" s="2954"/>
      <c r="Y39" s="3168"/>
      <c r="Z39" s="2956" t="str">
        <f t="shared" si="18"/>
        <v>市政基础设施</v>
      </c>
      <c r="AA39" s="2957">
        <f t="shared" si="15"/>
        <v>1</v>
      </c>
      <c r="AB39" s="2957">
        <f t="shared" si="16"/>
        <v>1</v>
      </c>
      <c r="AC39" s="2957">
        <f t="shared" si="17"/>
        <v>1</v>
      </c>
    </row>
    <row r="40" spans="1:29" ht="15">
      <c r="A40" s="472"/>
      <c r="B40" s="2953"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230"/>
      <c r="Q40" s="2955" t="str">
        <f t="shared" si="11"/>
        <v>房型</v>
      </c>
      <c r="R40" s="774" t="s">
        <v>21</v>
      </c>
      <c r="S40" s="775">
        <f t="shared" si="12"/>
        <v>100</v>
      </c>
      <c r="T40" s="774" t="s">
        <v>21</v>
      </c>
      <c r="U40" s="775">
        <f t="shared" si="13"/>
        <v>100</v>
      </c>
      <c r="V40" s="774" t="s">
        <v>21</v>
      </c>
      <c r="W40" s="775">
        <f t="shared" si="14"/>
        <v>100</v>
      </c>
      <c r="X40" s="2954"/>
      <c r="Y40" s="3168"/>
      <c r="Z40" s="2956" t="str">
        <f t="shared" si="18"/>
        <v>房型</v>
      </c>
      <c r="AA40" s="2957">
        <f t="shared" si="15"/>
        <v>1</v>
      </c>
      <c r="AB40" s="2957">
        <f t="shared" si="16"/>
        <v>1</v>
      </c>
      <c r="AC40" s="2957">
        <f t="shared" si="17"/>
        <v>1</v>
      </c>
    </row>
    <row r="41" spans="1:29" s="471" customFormat="1" ht="28.5">
      <c r="A41" s="468"/>
      <c r="B41" s="2953"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230"/>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2957">
        <f t="shared" si="15"/>
        <v>1</v>
      </c>
      <c r="AB41" s="2957">
        <f t="shared" si="16"/>
        <v>1</v>
      </c>
      <c r="AC41" s="2957">
        <f t="shared" si="17"/>
        <v>1</v>
      </c>
    </row>
    <row r="42" spans="1:29" ht="15">
      <c r="A42" s="472"/>
      <c r="B42" s="2953" t="s">
        <v>2567</v>
      </c>
      <c r="C42" s="2612" t="s">
        <v>3094</v>
      </c>
      <c r="D42" s="435">
        <v>100</v>
      </c>
      <c r="E42" s="2613" t="s">
        <v>3094</v>
      </c>
      <c r="F42" s="461">
        <f>SUMIF(122:122,E42,123:123)-SUMIF(122:122,C42,123:123)+100</f>
        <v>100</v>
      </c>
      <c r="G42" s="2612" t="s">
        <v>3094</v>
      </c>
      <c r="H42" s="435">
        <f>SUMIF(122:122,G42,123:123)-SUMIF(122:122,C42,123:123)+100</f>
        <v>100</v>
      </c>
      <c r="I42" s="2613" t="s">
        <v>3094</v>
      </c>
      <c r="J42" s="435">
        <f>SUMIF(122:122,I42,123:123)-SUMIF(122:122,C42,123:123)+100</f>
        <v>100</v>
      </c>
      <c r="K42" s="426">
        <v>3</v>
      </c>
      <c r="L42" s="1139"/>
      <c r="M42" s="1130"/>
      <c r="N42" s="1130"/>
      <c r="O42" s="1130"/>
      <c r="P42" s="3230"/>
      <c r="Q42" s="2955" t="str">
        <f t="shared" si="11"/>
        <v>内部装修</v>
      </c>
      <c r="R42" s="774" t="s">
        <v>21</v>
      </c>
      <c r="S42" s="775">
        <f t="shared" si="12"/>
        <v>100</v>
      </c>
      <c r="T42" s="774" t="s">
        <v>21</v>
      </c>
      <c r="U42" s="775">
        <f t="shared" si="13"/>
        <v>100</v>
      </c>
      <c r="V42" s="774" t="s">
        <v>21</v>
      </c>
      <c r="W42" s="775">
        <f t="shared" si="14"/>
        <v>100</v>
      </c>
      <c r="X42" s="2954"/>
      <c r="Y42" s="3168"/>
      <c r="Z42" s="2956" t="str">
        <f t="shared" si="18"/>
        <v>内部装修</v>
      </c>
      <c r="AA42" s="2957">
        <f t="shared" si="15"/>
        <v>1</v>
      </c>
      <c r="AB42" s="2957">
        <f t="shared" si="16"/>
        <v>1</v>
      </c>
      <c r="AC42" s="2957">
        <f t="shared" si="17"/>
        <v>1</v>
      </c>
    </row>
    <row r="43" spans="1:29" ht="15">
      <c r="A43" s="472"/>
      <c r="B43" s="2953" t="s">
        <v>2568</v>
      </c>
      <c r="C43" s="2612" t="s">
        <v>3078</v>
      </c>
      <c r="D43" s="435">
        <v>100</v>
      </c>
      <c r="E43" s="2613" t="s">
        <v>3078</v>
      </c>
      <c r="F43" s="461">
        <f>SUMIF(124:124,E43,125:125)-SUMIF(124:124,C43,125:125)+100</f>
        <v>100</v>
      </c>
      <c r="G43" s="2612" t="s">
        <v>3078</v>
      </c>
      <c r="H43" s="435">
        <f>SUMIF(124:124,G43,125:125)-SUMIF(124:124,C43,125:125)+100</f>
        <v>100</v>
      </c>
      <c r="I43" s="2613" t="s">
        <v>3078</v>
      </c>
      <c r="J43" s="435">
        <f>SUMIF(124:124,I43,125:125)-SUMIF(124:124,C43,125:125)+100</f>
        <v>100</v>
      </c>
      <c r="K43" s="426">
        <v>2</v>
      </c>
      <c r="L43" s="1139"/>
      <c r="M43" s="1130"/>
      <c r="N43" s="1130"/>
      <c r="O43" s="1130"/>
      <c r="P43" s="3230"/>
      <c r="Q43" s="2955" t="str">
        <f t="shared" si="11"/>
        <v>内部装修维护情况</v>
      </c>
      <c r="R43" s="774" t="s">
        <v>21</v>
      </c>
      <c r="S43" s="775">
        <f t="shared" si="12"/>
        <v>100</v>
      </c>
      <c r="T43" s="774" t="s">
        <v>21</v>
      </c>
      <c r="U43" s="775">
        <f t="shared" si="13"/>
        <v>100</v>
      </c>
      <c r="V43" s="774" t="s">
        <v>21</v>
      </c>
      <c r="W43" s="775">
        <f t="shared" si="14"/>
        <v>100</v>
      </c>
      <c r="X43" s="2954"/>
      <c r="Y43" s="3168"/>
      <c r="Z43" s="2956" t="str">
        <f t="shared" si="18"/>
        <v>内部装修维护情况</v>
      </c>
      <c r="AA43" s="2957">
        <f t="shared" si="15"/>
        <v>1</v>
      </c>
      <c r="AB43" s="2957">
        <f t="shared" si="16"/>
        <v>1</v>
      </c>
      <c r="AC43" s="2957">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230"/>
      <c r="Q44" s="2951">
        <f t="shared" si="11"/>
        <v>111</v>
      </c>
      <c r="R44" s="770" t="s">
        <v>21</v>
      </c>
      <c r="S44" s="771">
        <f t="shared" si="12"/>
        <v>100</v>
      </c>
      <c r="T44" s="770" t="s">
        <v>21</v>
      </c>
      <c r="U44" s="771">
        <f t="shared" si="13"/>
        <v>100</v>
      </c>
      <c r="V44" s="770" t="s">
        <v>21</v>
      </c>
      <c r="W44" s="771">
        <f t="shared" si="14"/>
        <v>100</v>
      </c>
      <c r="X44" s="772"/>
      <c r="Y44" s="3168"/>
      <c r="Z44" s="2952">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230"/>
      <c r="Q45" s="2955">
        <f t="shared" si="11"/>
        <v>111</v>
      </c>
      <c r="R45" s="774" t="s">
        <v>21</v>
      </c>
      <c r="S45" s="775">
        <f t="shared" si="12"/>
        <v>100</v>
      </c>
      <c r="T45" s="774" t="s">
        <v>21</v>
      </c>
      <c r="U45" s="775">
        <f t="shared" si="13"/>
        <v>100</v>
      </c>
      <c r="V45" s="774" t="s">
        <v>21</v>
      </c>
      <c r="W45" s="775">
        <f t="shared" si="14"/>
        <v>100</v>
      </c>
      <c r="X45" s="2954"/>
      <c r="Y45" s="3168"/>
      <c r="Z45" s="2956">
        <f t="shared" si="18"/>
        <v>111</v>
      </c>
      <c r="AA45" s="2957">
        <f t="shared" si="15"/>
        <v>1</v>
      </c>
      <c r="AB45" s="2957">
        <f t="shared" si="16"/>
        <v>1</v>
      </c>
      <c r="AC45" s="2957">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231"/>
      <c r="Q46" s="2955">
        <f t="shared" si="11"/>
        <v>111</v>
      </c>
      <c r="R46" s="774" t="s">
        <v>20</v>
      </c>
      <c r="S46" s="775">
        <f t="shared" si="12"/>
        <v>100</v>
      </c>
      <c r="T46" s="774" t="s">
        <v>20</v>
      </c>
      <c r="U46" s="775">
        <f t="shared" si="13"/>
        <v>100</v>
      </c>
      <c r="V46" s="774" t="s">
        <v>20</v>
      </c>
      <c r="W46" s="775">
        <f t="shared" si="14"/>
        <v>100</v>
      </c>
      <c r="X46" s="2954"/>
      <c r="Y46" s="3232"/>
      <c r="Z46" s="2956">
        <f t="shared" si="18"/>
        <v>111</v>
      </c>
      <c r="AA46" s="2957">
        <f t="shared" si="15"/>
        <v>1</v>
      </c>
      <c r="AB46" s="2957">
        <f t="shared" si="16"/>
        <v>1</v>
      </c>
      <c r="AC46" s="2957">
        <f t="shared" si="17"/>
        <v>1</v>
      </c>
    </row>
    <row r="47" spans="1:29" ht="15">
      <c r="A47" s="479" t="s">
        <v>2569</v>
      </c>
      <c r="B47" s="480"/>
      <c r="C47" s="1406" t="s">
        <v>19</v>
      </c>
      <c r="D47" s="1407"/>
      <c r="E47" s="1408">
        <v>26000</v>
      </c>
      <c r="F47" s="1409"/>
      <c r="G47" s="1410">
        <v>23000</v>
      </c>
      <c r="H47" s="1411"/>
      <c r="I47" s="1408">
        <v>24000</v>
      </c>
      <c r="J47" s="1411"/>
      <c r="K47" s="2620"/>
      <c r="L47" s="1142"/>
      <c r="M47" s="1143"/>
      <c r="N47" s="1130"/>
      <c r="O47" s="1143"/>
      <c r="P47" s="3163" t="str">
        <f>A47</f>
        <v>成交单价（元/平方米）</v>
      </c>
      <c r="Q47" s="3163"/>
      <c r="R47" s="3228">
        <f>E47</f>
        <v>26000</v>
      </c>
      <c r="S47" s="3228"/>
      <c r="T47" s="3228">
        <f>G47</f>
        <v>23000</v>
      </c>
      <c r="U47" s="3228"/>
      <c r="V47" s="3228">
        <f>I47</f>
        <v>24000</v>
      </c>
      <c r="W47" s="3228"/>
      <c r="X47" s="759"/>
      <c r="Y47" s="781"/>
      <c r="Z47" s="759"/>
      <c r="AA47" s="759"/>
      <c r="AB47" s="759"/>
      <c r="AC47" s="759"/>
    </row>
    <row r="48" spans="1:29" ht="15.75" thickBot="1">
      <c r="A48" s="486" t="s">
        <v>2570</v>
      </c>
      <c r="B48" s="487"/>
      <c r="C48" s="1412">
        <f>R49</f>
        <v>24156</v>
      </c>
      <c r="D48" s="1413"/>
      <c r="E48" s="1414">
        <f>R48</f>
        <v>24990</v>
      </c>
      <c r="F48" s="1414"/>
      <c r="G48" s="1412">
        <f>T48</f>
        <v>23469</v>
      </c>
      <c r="H48" s="1413"/>
      <c r="I48" s="1414">
        <f>V48</f>
        <v>24010</v>
      </c>
      <c r="J48" s="1413"/>
      <c r="K48" s="2621"/>
      <c r="L48" s="1142"/>
      <c r="M48" s="1143"/>
      <c r="N48" s="1143"/>
      <c r="O48" s="1143"/>
      <c r="P48" s="3163" t="str">
        <f>A48</f>
        <v>比较价值（元/平方米）</v>
      </c>
      <c r="Q48" s="3163"/>
      <c r="R48" s="3228">
        <f>IF(F1="售价",ROUND(PRODUCT(R47,AA7:AA46),0),ROUND(PRODUCT(R47,AA7:AA46),1))</f>
        <v>24990</v>
      </c>
      <c r="S48" s="3228"/>
      <c r="T48" s="3228">
        <f>IF(F1="售价",ROUND(PRODUCT(T47,AB7:AB46),0),ROUND(PRODUCT(T47,AB7:AB46),1))</f>
        <v>23469</v>
      </c>
      <c r="U48" s="3228"/>
      <c r="V48" s="3228">
        <f>IF(F1="售价",ROUND(PRODUCT(V47,AC7:AC46),0),ROUND(PRODUCT(V47,AC7:AC46),1))</f>
        <v>24010</v>
      </c>
      <c r="W48" s="3228"/>
      <c r="X48" s="759"/>
      <c r="Y48" s="759"/>
      <c r="Z48" s="759"/>
      <c r="AA48" s="759"/>
      <c r="AB48" s="759"/>
      <c r="AC48" s="759"/>
    </row>
    <row r="49" spans="1:29" ht="15.75" thickBot="1">
      <c r="A49" s="492" t="s">
        <v>2571</v>
      </c>
      <c r="B49" s="493"/>
      <c r="C49" s="1415">
        <f>R49</f>
        <v>24156</v>
      </c>
      <c r="D49" s="1416"/>
      <c r="E49" s="1416"/>
      <c r="F49" s="1416"/>
      <c r="G49" s="1416"/>
      <c r="H49" s="1416"/>
      <c r="I49" s="1416"/>
      <c r="J49" s="1416"/>
      <c r="K49" s="2622"/>
      <c r="L49" s="1142"/>
      <c r="M49" s="1143"/>
      <c r="N49" s="1143"/>
      <c r="O49" s="1143"/>
      <c r="P49" s="3157" t="str">
        <f>A49</f>
        <v>估价对象XX用房的比较价值（楼面单价，元/平方米）</v>
      </c>
      <c r="Q49" s="3158"/>
      <c r="R49" s="3227">
        <f>IF(F1="售价",ROUND(AVERAGE(R48:V48),0),ROUND(AVERAGE(R48:V48),1))</f>
        <v>24156</v>
      </c>
      <c r="S49" s="3227"/>
      <c r="T49" s="3227"/>
      <c r="U49" s="3227"/>
      <c r="V49" s="3227"/>
      <c r="W49" s="322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2572</v>
      </c>
      <c r="D52" s="498"/>
      <c r="E52" s="499">
        <f>IF(E47&lt;E48,E48/E47-1,E47/E48-1)</f>
        <v>4.0416166466586745E-2</v>
      </c>
      <c r="F52" s="500" t="str">
        <f>IF(OR(E52&gt;=0.3,E52&lt;=-0.3),"超过30%","")</f>
        <v/>
      </c>
      <c r="G52" s="499">
        <f>IF(G47&lt;G48,G48/G47-1,G47/G48-1)</f>
        <v>2.03913043478261E-2</v>
      </c>
      <c r="H52" s="500" t="str">
        <f>IF(OR(G52&gt;=0.3,G52&lt;=-0.3),"超过30%","")</f>
        <v/>
      </c>
      <c r="I52" s="499">
        <f>IF(I47&lt;I48,I48/I47-1,I47/I48-1)</f>
        <v>4.166666666667318E-4</v>
      </c>
      <c r="J52" s="500" t="str">
        <f>IF(OR(I52&gt;=0.3,I52&lt;=-0.3),"超过30%","")</f>
        <v/>
      </c>
      <c r="K52" s="1104"/>
      <c r="L52" s="1105"/>
      <c r="M52" s="1143"/>
      <c r="N52" s="1143"/>
      <c r="O52" s="1143"/>
    </row>
    <row r="53" spans="1:29" ht="13.5" customHeight="1">
      <c r="A53" s="1143"/>
      <c r="B53" s="1143"/>
      <c r="C53" s="497" t="s">
        <v>2573</v>
      </c>
      <c r="D53" s="501"/>
      <c r="E53" s="499">
        <f>IF(E48&lt;G48,G48/E48-1,E48/G48-1)</f>
        <v>6.480889684264346E-2</v>
      </c>
      <c r="F53" s="500" t="str">
        <f>IF(OR(E53&gt;=0.2,E53&lt;=-0.2),"超过20%","")</f>
        <v/>
      </c>
      <c r="G53" s="499">
        <f>IF(G48&lt;I48,I48/G48-1,G48/I48-1)</f>
        <v>2.305168520175549E-2</v>
      </c>
      <c r="H53" s="500" t="str">
        <f>IF(OR(G53&gt;=0.2,G53&lt;=-0.2),"超过20%","")</f>
        <v/>
      </c>
      <c r="I53" s="499">
        <f>IF(I48&lt;E48,E48/I48-1,I48/E48-1)</f>
        <v>4.081632653061229E-2</v>
      </c>
      <c r="J53" s="500" t="str">
        <f>IF(OR(I53&gt;=0.2,I53&lt;=-0.2),"超过20%","")</f>
        <v/>
      </c>
      <c r="K53" s="1104"/>
      <c r="L53" s="1105"/>
      <c r="M53" s="1143"/>
      <c r="N53" s="1143"/>
      <c r="O53" s="1143"/>
    </row>
    <row r="54" spans="1:29" s="502" customFormat="1" ht="13.5" customHeight="1">
      <c r="A54" s="1144"/>
      <c r="B54" s="1144"/>
      <c r="C54" s="497" t="s">
        <v>2574</v>
      </c>
      <c r="D54" s="501"/>
      <c r="E54" s="499">
        <f>IF(E47&lt;G47,G47/E47-1,E47/G47-1)</f>
        <v>0.13043478260869557</v>
      </c>
      <c r="F54" s="500" t="str">
        <f>IF(OR(E54&gt;=0.3,E54&lt;=-0.3),"超过30%","")</f>
        <v/>
      </c>
      <c r="G54" s="499">
        <f>IF(G47&lt;I47,I47/G47-1,G47/I47-1)</f>
        <v>4.3478260869565188E-2</v>
      </c>
      <c r="H54" s="500" t="str">
        <f>IF(OR(G54&gt;=0.3,G54&lt;=-0.3),"超过30%","")</f>
        <v/>
      </c>
      <c r="I54" s="499">
        <f>IF(I47&lt;E47,E47/I47-1,I47/E47-1)</f>
        <v>8.3333333333333259E-2</v>
      </c>
      <c r="J54" s="500" t="str">
        <f>IF(OR(I54&gt;=0.3,I54&lt;=-0.3),"超过30%","")</f>
        <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2575</v>
      </c>
      <c r="B57" s="759"/>
      <c r="C57" s="764"/>
      <c r="D57" s="764"/>
      <c r="E57" s="764"/>
      <c r="F57" s="765"/>
      <c r="G57" s="765"/>
      <c r="H57" s="764"/>
      <c r="I57" s="764"/>
      <c r="J57" s="764"/>
      <c r="K57" s="1159"/>
      <c r="L57" s="1160"/>
      <c r="M57" s="1158"/>
      <c r="N57" s="1158"/>
      <c r="O57" s="1158"/>
      <c r="P57" s="2625"/>
      <c r="Q57" s="504"/>
    </row>
    <row r="58" spans="1:29" s="508" customFormat="1" ht="15">
      <c r="A58" s="505" t="s">
        <v>2540</v>
      </c>
      <c r="B58" s="506"/>
      <c r="C58" s="1575" t="str">
        <f>YEAR(C7)&amp;"-"&amp;MONTH(C7)</f>
        <v>2018-9</v>
      </c>
      <c r="D58" s="1574">
        <f>EDATE(C58,-1)</f>
        <v>43313</v>
      </c>
      <c r="E58" s="1574">
        <f>EDATE(D58,-1)</f>
        <v>43282</v>
      </c>
      <c r="F58" s="1574">
        <f t="shared" ref="F58:O58" si="19">EDATE(E58,-1)</f>
        <v>43252</v>
      </c>
      <c r="G58" s="1574">
        <f t="shared" si="19"/>
        <v>43221</v>
      </c>
      <c r="H58" s="1574">
        <f t="shared" si="19"/>
        <v>43191</v>
      </c>
      <c r="I58" s="1574">
        <f t="shared" si="19"/>
        <v>43160</v>
      </c>
      <c r="J58" s="1574">
        <f t="shared" si="19"/>
        <v>43132</v>
      </c>
      <c r="K58" s="1574">
        <f t="shared" si="19"/>
        <v>43101</v>
      </c>
      <c r="L58" s="1574">
        <f t="shared" si="19"/>
        <v>43070</v>
      </c>
      <c r="M58" s="1574">
        <f t="shared" si="19"/>
        <v>43040</v>
      </c>
      <c r="N58" s="1574">
        <f t="shared" si="19"/>
        <v>43009</v>
      </c>
      <c r="O58" s="1574">
        <f t="shared" si="19"/>
        <v>42979</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2579</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2580</v>
      </c>
      <c r="B63" s="528" t="s">
        <v>2546</v>
      </c>
      <c r="C63" s="529" t="str">
        <f>C9</f>
        <v>住宅</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29"/>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v>5</v>
      </c>
      <c r="I68" s="549">
        <v>6</v>
      </c>
      <c r="J68" s="549"/>
      <c r="K68" s="550"/>
      <c r="L68" s="551"/>
      <c r="M68" s="552"/>
      <c r="N68" s="1151"/>
      <c r="O68" s="1151"/>
      <c r="P68" s="2629"/>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9"/>
      <c r="Q81" s="504"/>
    </row>
    <row r="82" spans="1:17" ht="15.75" thickTop="1">
      <c r="A82" s="534"/>
      <c r="B82" s="546" t="s">
        <v>2091</v>
      </c>
      <c r="C82" s="539" t="s">
        <v>2596</v>
      </c>
      <c r="D82" s="539" t="s">
        <v>2597</v>
      </c>
      <c r="E82" s="539" t="s">
        <v>2598</v>
      </c>
      <c r="F82" s="539" t="s">
        <v>2599</v>
      </c>
      <c r="G82" s="539" t="s">
        <v>2600</v>
      </c>
      <c r="H82" s="539"/>
      <c r="I82" s="539"/>
      <c r="J82" s="539"/>
      <c r="K82" s="539"/>
      <c r="L82" s="539"/>
      <c r="M82" s="1381"/>
      <c r="N82" s="1152"/>
      <c r="O82" s="1152"/>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9"/>
      <c r="Q84" s="504"/>
    </row>
    <row r="85" spans="1:17" ht="15.75" thickBot="1">
      <c r="A85" s="534"/>
      <c r="B85" s="543"/>
      <c r="C85" s="544">
        <v>100</v>
      </c>
      <c r="D85" s="544">
        <f>C85-$K23</f>
        <v>98.5</v>
      </c>
      <c r="E85" s="544">
        <f>D85-$K23</f>
        <v>97</v>
      </c>
      <c r="F85" s="544">
        <f>E85-$K23</f>
        <v>95.5</v>
      </c>
      <c r="G85" s="544">
        <f>F85-$K23</f>
        <v>94</v>
      </c>
      <c r="H85" s="544"/>
      <c r="I85" s="544"/>
      <c r="J85" s="544"/>
      <c r="K85" s="544"/>
      <c r="L85" s="544"/>
      <c r="M85" s="545"/>
      <c r="N85" s="1152"/>
      <c r="O85" s="1152"/>
      <c r="P85" s="2629"/>
      <c r="Q85" s="504"/>
    </row>
    <row r="86" spans="1:17" s="117" customFormat="1" ht="15.75" thickTop="1">
      <c r="A86" s="579"/>
      <c r="B86" s="538" t="s">
        <v>2602</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2603</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2555</v>
      </c>
      <c r="B100" s="528" t="s">
        <v>2604</v>
      </c>
      <c r="C100" s="2946" t="s">
        <v>3081</v>
      </c>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2"/>
      <c r="O101" s="1152"/>
      <c r="P101" s="2629"/>
      <c r="Q101" s="504"/>
    </row>
    <row r="102" spans="1:17" ht="29.25" thickTop="1">
      <c r="A102" s="534"/>
      <c r="B102" s="538" t="s">
        <v>2605</v>
      </c>
      <c r="C102" s="578" t="str">
        <f>C103&amp;"(含)"&amp;"-"&amp;D103</f>
        <v>0(含)-200000</v>
      </c>
      <c r="D102" s="578" t="str">
        <f t="shared" ref="D102:L102" si="27">D103&amp;"(含)"&amp;"-"&amp;E103</f>
        <v>200000(含)-400000</v>
      </c>
      <c r="E102" s="578" t="str">
        <f t="shared" si="27"/>
        <v>400000(含)-600000</v>
      </c>
      <c r="F102" s="578" t="str">
        <f t="shared" si="27"/>
        <v>600000(含)-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200000</v>
      </c>
      <c r="E103" s="595">
        <v>400000</v>
      </c>
      <c r="F103" s="595">
        <v>600000</v>
      </c>
      <c r="G103" s="595"/>
      <c r="H103" s="595"/>
      <c r="I103" s="595"/>
      <c r="J103" s="596"/>
      <c r="K103" s="596"/>
      <c r="L103" s="597"/>
      <c r="M103" s="598"/>
      <c r="N103" s="1153"/>
      <c r="O103" s="1153"/>
      <c r="P103" s="2630"/>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2"/>
      <c r="O104" s="1152"/>
      <c r="P104" s="2630"/>
      <c r="Q104" s="559"/>
    </row>
    <row r="105" spans="1:17" ht="15" thickTop="1">
      <c r="A105" s="599"/>
      <c r="B105" s="538" t="s">
        <v>2606</v>
      </c>
      <c r="C105" s="2947" t="s">
        <v>3083</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2"/>
      <c r="O106" s="1152"/>
      <c r="P106" s="2629"/>
      <c r="Q106" s="504"/>
    </row>
    <row r="107" spans="1:17" ht="15" thickTop="1">
      <c r="A107" s="599"/>
      <c r="B107" s="538" t="s">
        <v>2607</v>
      </c>
      <c r="C107" s="2948" t="s">
        <v>3085</v>
      </c>
      <c r="D107" s="2948" t="s">
        <v>3087</v>
      </c>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2"/>
      <c r="O108" s="1152"/>
      <c r="P108" s="2629"/>
      <c r="Q108" s="504"/>
    </row>
    <row r="109" spans="1:17" ht="15" thickTop="1">
      <c r="A109" s="599"/>
      <c r="B109" s="538" t="s">
        <v>2608</v>
      </c>
      <c r="C109" s="2947" t="s">
        <v>3088</v>
      </c>
      <c r="D109" s="2947" t="s">
        <v>3089</v>
      </c>
      <c r="E109" s="2947" t="s">
        <v>3090</v>
      </c>
      <c r="F109" s="2948" t="s">
        <v>3091</v>
      </c>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2"/>
      <c r="O110" s="1152"/>
      <c r="P110" s="262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0"/>
      <c r="Q113" s="559"/>
    </row>
    <row r="114" spans="1:17" ht="15" thickTop="1">
      <c r="A114" s="599"/>
      <c r="B114" s="538" t="s">
        <v>2609</v>
      </c>
      <c r="C114" s="2947" t="s">
        <v>3093</v>
      </c>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2"/>
      <c r="O115" s="1152"/>
      <c r="P115" s="2629"/>
      <c r="Q115" s="504"/>
    </row>
    <row r="116" spans="1:17" ht="15" thickTop="1">
      <c r="A116" s="599"/>
      <c r="B116" s="538" t="s">
        <v>2610</v>
      </c>
      <c r="C116" s="2947" t="s">
        <v>3163</v>
      </c>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9"/>
      <c r="Q117" s="504"/>
    </row>
    <row r="118" spans="1:17" ht="15" thickTop="1">
      <c r="A118" s="599"/>
      <c r="B118" s="538" t="s">
        <v>2611</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2612</v>
      </c>
      <c r="C122" s="2947" t="s">
        <v>3088</v>
      </c>
      <c r="D122" s="2947" t="s">
        <v>3089</v>
      </c>
      <c r="E122" s="2947" t="s">
        <v>3090</v>
      </c>
      <c r="F122" s="2948" t="s">
        <v>3091</v>
      </c>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2"/>
      <c r="O123" s="1152"/>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30"/>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3">
        <v>6</v>
      </c>
      <c r="C139" s="1084">
        <v>96</v>
      </c>
      <c r="D139" s="2647" t="s">
        <v>2623</v>
      </c>
      <c r="E139" s="1085">
        <v>100</v>
      </c>
      <c r="F139" s="1086">
        <v>102.5</v>
      </c>
      <c r="G139" s="2647" t="s">
        <v>2623</v>
      </c>
      <c r="H139" s="1087">
        <v>105</v>
      </c>
      <c r="I139" s="2648" t="s">
        <v>2624</v>
      </c>
      <c r="J139" s="1084">
        <v>20</v>
      </c>
      <c r="K139" s="1088">
        <f>C145/(J139-2)</f>
        <v>4.0555555555555553E-3</v>
      </c>
    </row>
    <row r="140" spans="1:17" ht="15">
      <c r="B140" s="1089">
        <v>5</v>
      </c>
      <c r="C140" s="1090">
        <v>100</v>
      </c>
      <c r="D140" s="1090"/>
      <c r="E140" s="1091"/>
      <c r="F140" s="1092">
        <v>102</v>
      </c>
      <c r="G140" s="1090"/>
      <c r="H140" s="1093"/>
      <c r="I140" s="2649" t="s">
        <v>2625</v>
      </c>
      <c r="J140" s="315">
        <f>ROUNDUP((J139-1)/2,0)</f>
        <v>10</v>
      </c>
      <c r="K140" s="1094">
        <v>100</v>
      </c>
    </row>
    <row r="141" spans="1:17" ht="15">
      <c r="B141" s="1089">
        <v>4</v>
      </c>
      <c r="C141" s="1090">
        <v>102</v>
      </c>
      <c r="D141" s="1090"/>
      <c r="E141" s="1091"/>
      <c r="F141" s="1092">
        <v>101.5</v>
      </c>
      <c r="G141" s="1090"/>
      <c r="H141" s="1093"/>
      <c r="I141" s="2649" t="s">
        <v>2626</v>
      </c>
      <c r="J141" s="315">
        <v>1</v>
      </c>
      <c r="K141" s="1095">
        <f>ROUND(100+(J141-J140)*K139*100,1)</f>
        <v>96.4</v>
      </c>
    </row>
    <row r="142" spans="1:17" ht="15">
      <c r="B142" s="1089">
        <v>3</v>
      </c>
      <c r="C142" s="1090">
        <v>103</v>
      </c>
      <c r="D142" s="1090"/>
      <c r="E142" s="1091"/>
      <c r="F142" s="1092">
        <v>101</v>
      </c>
      <c r="G142" s="1090"/>
      <c r="H142" s="1093"/>
      <c r="I142" s="2649" t="s">
        <v>2627</v>
      </c>
      <c r="J142" s="315">
        <f>J139</f>
        <v>20</v>
      </c>
      <c r="K142" s="1096">
        <v>95</v>
      </c>
    </row>
    <row r="143" spans="1:17" ht="15">
      <c r="B143" s="1089">
        <v>2</v>
      </c>
      <c r="C143" s="1090">
        <v>100</v>
      </c>
      <c r="D143" s="1090"/>
      <c r="E143" s="1091"/>
      <c r="F143" s="1092">
        <v>100.5</v>
      </c>
      <c r="G143" s="1090"/>
      <c r="H143" s="1093"/>
      <c r="I143" s="2649" t="s">
        <v>2628</v>
      </c>
      <c r="J143" s="1090">
        <v>15</v>
      </c>
      <c r="K143" s="1095">
        <f>ROUND(100+(J143-J140)*K139*100,1)</f>
        <v>102</v>
      </c>
    </row>
    <row r="144" spans="1:17" ht="15">
      <c r="B144" s="1089">
        <v>1</v>
      </c>
      <c r="C144" s="1090">
        <v>98</v>
      </c>
      <c r="D144" s="2650" t="s">
        <v>2629</v>
      </c>
      <c r="E144" s="1091">
        <v>102</v>
      </c>
      <c r="F144" s="1097">
        <v>100</v>
      </c>
      <c r="G144" s="2650" t="s">
        <v>2629</v>
      </c>
      <c r="H144" s="1093">
        <v>105</v>
      </c>
      <c r="I144" s="2649" t="s">
        <v>2628</v>
      </c>
      <c r="J144" s="1090">
        <v>18</v>
      </c>
      <c r="K144" s="1095">
        <f>ROUND(100+(J144-J140)*K139*100,1)</f>
        <v>103.2</v>
      </c>
    </row>
    <row r="145" spans="2:11" s="403" customFormat="1" ht="15.75" thickBot="1">
      <c r="B145" s="2651" t="s">
        <v>2630</v>
      </c>
      <c r="C145" s="1098">
        <f>ROUND(MAX(C139:C144)/MIN(C139:C144)-1,3)</f>
        <v>7.2999999999999995E-2</v>
      </c>
      <c r="D145" s="1099"/>
      <c r="E145" s="1099"/>
      <c r="F145" s="2652" t="s">
        <v>2631</v>
      </c>
      <c r="G145" s="2653"/>
      <c r="H145" s="2654"/>
      <c r="I145" s="2655" t="s">
        <v>2628</v>
      </c>
      <c r="J145" s="1100">
        <v>8</v>
      </c>
      <c r="K145" s="1101">
        <f>ROUND(100+(J145-J140)*K139*100,1)</f>
        <v>99.2</v>
      </c>
    </row>
    <row r="147" spans="2:11" s="403" customFormat="1">
      <c r="B147" s="2636" t="s">
        <v>2632</v>
      </c>
      <c r="K147" s="495"/>
    </row>
    <row r="148" spans="2:11" s="403" customFormat="1">
      <c r="B148" s="2636" t="s">
        <v>2633</v>
      </c>
      <c r="K148" s="495"/>
    </row>
  </sheetData>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5" sqref="A15"/>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金科地产集团武汉有限公司：</v>
      </c>
    </row>
    <row r="4" spans="1:1" ht="36">
      <c r="A4" s="1947" t="str">
        <f>"受贵公司委托，我公司对"&amp;项目基本情况!S1&amp;"进行了预评估。"</f>
        <v>受贵公司委托，我公司对武汉洪山区大洲村K2地块出让国有建设用地使用权及在建建筑物房地产抵押价值进行了预评估。</v>
      </c>
    </row>
    <row r="5" spans="1:1" ht="18.75">
      <c r="A5" s="1948" t="s">
        <v>1612</v>
      </c>
    </row>
    <row r="6" spans="1:1" ht="18.75">
      <c r="A6" s="1949" t="s">
        <v>1613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洪山区大洲村K2地块出让国有建设用地使用权及在建建筑物房地产，为金科地产集团武汉有限公司所有。根据《不动产权证》[鄂（2017）武汉市市不动产权第0001838号]，估价对象（分摊）出让国有建设用地使用权面积为103644.78平方米，建筑面积为642216.19平方米。</v>
      </c>
    </row>
    <row r="8" spans="1:1" ht="56.25">
      <c r="A8" s="2966" t="s">
        <v>3241</v>
      </c>
    </row>
    <row r="9" spans="1:1" ht="18.75">
      <c r="A9" s="1949" t="s">
        <v>1614</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洪山区大洲村K2地块出让国有建设用地使用权及在建建筑物房地产,为金科地产集团武汉有限公司开发建设的居住项目，该项目尚在开发建设中。根据《不动产权证》[鄂（2017）武汉市市不动产权第0001838号]，估价对象（分摊）出让国有建设用地使用权面积为103644.78平方米，规划建筑面积为642216.19平方米。</v>
      </c>
    </row>
    <row r="11" spans="1:1" ht="97.5">
      <c r="A11" s="1950" t="s">
        <v>3242</v>
      </c>
    </row>
    <row r="12" spans="1:1" ht="18.75">
      <c r="A12" s="1948" t="s">
        <v>1615</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1616</v>
      </c>
    </row>
    <row r="15" spans="1:1" ht="18">
      <c r="A15" s="1953" t="str">
        <f>TEXT(项目基本情况!D3,"yyyy年m月d日;;")&amp;IF(项目基本情况!D3=项目基本情况!B3,"（评估专业人员实地查勘之日）","")</f>
        <v>2018年9月28日（评估专业人员实地查勘之日）</v>
      </c>
    </row>
    <row r="16" spans="1:1" ht="18.75">
      <c r="A16" s="1952" t="s">
        <v>1617</v>
      </c>
    </row>
    <row r="17" spans="1:1" ht="75">
      <c r="A17" s="1947" t="s">
        <v>1618</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28日，估价对象规划用途为城镇住宅用地，土地取得方式为出让，出让国有建设用地使用权剩余土地使用年限为69.23，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红线内场地平整条件下，剩余土地使用年限为69.23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E19" sqref="E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81" t="s">
        <v>2634</v>
      </c>
      <c r="C1" s="1633" t="s">
        <v>2522</v>
      </c>
      <c r="D1" s="1620" t="s">
        <v>3063</v>
      </c>
      <c r="E1" s="2656"/>
      <c r="F1" s="2583" t="s">
        <v>3097</v>
      </c>
      <c r="G1" s="1630" t="s">
        <v>2635</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2322</v>
      </c>
      <c r="B2" s="1417">
        <f ca="1">IF(C2="——",ROUND(C49*D3/10000,0),ROUND(C49*D3/10000,0)-D2)</f>
        <v>65902</v>
      </c>
      <c r="C2" s="2585"/>
      <c r="D2" s="1364">
        <f ca="1">SUMIF(INDIRECT("'"&amp;F2&amp;"'"&amp;"!A:A"),"承租人权益价值",INDIRECT("'"&amp;F2&amp;"'"&amp;"!c:c"))</f>
        <v>0</v>
      </c>
      <c r="E2" s="2586" t="s">
        <v>2323</v>
      </c>
      <c r="F2" s="2587" t="s">
        <v>3098</v>
      </c>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2324</v>
      </c>
      <c r="B3" s="609">
        <f ca="1">IF(C2="——",C49,ROUND(B2*10000/D3,0))</f>
        <v>29208</v>
      </c>
      <c r="C3" s="400" t="s">
        <v>2636</v>
      </c>
      <c r="D3" s="399">
        <f>IF(D1="",'数据-汇总表'!E3,SUMIF('数据-汇总表'!$C19:$C33,D1,'数据-汇总表'!$E19:$E33))</f>
        <v>22562.959999999999</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2637</v>
      </c>
      <c r="B4" s="402"/>
      <c r="C4" s="3160" t="s">
        <v>2638</v>
      </c>
      <c r="D4" s="3173"/>
      <c r="E4" s="3174" t="s">
        <v>2639</v>
      </c>
      <c r="F4" s="3175"/>
      <c r="G4" s="3160" t="s">
        <v>2640</v>
      </c>
      <c r="H4" s="3173"/>
      <c r="I4" s="3160" t="s">
        <v>2641</v>
      </c>
      <c r="J4" s="3173"/>
      <c r="K4" s="610" t="s">
        <v>2642</v>
      </c>
      <c r="L4" s="1129"/>
      <c r="M4" s="1130"/>
      <c r="N4" s="1130"/>
      <c r="O4" s="1130"/>
      <c r="P4" s="3176" t="s">
        <v>2643</v>
      </c>
      <c r="Q4" s="3177"/>
      <c r="R4" s="3182" t="s">
        <v>2639</v>
      </c>
      <c r="S4" s="3183"/>
      <c r="T4" s="3182" t="s">
        <v>2640</v>
      </c>
      <c r="U4" s="3183"/>
      <c r="V4" s="3169" t="s">
        <v>2641</v>
      </c>
      <c r="W4" s="3169"/>
      <c r="X4" s="1812"/>
      <c r="Y4" s="3182" t="s">
        <v>2643</v>
      </c>
      <c r="Z4" s="3183"/>
      <c r="AA4" s="3170" t="s">
        <v>2639</v>
      </c>
      <c r="AB4" s="3169" t="s">
        <v>2640</v>
      </c>
      <c r="AC4" s="3170" t="s">
        <v>2641</v>
      </c>
    </row>
    <row r="5" spans="1:29" ht="15">
      <c r="A5" s="404"/>
      <c r="B5" s="405"/>
      <c r="C5" s="3190" t="s">
        <v>2534</v>
      </c>
      <c r="D5" s="3191"/>
      <c r="E5" s="3196" t="s">
        <v>3253</v>
      </c>
      <c r="F5" s="3197"/>
      <c r="G5" s="3235" t="s">
        <v>3254</v>
      </c>
      <c r="H5" s="3191"/>
      <c r="I5" s="3235" t="s">
        <v>3255</v>
      </c>
      <c r="J5" s="3191"/>
      <c r="K5" s="610"/>
      <c r="L5" s="1129"/>
      <c r="M5" s="1130"/>
      <c r="N5" s="1130"/>
      <c r="O5" s="1130"/>
      <c r="P5" s="3178"/>
      <c r="Q5" s="3179"/>
      <c r="R5" s="3184"/>
      <c r="S5" s="3185"/>
      <c r="T5" s="3184"/>
      <c r="U5" s="3185"/>
      <c r="V5" s="3169"/>
      <c r="W5" s="3169"/>
      <c r="X5" s="1812"/>
      <c r="Y5" s="3184"/>
      <c r="Z5" s="3185"/>
      <c r="AA5" s="3171"/>
      <c r="AB5" s="3169"/>
      <c r="AC5" s="3171"/>
    </row>
    <row r="6" spans="1:29" ht="15.75" thickBot="1">
      <c r="A6" s="406"/>
      <c r="B6" s="407"/>
      <c r="C6" s="3195" t="s">
        <v>2538</v>
      </c>
      <c r="D6" s="3189"/>
      <c r="E6" s="3196" t="s">
        <v>3172</v>
      </c>
      <c r="F6" s="3197"/>
      <c r="G6" s="3188" t="s">
        <v>3099</v>
      </c>
      <c r="H6" s="3189"/>
      <c r="I6" s="3188" t="s">
        <v>3100</v>
      </c>
      <c r="J6" s="3189"/>
      <c r="K6" s="610" t="s">
        <v>2539</v>
      </c>
      <c r="L6" s="1129"/>
      <c r="M6" s="1130"/>
      <c r="N6" s="1130"/>
      <c r="O6" s="1130"/>
      <c r="P6" s="3180"/>
      <c r="Q6" s="3181"/>
      <c r="R6" s="3184"/>
      <c r="S6" s="3185"/>
      <c r="T6" s="3186"/>
      <c r="U6" s="3187"/>
      <c r="V6" s="3169"/>
      <c r="W6" s="3169"/>
      <c r="X6" s="1812"/>
      <c r="Y6" s="3186"/>
      <c r="Z6" s="3187"/>
      <c r="AA6" s="3172"/>
      <c r="AB6" s="3169"/>
      <c r="AC6" s="3172"/>
    </row>
    <row r="7" spans="1:29" s="117" customFormat="1" ht="15.75" thickBot="1">
      <c r="A7" s="408" t="s">
        <v>2540</v>
      </c>
      <c r="B7" s="409"/>
      <c r="C7" s="410">
        <f>'数据-取费表'!B2</f>
        <v>43371</v>
      </c>
      <c r="D7" s="411">
        <v>100</v>
      </c>
      <c r="E7" s="412">
        <v>43371</v>
      </c>
      <c r="F7" s="413">
        <f>SUMIF(58:58,YEAR(E7)&amp;"-"&amp;MONTH(E7),59:59)</f>
        <v>100</v>
      </c>
      <c r="G7" s="412">
        <v>43371</v>
      </c>
      <c r="H7" s="411">
        <f>SUMIF(58:58,YEAR(G7)&amp;"-"&amp;MONTH(G7),59:59)</f>
        <v>100</v>
      </c>
      <c r="I7" s="412">
        <v>43371</v>
      </c>
      <c r="J7" s="411">
        <f>SUMIF(58:58,YEAR(I7)&amp;"-"&amp;MONTH(I7),59:59)</f>
        <v>100</v>
      </c>
      <c r="K7" s="611"/>
      <c r="L7" s="1131"/>
      <c r="M7" s="1132"/>
      <c r="N7" s="1132"/>
      <c r="O7" s="1132"/>
      <c r="P7" s="3192" t="s">
        <v>2541</v>
      </c>
      <c r="Q7" s="3194"/>
      <c r="R7" s="770" t="s">
        <v>17</v>
      </c>
      <c r="S7" s="771">
        <f t="shared" ref="S7:S15" si="0">F7</f>
        <v>100</v>
      </c>
      <c r="T7" s="770" t="s">
        <v>17</v>
      </c>
      <c r="U7" s="771">
        <f t="shared" ref="U7:U15" si="1">H7</f>
        <v>100</v>
      </c>
      <c r="V7" s="770" t="s">
        <v>17</v>
      </c>
      <c r="W7" s="771">
        <f t="shared" ref="W7:W15" si="2">J7</f>
        <v>100</v>
      </c>
      <c r="X7" s="772"/>
      <c r="Y7" s="3192" t="s">
        <v>2541</v>
      </c>
      <c r="Z7" s="3193"/>
      <c r="AA7" s="773">
        <f>D7/F7</f>
        <v>1</v>
      </c>
      <c r="AB7" s="773">
        <f>D7/H7</f>
        <v>1</v>
      </c>
      <c r="AC7" s="773">
        <f>D7/J7</f>
        <v>1</v>
      </c>
    </row>
    <row r="8" spans="1:29" s="117" customFormat="1" ht="15.75" thickBot="1">
      <c r="A8" s="408" t="s">
        <v>2542</v>
      </c>
      <c r="B8" s="409"/>
      <c r="C8" s="414" t="s">
        <v>2644</v>
      </c>
      <c r="D8" s="411">
        <v>100</v>
      </c>
      <c r="E8" s="414" t="s">
        <v>3075</v>
      </c>
      <c r="F8" s="413">
        <f>SUMIF(61:61,E8,62:62)-SUMIF(61:61,C8,62:62)+100</f>
        <v>100</v>
      </c>
      <c r="G8" s="414" t="s">
        <v>3075</v>
      </c>
      <c r="H8" s="411">
        <f>SUMIF(61:61,G8,62:62)-SUMIF(61:61,C8,62:62)+100</f>
        <v>100</v>
      </c>
      <c r="I8" s="414" t="s">
        <v>3075</v>
      </c>
      <c r="J8" s="411">
        <f>SUMIF(61:61,I8,62:62)-SUMIF(61:61,C8,62:62)+100</f>
        <v>100</v>
      </c>
      <c r="K8" s="611"/>
      <c r="L8" s="1131"/>
      <c r="M8" s="1132"/>
      <c r="N8" s="1132"/>
      <c r="O8" s="1132"/>
      <c r="P8" s="3192" t="s">
        <v>2544</v>
      </c>
      <c r="Q8" s="3193"/>
      <c r="R8" s="770" t="s">
        <v>17</v>
      </c>
      <c r="S8" s="771">
        <f t="shared" si="0"/>
        <v>100</v>
      </c>
      <c r="T8" s="770" t="s">
        <v>17</v>
      </c>
      <c r="U8" s="771">
        <f t="shared" si="1"/>
        <v>100</v>
      </c>
      <c r="V8" s="770" t="s">
        <v>17</v>
      </c>
      <c r="W8" s="771">
        <f t="shared" si="2"/>
        <v>100</v>
      </c>
      <c r="X8" s="772"/>
      <c r="Y8" s="3192" t="s">
        <v>2544</v>
      </c>
      <c r="Z8" s="3193"/>
      <c r="AA8" s="773">
        <f t="shared" ref="AA8:AA46" si="3">D8/F8</f>
        <v>1</v>
      </c>
      <c r="AB8" s="773">
        <f t="shared" ref="AB8:AB46" si="4">D8/H8</f>
        <v>1</v>
      </c>
      <c r="AC8" s="773">
        <f t="shared" ref="AC8:AC46" si="5">D8/J8</f>
        <v>1</v>
      </c>
    </row>
    <row r="9" spans="1:29" s="117" customFormat="1">
      <c r="A9" s="415" t="s">
        <v>2545</v>
      </c>
      <c r="B9" s="71" t="s">
        <v>2546</v>
      </c>
      <c r="C9" s="416" t="s">
        <v>3101</v>
      </c>
      <c r="D9" s="135">
        <v>100</v>
      </c>
      <c r="E9" s="417" t="s">
        <v>3102</v>
      </c>
      <c r="F9" s="418">
        <f>SUMIF(63:63,E9,64:64)-SUMIF(63:63,C9,64:64)+100</f>
        <v>100</v>
      </c>
      <c r="G9" s="417" t="s">
        <v>3102</v>
      </c>
      <c r="H9" s="135">
        <f>SUMIF(63:63,G9,64:64)-SUMIF(63:63,C9,64:64)+100</f>
        <v>100</v>
      </c>
      <c r="I9" s="417" t="s">
        <v>3102</v>
      </c>
      <c r="J9" s="135">
        <f>SUMIF(63:63,I9,64:64)-SUMIF(63:63,C9,64:64)+100</f>
        <v>100</v>
      </c>
      <c r="K9" s="611"/>
      <c r="L9" s="1131"/>
      <c r="M9" s="1132"/>
      <c r="N9" s="1132"/>
      <c r="O9" s="1132"/>
      <c r="P9" s="3162" t="s">
        <v>2547</v>
      </c>
      <c r="Q9" s="1794" t="str">
        <f t="shared" ref="Q9:Q15" si="6">B9</f>
        <v>用途</v>
      </c>
      <c r="R9" s="770" t="s">
        <v>17</v>
      </c>
      <c r="S9" s="771">
        <f t="shared" si="0"/>
        <v>100</v>
      </c>
      <c r="T9" s="770" t="s">
        <v>17</v>
      </c>
      <c r="U9" s="771">
        <f t="shared" si="1"/>
        <v>100</v>
      </c>
      <c r="V9" s="770" t="s">
        <v>17</v>
      </c>
      <c r="W9" s="771">
        <f t="shared" si="2"/>
        <v>100</v>
      </c>
      <c r="X9" s="772"/>
      <c r="Y9" s="3011" t="s">
        <v>2548</v>
      </c>
      <c r="Z9" s="55" t="str">
        <f t="shared" ref="Z9:Z15" si="7">Q9</f>
        <v>用途</v>
      </c>
      <c r="AA9" s="773">
        <f t="shared" si="3"/>
        <v>1</v>
      </c>
      <c r="AB9" s="773">
        <f t="shared" si="4"/>
        <v>1</v>
      </c>
      <c r="AC9" s="773">
        <f t="shared" si="5"/>
        <v>1</v>
      </c>
    </row>
    <row r="10" spans="1:29" s="427" customFormat="1" ht="27.75" thickBot="1">
      <c r="A10" s="421"/>
      <c r="B10" s="422" t="s">
        <v>2549</v>
      </c>
      <c r="C10" s="423" t="s">
        <v>3165</v>
      </c>
      <c r="D10" s="136">
        <v>100</v>
      </c>
      <c r="E10" s="424" t="s">
        <v>3165</v>
      </c>
      <c r="F10" s="425">
        <f>SUMIF(65:65,E10,66:66)-SUMIF(65:65,C10,66:66)+100</f>
        <v>100</v>
      </c>
      <c r="G10" s="423" t="s">
        <v>3165</v>
      </c>
      <c r="H10" s="136">
        <f>SUMIF(65:65,G10,66:66)-SUMIF(65:65,C10,66:66)+100</f>
        <v>100</v>
      </c>
      <c r="I10" s="423" t="s">
        <v>3165</v>
      </c>
      <c r="J10" s="136">
        <f>SUMIF(65:65,I10,66:66)-SUMIF(65:65,C10,66:66)+100</f>
        <v>100</v>
      </c>
      <c r="K10" s="612">
        <v>1</v>
      </c>
      <c r="L10" s="1134"/>
      <c r="M10" s="1135"/>
      <c r="N10" s="1135"/>
      <c r="O10" s="1135"/>
      <c r="P10" s="3162"/>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hidden="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162"/>
      <c r="Q11" s="1794" t="str">
        <f t="shared" si="6"/>
        <v>容积率</v>
      </c>
      <c r="R11" s="770" t="s">
        <v>17</v>
      </c>
      <c r="S11" s="771">
        <f t="shared" si="0"/>
        <v>100</v>
      </c>
      <c r="T11" s="770" t="s">
        <v>17</v>
      </c>
      <c r="U11" s="771">
        <f t="shared" si="1"/>
        <v>100</v>
      </c>
      <c r="V11" s="770" t="s">
        <v>17</v>
      </c>
      <c r="W11" s="771">
        <f t="shared" si="2"/>
        <v>100</v>
      </c>
      <c r="X11" s="772"/>
      <c r="Y11" s="3011"/>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2"/>
      <c r="Q12" s="1794">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2"/>
      <c r="Q13" s="1794">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2"/>
      <c r="Q14" s="1794">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2551</v>
      </c>
      <c r="B15" s="69" t="s">
        <v>2645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33" t="s">
        <v>2552</v>
      </c>
      <c r="Q15" s="1809" t="str">
        <f t="shared" si="6"/>
        <v>商业繁华度</v>
      </c>
      <c r="R15" s="774" t="s">
        <v>17</v>
      </c>
      <c r="S15" s="775">
        <f t="shared" si="0"/>
        <v>100</v>
      </c>
      <c r="T15" s="774" t="s">
        <v>17</v>
      </c>
      <c r="U15" s="775">
        <f t="shared" si="1"/>
        <v>100</v>
      </c>
      <c r="V15" s="774" t="s">
        <v>17</v>
      </c>
      <c r="W15" s="775">
        <f t="shared" si="2"/>
        <v>100</v>
      </c>
      <c r="X15" s="1812"/>
      <c r="Y15" s="3165" t="s">
        <v>2552</v>
      </c>
      <c r="Z15" s="1813" t="str">
        <f t="shared" si="7"/>
        <v>商业繁华度</v>
      </c>
      <c r="AA15" s="1810">
        <f t="shared" si="3"/>
        <v>1</v>
      </c>
      <c r="AB15" s="1810">
        <f t="shared" si="4"/>
        <v>1</v>
      </c>
      <c r="AC15" s="1810">
        <f t="shared" si="5"/>
        <v>1</v>
      </c>
    </row>
    <row r="16" spans="1:29" ht="15">
      <c r="A16" s="428"/>
      <c r="B16" s="446"/>
      <c r="C16" s="447" t="s">
        <v>3078</v>
      </c>
      <c r="D16" s="448"/>
      <c r="E16" s="447" t="s">
        <v>3078</v>
      </c>
      <c r="F16" s="449"/>
      <c r="G16" s="447" t="s">
        <v>3078</v>
      </c>
      <c r="H16" s="450"/>
      <c r="I16" s="447" t="s">
        <v>3078</v>
      </c>
      <c r="J16" s="448"/>
      <c r="K16" s="615"/>
      <c r="L16" s="1139"/>
      <c r="M16" s="1130"/>
      <c r="N16" s="1130"/>
      <c r="O16" s="1130"/>
      <c r="P16" s="3234"/>
      <c r="Q16" s="1809"/>
      <c r="R16" s="774"/>
      <c r="S16" s="775"/>
      <c r="T16" s="774"/>
      <c r="U16" s="775"/>
      <c r="V16" s="774"/>
      <c r="W16" s="775"/>
      <c r="X16" s="1812"/>
      <c r="Y16" s="3166"/>
      <c r="Z16" s="1813"/>
      <c r="AA16" s="1810">
        <v>1</v>
      </c>
      <c r="AB16" s="1810">
        <v>1</v>
      </c>
      <c r="AC16" s="1810">
        <v>1</v>
      </c>
    </row>
    <row r="17" spans="1:29" ht="85.5">
      <c r="A17" s="428"/>
      <c r="B17" s="451" t="s">
        <v>2090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34"/>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1810">
        <f t="shared" si="5"/>
        <v>1</v>
      </c>
    </row>
    <row r="18" spans="1:29" ht="15">
      <c r="A18" s="428"/>
      <c r="B18" s="456"/>
      <c r="C18" s="2607" t="s">
        <v>3078</v>
      </c>
      <c r="D18" s="450"/>
      <c r="E18" s="2609" t="s">
        <v>3078</v>
      </c>
      <c r="F18" s="453"/>
      <c r="G18" s="2608" t="s">
        <v>3078</v>
      </c>
      <c r="H18" s="448"/>
      <c r="I18" s="2609" t="s">
        <v>3078</v>
      </c>
      <c r="J18" s="448"/>
      <c r="K18" s="615"/>
      <c r="L18" s="1139"/>
      <c r="M18" s="1130"/>
      <c r="N18" s="1130"/>
      <c r="O18" s="1130"/>
      <c r="P18" s="3234"/>
      <c r="Q18" s="1809"/>
      <c r="R18" s="774"/>
      <c r="S18" s="775"/>
      <c r="T18" s="774"/>
      <c r="U18" s="775"/>
      <c r="V18" s="774"/>
      <c r="W18" s="775"/>
      <c r="X18" s="1812"/>
      <c r="Y18" s="3166"/>
      <c r="Z18" s="1813"/>
      <c r="AA18" s="1810">
        <v>1</v>
      </c>
      <c r="AB18" s="1810">
        <v>1</v>
      </c>
      <c r="AC18" s="1810">
        <v>1</v>
      </c>
    </row>
    <row r="19" spans="1:29" ht="42.75">
      <c r="A19" s="428"/>
      <c r="B19" s="451" t="s">
        <v>2646</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34"/>
      <c r="Q19" s="1809" t="str">
        <f>B19</f>
        <v>公共配套设施</v>
      </c>
      <c r="R19" s="774" t="s">
        <v>17</v>
      </c>
      <c r="S19" s="775">
        <f>F19</f>
        <v>100</v>
      </c>
      <c r="T19" s="774" t="s">
        <v>17</v>
      </c>
      <c r="U19" s="775">
        <f>H19</f>
        <v>100</v>
      </c>
      <c r="V19" s="774" t="s">
        <v>17</v>
      </c>
      <c r="W19" s="775">
        <f>J19</f>
        <v>100</v>
      </c>
      <c r="X19" s="1812"/>
      <c r="Y19" s="3166"/>
      <c r="Z19" s="1813" t="str">
        <f>Q19</f>
        <v>公共配套设施</v>
      </c>
      <c r="AA19" s="1810">
        <f t="shared" si="3"/>
        <v>1</v>
      </c>
      <c r="AB19" s="1810">
        <f t="shared" si="4"/>
        <v>1</v>
      </c>
      <c r="AC19" s="1810">
        <f t="shared" si="5"/>
        <v>1</v>
      </c>
    </row>
    <row r="20" spans="1:29" ht="15">
      <c r="A20" s="428"/>
      <c r="B20" s="456"/>
      <c r="C20" s="447" t="s">
        <v>3078</v>
      </c>
      <c r="D20" s="448"/>
      <c r="E20" s="2604" t="s">
        <v>3078</v>
      </c>
      <c r="F20" s="449"/>
      <c r="G20" s="2603" t="s">
        <v>3078</v>
      </c>
      <c r="H20" s="448"/>
      <c r="I20" s="2604" t="s">
        <v>3078</v>
      </c>
      <c r="J20" s="448"/>
      <c r="K20" s="615"/>
      <c r="L20" s="1139"/>
      <c r="M20" s="1130"/>
      <c r="N20" s="1130"/>
      <c r="O20" s="1130"/>
      <c r="P20" s="3234"/>
      <c r="Q20" s="1809"/>
      <c r="R20" s="774"/>
      <c r="S20" s="775"/>
      <c r="T20" s="774"/>
      <c r="U20" s="775"/>
      <c r="V20" s="774"/>
      <c r="W20" s="775"/>
      <c r="X20" s="1812"/>
      <c r="Y20" s="3166"/>
      <c r="Z20" s="1813"/>
      <c r="AA20" s="1810">
        <v>1</v>
      </c>
      <c r="AB20" s="1810">
        <v>1</v>
      </c>
      <c r="AC20" s="1810">
        <v>1</v>
      </c>
    </row>
    <row r="21" spans="1:29" ht="28.5">
      <c r="A21" s="428"/>
      <c r="B21" s="1383" t="s">
        <v>2647</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34"/>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1810">
        <f t="shared" ref="AC21" si="10">D21/J21</f>
        <v>1</v>
      </c>
    </row>
    <row r="22" spans="1:29" ht="15">
      <c r="A22" s="428"/>
      <c r="B22" s="1383"/>
      <c r="C22" s="2607" t="s">
        <v>3162</v>
      </c>
      <c r="D22" s="448"/>
      <c r="E22" s="447" t="s">
        <v>3162</v>
      </c>
      <c r="F22" s="449"/>
      <c r="G22" s="447" t="s">
        <v>3162</v>
      </c>
      <c r="H22" s="448"/>
      <c r="I22" s="447" t="s">
        <v>3162</v>
      </c>
      <c r="J22" s="448"/>
      <c r="K22" s="1382"/>
      <c r="L22" s="1139"/>
      <c r="M22" s="1130"/>
      <c r="N22" s="1130"/>
      <c r="O22" s="1130"/>
      <c r="P22" s="3234"/>
      <c r="Q22" s="1809"/>
      <c r="R22" s="774"/>
      <c r="S22" s="775"/>
      <c r="T22" s="774"/>
      <c r="U22" s="775"/>
      <c r="V22" s="774"/>
      <c r="W22" s="775"/>
      <c r="X22" s="1812"/>
      <c r="Y22" s="3166"/>
      <c r="Z22" s="1813"/>
      <c r="AA22" s="1810">
        <v>1</v>
      </c>
      <c r="AB22" s="1810">
        <v>1</v>
      </c>
      <c r="AC22" s="1810">
        <v>1</v>
      </c>
    </row>
    <row r="23" spans="1:29" ht="57">
      <c r="A23" s="428"/>
      <c r="B23" s="451" t="s">
        <v>2095</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1.5</v>
      </c>
      <c r="L23" s="1139"/>
      <c r="M23" s="1130"/>
      <c r="N23" s="1130"/>
      <c r="O23" s="1130"/>
      <c r="P23" s="3234"/>
      <c r="Q23" s="1809" t="str">
        <f>B23</f>
        <v>自然及人文环境</v>
      </c>
      <c r="R23" s="774" t="s">
        <v>17</v>
      </c>
      <c r="S23" s="775">
        <f>F23</f>
        <v>100</v>
      </c>
      <c r="T23" s="774" t="s">
        <v>17</v>
      </c>
      <c r="U23" s="775">
        <f>H23</f>
        <v>100</v>
      </c>
      <c r="V23" s="774" t="s">
        <v>17</v>
      </c>
      <c r="W23" s="775">
        <f>J23</f>
        <v>100</v>
      </c>
      <c r="X23" s="1812"/>
      <c r="Y23" s="3166"/>
      <c r="Z23" s="1813" t="str">
        <f>Q23</f>
        <v>自然及人文环境</v>
      </c>
      <c r="AA23" s="1810">
        <f t="shared" si="3"/>
        <v>1</v>
      </c>
      <c r="AB23" s="1810">
        <f t="shared" si="4"/>
        <v>1</v>
      </c>
      <c r="AC23" s="1810">
        <f t="shared" si="5"/>
        <v>1</v>
      </c>
    </row>
    <row r="24" spans="1:29" ht="15">
      <c r="A24" s="428"/>
      <c r="B24" s="456"/>
      <c r="C24" s="447" t="s">
        <v>3078</v>
      </c>
      <c r="D24" s="448"/>
      <c r="E24" s="2604" t="s">
        <v>3078</v>
      </c>
      <c r="F24" s="449"/>
      <c r="G24" s="2603" t="s">
        <v>3078</v>
      </c>
      <c r="H24" s="448"/>
      <c r="I24" s="2604" t="s">
        <v>3078</v>
      </c>
      <c r="J24" s="448"/>
      <c r="K24" s="615"/>
      <c r="L24" s="1139"/>
      <c r="M24" s="1130"/>
      <c r="N24" s="1130"/>
      <c r="O24" s="1130"/>
      <c r="P24" s="3234"/>
      <c r="Q24" s="1809"/>
      <c r="R24" s="774"/>
      <c r="S24" s="775"/>
      <c r="T24" s="774"/>
      <c r="U24" s="775"/>
      <c r="V24" s="774"/>
      <c r="W24" s="775"/>
      <c r="X24" s="1812"/>
      <c r="Y24" s="3166"/>
      <c r="Z24" s="1813"/>
      <c r="AA24" s="1810">
        <v>1</v>
      </c>
      <c r="AB24" s="1810">
        <v>1</v>
      </c>
      <c r="AC24" s="1810">
        <v>1</v>
      </c>
    </row>
    <row r="25" spans="1:29" ht="15">
      <c r="A25" s="428"/>
      <c r="B25" s="422" t="s">
        <v>2648</v>
      </c>
      <c r="C25" s="616" t="s">
        <v>3103</v>
      </c>
      <c r="D25" s="435">
        <v>100</v>
      </c>
      <c r="E25" s="616" t="s">
        <v>3103</v>
      </c>
      <c r="F25" s="461">
        <f>SUMIF(86:86,E25,87:87)-SUMIF(86:86,C25,87:87)+100</f>
        <v>100</v>
      </c>
      <c r="G25" s="616" t="s">
        <v>3103</v>
      </c>
      <c r="H25" s="435">
        <f>SUMIF(86:86,G25,87:87)-SUMIF(86:86,C25,87:87)+100</f>
        <v>100</v>
      </c>
      <c r="I25" s="616" t="s">
        <v>3103</v>
      </c>
      <c r="J25" s="435">
        <f>SUMIF(86:86,I25,87:87)-SUMIF(86:86,C25,87:87)+100</f>
        <v>100</v>
      </c>
      <c r="K25" s="612">
        <v>2</v>
      </c>
      <c r="L25" s="1139"/>
      <c r="M25" s="1130"/>
      <c r="N25" s="1130"/>
      <c r="O25" s="1130"/>
      <c r="P25" s="3234"/>
      <c r="Q25" s="1809" t="str">
        <f t="shared" ref="Q25:Q46" si="11">B25</f>
        <v>临街状况</v>
      </c>
      <c r="R25" s="774" t="s">
        <v>17</v>
      </c>
      <c r="S25" s="775">
        <f>F25</f>
        <v>100</v>
      </c>
      <c r="T25" s="774" t="s">
        <v>17</v>
      </c>
      <c r="U25" s="775">
        <f>H25</f>
        <v>100</v>
      </c>
      <c r="V25" s="774" t="s">
        <v>17</v>
      </c>
      <c r="W25" s="775">
        <f>J25</f>
        <v>100</v>
      </c>
      <c r="X25" s="1812"/>
      <c r="Y25" s="3166"/>
      <c r="Z25" s="1813" t="str">
        <f>Q25</f>
        <v>临街状况</v>
      </c>
      <c r="AA25" s="1810">
        <f t="shared" si="3"/>
        <v>1</v>
      </c>
      <c r="AB25" s="1810">
        <f t="shared" si="4"/>
        <v>1</v>
      </c>
      <c r="AC25" s="1810">
        <f t="shared" si="5"/>
        <v>1</v>
      </c>
    </row>
    <row r="26" spans="1:29" ht="15">
      <c r="A26" s="428"/>
      <c r="B26" s="1385" t="s">
        <v>2649</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4"/>
      <c r="Q26" s="1809" t="str">
        <f t="shared" si="11"/>
        <v>平面位置/可视性</v>
      </c>
      <c r="R26" s="774" t="s">
        <v>17</v>
      </c>
      <c r="S26" s="775">
        <f>F26</f>
        <v>100</v>
      </c>
      <c r="T26" s="774" t="s">
        <v>17</v>
      </c>
      <c r="U26" s="775">
        <f>H26</f>
        <v>100</v>
      </c>
      <c r="V26" s="774" t="s">
        <v>17</v>
      </c>
      <c r="W26" s="775">
        <f>J26</f>
        <v>100</v>
      </c>
      <c r="X26" s="1812"/>
      <c r="Y26" s="3166"/>
      <c r="Z26" s="1813" t="str">
        <f>Q26</f>
        <v>平面位置/可视性</v>
      </c>
      <c r="AA26" s="1810">
        <f t="shared" si="3"/>
        <v>1</v>
      </c>
      <c r="AB26" s="1810">
        <f t="shared" si="4"/>
        <v>1</v>
      </c>
      <c r="AC26" s="1810">
        <f t="shared" si="5"/>
        <v>1</v>
      </c>
    </row>
    <row r="27" spans="1:29" s="117" customFormat="1" ht="15.75" thickBot="1">
      <c r="A27" s="431"/>
      <c r="B27" s="451" t="s">
        <v>2650</v>
      </c>
      <c r="C27" s="2664" t="s">
        <v>3105</v>
      </c>
      <c r="D27" s="462">
        <v>100</v>
      </c>
      <c r="E27" s="2664" t="s">
        <v>3105</v>
      </c>
      <c r="F27" s="464">
        <f>SUMIF(90:90,E27,91:91)-SUMIF(90:90,C27,91:91)+100</f>
        <v>100</v>
      </c>
      <c r="G27" s="2664" t="s">
        <v>3105</v>
      </c>
      <c r="H27" s="462">
        <f>SUMIF(90:90,G27,91:91)-SUMIF(90:90,C27,91:91)+100</f>
        <v>100</v>
      </c>
      <c r="I27" s="2664" t="s">
        <v>3105</v>
      </c>
      <c r="J27" s="462">
        <f>SUMIF(90:90,I27,91:91)-SUMIF(90:90,C27,91:91)+100</f>
        <v>100</v>
      </c>
      <c r="K27" s="612">
        <v>2</v>
      </c>
      <c r="L27" s="1131"/>
      <c r="M27" s="1132"/>
      <c r="N27" s="1132"/>
      <c r="O27" s="1132"/>
      <c r="P27" s="3234"/>
      <c r="Q27" s="1794" t="str">
        <f t="shared" si="11"/>
        <v>人流量</v>
      </c>
      <c r="R27" s="770" t="s">
        <v>17</v>
      </c>
      <c r="S27" s="771">
        <f>F27</f>
        <v>100</v>
      </c>
      <c r="T27" s="770" t="s">
        <v>17</v>
      </c>
      <c r="U27" s="771">
        <f>H27</f>
        <v>100</v>
      </c>
      <c r="V27" s="770" t="s">
        <v>17</v>
      </c>
      <c r="W27" s="771">
        <f>J27</f>
        <v>100</v>
      </c>
      <c r="X27" s="772"/>
      <c r="Y27" s="3166"/>
      <c r="Z27" s="55" t="str">
        <f>Q27</f>
        <v>人流量</v>
      </c>
      <c r="AA27" s="1810">
        <f>D27/F27</f>
        <v>1</v>
      </c>
      <c r="AB27" s="1810">
        <f>D27/H27</f>
        <v>1</v>
      </c>
      <c r="AC27" s="1810">
        <f>D27/J27</f>
        <v>1</v>
      </c>
    </row>
    <row r="28" spans="1:29" ht="15" hidden="1">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66"/>
      <c r="Z28" s="1813" t="str">
        <f t="shared" ref="Z28:Z46" si="15">Q28</f>
        <v>楼层</v>
      </c>
      <c r="AA28" s="1810">
        <f t="shared" si="3"/>
        <v>1</v>
      </c>
      <c r="AB28" s="1810">
        <f t="shared" si="4"/>
        <v>1</v>
      </c>
      <c r="AC28" s="1810">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4"/>
      <c r="Q29" s="1809">
        <f t="shared" si="11"/>
        <v>111</v>
      </c>
      <c r="R29" s="774" t="s">
        <v>17</v>
      </c>
      <c r="S29" s="775">
        <f t="shared" si="12"/>
        <v>100</v>
      </c>
      <c r="T29" s="774" t="s">
        <v>17</v>
      </c>
      <c r="U29" s="775">
        <f t="shared" si="13"/>
        <v>100</v>
      </c>
      <c r="V29" s="774" t="s">
        <v>17</v>
      </c>
      <c r="W29" s="775">
        <f t="shared" si="14"/>
        <v>100</v>
      </c>
      <c r="X29" s="1812"/>
      <c r="Y29" s="3166"/>
      <c r="Z29" s="1813">
        <f t="shared" si="15"/>
        <v>111</v>
      </c>
      <c r="AA29" s="1810">
        <f t="shared" si="3"/>
        <v>1</v>
      </c>
      <c r="AB29" s="1810">
        <f t="shared" si="4"/>
        <v>1</v>
      </c>
      <c r="AC29" s="1810">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4"/>
      <c r="Q30" s="1809">
        <f t="shared" si="11"/>
        <v>111</v>
      </c>
      <c r="R30" s="774" t="s">
        <v>17</v>
      </c>
      <c r="S30" s="775">
        <f t="shared" si="12"/>
        <v>100</v>
      </c>
      <c r="T30" s="774" t="s">
        <v>17</v>
      </c>
      <c r="U30" s="775">
        <f t="shared" si="13"/>
        <v>100</v>
      </c>
      <c r="V30" s="774" t="s">
        <v>17</v>
      </c>
      <c r="W30" s="775">
        <f t="shared" si="14"/>
        <v>100</v>
      </c>
      <c r="X30" s="1812"/>
      <c r="Y30" s="3166"/>
      <c r="Z30" s="1813">
        <f t="shared" si="15"/>
        <v>111</v>
      </c>
      <c r="AA30" s="1810">
        <f t="shared" si="3"/>
        <v>1</v>
      </c>
      <c r="AB30" s="1810">
        <f t="shared" si="4"/>
        <v>1</v>
      </c>
      <c r="AC30" s="1810">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4"/>
      <c r="Q31" s="1809">
        <f t="shared" si="11"/>
        <v>111</v>
      </c>
      <c r="R31" s="774" t="s">
        <v>17</v>
      </c>
      <c r="S31" s="775">
        <f t="shared" si="12"/>
        <v>100</v>
      </c>
      <c r="T31" s="774" t="s">
        <v>17</v>
      </c>
      <c r="U31" s="775">
        <f t="shared" si="13"/>
        <v>100</v>
      </c>
      <c r="V31" s="774" t="s">
        <v>17</v>
      </c>
      <c r="W31" s="775">
        <f t="shared" si="14"/>
        <v>100</v>
      </c>
      <c r="X31" s="1812"/>
      <c r="Y31" s="3166"/>
      <c r="Z31" s="1813">
        <f t="shared" si="15"/>
        <v>111</v>
      </c>
      <c r="AA31" s="1810">
        <f t="shared" si="3"/>
        <v>1</v>
      </c>
      <c r="AB31" s="1810">
        <f t="shared" si="4"/>
        <v>1</v>
      </c>
      <c r="AC31" s="1810">
        <f t="shared" si="5"/>
        <v>1</v>
      </c>
    </row>
    <row r="32" spans="1:29" ht="15">
      <c r="A32" s="440" t="s">
        <v>2555</v>
      </c>
      <c r="B32" s="71" t="s">
        <v>2652</v>
      </c>
      <c r="C32" s="2616" t="s">
        <v>3107</v>
      </c>
      <c r="D32" s="467">
        <v>100</v>
      </c>
      <c r="E32" s="2616" t="s">
        <v>3109</v>
      </c>
      <c r="F32" s="461">
        <f>SUMIF(100:100,E32,101:101)-SUMIF(100:100,C32,101:101)+100</f>
        <v>97</v>
      </c>
      <c r="G32" s="2616" t="s">
        <v>3107</v>
      </c>
      <c r="H32" s="435">
        <f>SUMIF(100:100,G32,101:101)-SUMIF(100:100,C32,101:101)+100</f>
        <v>100</v>
      </c>
      <c r="I32" s="2616" t="s">
        <v>3107</v>
      </c>
      <c r="J32" s="467">
        <f>SUMIF(100:100,I32,101:101)-SUMIF(100:100,C32,101:101)+100</f>
        <v>100</v>
      </c>
      <c r="K32" s="612">
        <v>3</v>
      </c>
      <c r="L32" s="1139"/>
      <c r="M32" s="1130"/>
      <c r="N32" s="1130"/>
      <c r="O32" s="1130"/>
      <c r="P32" s="3229" t="s">
        <v>2557</v>
      </c>
      <c r="Q32" s="1809" t="str">
        <f t="shared" si="11"/>
        <v>商业类型</v>
      </c>
      <c r="R32" s="774" t="s">
        <v>17</v>
      </c>
      <c r="S32" s="775">
        <f t="shared" si="12"/>
        <v>97</v>
      </c>
      <c r="T32" s="774" t="s">
        <v>17</v>
      </c>
      <c r="U32" s="775">
        <f t="shared" si="13"/>
        <v>100</v>
      </c>
      <c r="V32" s="774" t="s">
        <v>17</v>
      </c>
      <c r="W32" s="775">
        <f t="shared" si="14"/>
        <v>100</v>
      </c>
      <c r="X32" s="1812"/>
      <c r="Y32" s="3168" t="s">
        <v>2557</v>
      </c>
      <c r="Z32" s="1813" t="str">
        <f t="shared" si="15"/>
        <v>商业类型</v>
      </c>
      <c r="AA32" s="1810">
        <f t="shared" si="3"/>
        <v>1.0309278350515463</v>
      </c>
      <c r="AB32" s="1810">
        <f t="shared" si="4"/>
        <v>1</v>
      </c>
      <c r="AC32" s="1810">
        <f t="shared" si="5"/>
        <v>1</v>
      </c>
    </row>
    <row r="33" spans="1:29" s="471" customFormat="1" ht="15" hidden="1">
      <c r="A33" s="468"/>
      <c r="B33" s="422" t="s">
        <v>2558</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230"/>
      <c r="Q33" s="776" t="str">
        <f t="shared" si="11"/>
        <v>项目建筑规模</v>
      </c>
      <c r="R33" s="777" t="s">
        <v>17</v>
      </c>
      <c r="S33" s="778">
        <f t="shared" si="12"/>
        <v>100</v>
      </c>
      <c r="T33" s="777" t="s">
        <v>17</v>
      </c>
      <c r="U33" s="778">
        <f t="shared" si="13"/>
        <v>100</v>
      </c>
      <c r="V33" s="777" t="s">
        <v>17</v>
      </c>
      <c r="W33" s="778">
        <f t="shared" si="14"/>
        <v>100</v>
      </c>
      <c r="X33" s="779"/>
      <c r="Y33" s="3168"/>
      <c r="Z33" s="780" t="str">
        <f t="shared" si="15"/>
        <v>项目建筑规模</v>
      </c>
      <c r="AA33" s="1810">
        <f t="shared" si="3"/>
        <v>1</v>
      </c>
      <c r="AB33" s="1810">
        <f t="shared" si="4"/>
        <v>1</v>
      </c>
      <c r="AC33" s="1810">
        <f t="shared" si="5"/>
        <v>1</v>
      </c>
    </row>
    <row r="34" spans="1:29" ht="15">
      <c r="A34" s="472"/>
      <c r="B34" s="422" t="s">
        <v>2559</v>
      </c>
      <c r="C34" s="2618" t="s">
        <v>3082</v>
      </c>
      <c r="D34" s="435">
        <v>100</v>
      </c>
      <c r="E34" s="2618" t="s">
        <v>3082</v>
      </c>
      <c r="F34" s="461">
        <f>SUMIF(105:105,E34,106:106)-SUMIF(105:105,C34,106:106)+100</f>
        <v>100</v>
      </c>
      <c r="G34" s="2618" t="s">
        <v>3082</v>
      </c>
      <c r="H34" s="435">
        <f>SUMIF(105:105,G34,106:106)-SUMIF(105:105,C34,106:106)+100</f>
        <v>100</v>
      </c>
      <c r="I34" s="2618" t="s">
        <v>3082</v>
      </c>
      <c r="J34" s="435">
        <f>SUMIF(105:105,I34,106:106)-SUMIF(105:105,C34,106:106)+100</f>
        <v>100</v>
      </c>
      <c r="K34" s="612">
        <v>2</v>
      </c>
      <c r="L34" s="1139"/>
      <c r="M34" s="1130"/>
      <c r="N34" s="1130"/>
      <c r="O34" s="1130"/>
      <c r="P34" s="3230"/>
      <c r="Q34" s="1809" t="str">
        <f t="shared" si="11"/>
        <v>建筑结构</v>
      </c>
      <c r="R34" s="774" t="s">
        <v>17</v>
      </c>
      <c r="S34" s="775">
        <f t="shared" si="12"/>
        <v>100</v>
      </c>
      <c r="T34" s="774" t="s">
        <v>17</v>
      </c>
      <c r="U34" s="775">
        <f t="shared" si="13"/>
        <v>100</v>
      </c>
      <c r="V34" s="774" t="s">
        <v>17</v>
      </c>
      <c r="W34" s="775">
        <f t="shared" si="14"/>
        <v>100</v>
      </c>
      <c r="X34" s="1812"/>
      <c r="Y34" s="3168"/>
      <c r="Z34" s="1813" t="str">
        <f t="shared" si="15"/>
        <v>建筑结构</v>
      </c>
      <c r="AA34" s="1810">
        <f t="shared" si="3"/>
        <v>1</v>
      </c>
      <c r="AB34" s="1810">
        <f t="shared" si="4"/>
        <v>1</v>
      </c>
      <c r="AC34" s="1810">
        <f t="shared" si="5"/>
        <v>1</v>
      </c>
    </row>
    <row r="35" spans="1:29" ht="15">
      <c r="A35" s="472"/>
      <c r="B35" s="422" t="s">
        <v>2653</v>
      </c>
      <c r="C35" s="2612" t="s">
        <v>3094</v>
      </c>
      <c r="D35" s="435">
        <v>100</v>
      </c>
      <c r="E35" s="2612" t="s">
        <v>3094</v>
      </c>
      <c r="F35" s="461">
        <f>SUMIF(107:107,E35,108:108)-SUMIF(107:107,C35,108:108)+100</f>
        <v>100</v>
      </c>
      <c r="G35" s="2612" t="s">
        <v>3094</v>
      </c>
      <c r="H35" s="435">
        <f>SUMIF(107:107,G35,108:108)-SUMIF(107:107,C35,108:108)+100</f>
        <v>100</v>
      </c>
      <c r="I35" s="2612" t="s">
        <v>3094</v>
      </c>
      <c r="J35" s="435">
        <f>SUMIF(107:107,I35,108:108)-SUMIF(107:107,C35,108:108)+100</f>
        <v>100</v>
      </c>
      <c r="K35" s="612">
        <v>3</v>
      </c>
      <c r="L35" s="1139"/>
      <c r="M35" s="1130"/>
      <c r="N35" s="1130"/>
      <c r="O35" s="1130"/>
      <c r="P35" s="3230"/>
      <c r="Q35" s="1809" t="str">
        <f t="shared" si="11"/>
        <v>公共部分装修</v>
      </c>
      <c r="R35" s="774" t="s">
        <v>17</v>
      </c>
      <c r="S35" s="775">
        <f t="shared" si="12"/>
        <v>100</v>
      </c>
      <c r="T35" s="774" t="s">
        <v>17</v>
      </c>
      <c r="U35" s="775">
        <f t="shared" si="13"/>
        <v>100</v>
      </c>
      <c r="V35" s="774" t="s">
        <v>17</v>
      </c>
      <c r="W35" s="775">
        <f t="shared" si="14"/>
        <v>100</v>
      </c>
      <c r="X35" s="1812"/>
      <c r="Y35" s="3168"/>
      <c r="Z35" s="1813" t="str">
        <f t="shared" si="15"/>
        <v>公共部分装修</v>
      </c>
      <c r="AA35" s="1810">
        <f t="shared" si="3"/>
        <v>1</v>
      </c>
      <c r="AB35" s="1810">
        <f t="shared" si="4"/>
        <v>1</v>
      </c>
      <c r="AC35" s="1810">
        <f t="shared" si="5"/>
        <v>1</v>
      </c>
    </row>
    <row r="36" spans="1:29" ht="15">
      <c r="A36" s="472"/>
      <c r="B36" s="422"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9"/>
      <c r="M36" s="1130"/>
      <c r="N36" s="1130"/>
      <c r="O36" s="1130"/>
      <c r="P36" s="3230"/>
      <c r="Q36" s="1809" t="str">
        <f t="shared" si="11"/>
        <v>成新度</v>
      </c>
      <c r="R36" s="774" t="s">
        <v>17</v>
      </c>
      <c r="S36" s="775">
        <f t="shared" si="12"/>
        <v>100</v>
      </c>
      <c r="T36" s="774" t="s">
        <v>17</v>
      </c>
      <c r="U36" s="775">
        <f t="shared" si="13"/>
        <v>100</v>
      </c>
      <c r="V36" s="774" t="s">
        <v>17</v>
      </c>
      <c r="W36" s="775">
        <f t="shared" si="14"/>
        <v>100</v>
      </c>
      <c r="X36" s="1812"/>
      <c r="Y36" s="3168"/>
      <c r="Z36" s="1813" t="str">
        <f t="shared" si="15"/>
        <v>成新度</v>
      </c>
      <c r="AA36" s="1810">
        <f t="shared" si="3"/>
        <v>1</v>
      </c>
      <c r="AB36" s="1810">
        <f t="shared" si="4"/>
        <v>1</v>
      </c>
      <c r="AC36" s="1810">
        <f t="shared" si="5"/>
        <v>1</v>
      </c>
    </row>
    <row r="37" spans="1:29" s="117" customFormat="1" ht="15">
      <c r="A37" s="473"/>
      <c r="B37" s="422" t="s">
        <v>2655</v>
      </c>
      <c r="C37" s="2612" t="s">
        <v>3162</v>
      </c>
      <c r="D37" s="136">
        <v>100</v>
      </c>
      <c r="E37" s="2612" t="s">
        <v>3162</v>
      </c>
      <c r="F37" s="461">
        <f>SUMIF(112:112,E37,113:113)-SUMIF(112:112,C37,113:113)+100</f>
        <v>100</v>
      </c>
      <c r="G37" s="2612" t="s">
        <v>3162</v>
      </c>
      <c r="H37" s="435">
        <f>SUMIF(112:112,G37,113:113)-SUMIF(112:112,C37,113:113)+100</f>
        <v>100</v>
      </c>
      <c r="I37" s="2612" t="s">
        <v>3162</v>
      </c>
      <c r="J37" s="435">
        <f>SUMIF(112:112,I37,113:113)-SUMIF(112:112,C37,113:113)+100</f>
        <v>100</v>
      </c>
      <c r="K37" s="612">
        <v>1</v>
      </c>
      <c r="L37" s="1131"/>
      <c r="M37" s="1132"/>
      <c r="N37" s="1132"/>
      <c r="O37" s="1132"/>
      <c r="P37" s="3230"/>
      <c r="Q37" s="1794"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hidden="1">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9"/>
      <c r="M38" s="1130"/>
      <c r="N38" s="1130"/>
      <c r="O38" s="1130"/>
      <c r="P38" s="3230" t="s">
        <v>2557</v>
      </c>
      <c r="Q38" s="1809" t="str">
        <f t="shared" si="11"/>
        <v>业态</v>
      </c>
      <c r="R38" s="774" t="s">
        <v>17</v>
      </c>
      <c r="S38" s="775">
        <f t="shared" si="12"/>
        <v>100</v>
      </c>
      <c r="T38" s="774" t="s">
        <v>17</v>
      </c>
      <c r="U38" s="775">
        <f t="shared" si="13"/>
        <v>100</v>
      </c>
      <c r="V38" s="774" t="s">
        <v>17</v>
      </c>
      <c r="W38" s="775">
        <f t="shared" si="14"/>
        <v>100</v>
      </c>
      <c r="X38" s="1812"/>
      <c r="Y38" s="3168" t="s">
        <v>2557</v>
      </c>
      <c r="Z38" s="1813" t="str">
        <f t="shared" si="15"/>
        <v>业态</v>
      </c>
      <c r="AA38" s="1810">
        <f t="shared" si="3"/>
        <v>1</v>
      </c>
      <c r="AB38" s="1810">
        <f t="shared" si="4"/>
        <v>1</v>
      </c>
      <c r="AC38" s="1810">
        <f t="shared" si="5"/>
        <v>1</v>
      </c>
    </row>
    <row r="39" spans="1:29" ht="15" hidden="1">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9"/>
      <c r="M39" s="1130"/>
      <c r="N39" s="1130"/>
      <c r="O39" s="1130"/>
      <c r="P39" s="3230"/>
      <c r="Q39" s="1809" t="str">
        <f t="shared" si="11"/>
        <v>层高</v>
      </c>
      <c r="R39" s="774" t="s">
        <v>17</v>
      </c>
      <c r="S39" s="775">
        <f t="shared" si="12"/>
        <v>100</v>
      </c>
      <c r="T39" s="774" t="s">
        <v>17</v>
      </c>
      <c r="U39" s="775">
        <f t="shared" si="13"/>
        <v>100</v>
      </c>
      <c r="V39" s="774" t="s">
        <v>17</v>
      </c>
      <c r="W39" s="775">
        <f t="shared" si="14"/>
        <v>100</v>
      </c>
      <c r="X39" s="1812"/>
      <c r="Y39" s="3168"/>
      <c r="Z39" s="1813" t="str">
        <f t="shared" si="15"/>
        <v>层高</v>
      </c>
      <c r="AA39" s="1810">
        <f t="shared" si="3"/>
        <v>1</v>
      </c>
      <c r="AB39" s="1810">
        <f t="shared" si="4"/>
        <v>1</v>
      </c>
      <c r="AC39" s="1810">
        <f t="shared" si="5"/>
        <v>1</v>
      </c>
    </row>
    <row r="40" spans="1:29" ht="15" hidden="1">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0"/>
      <c r="Q40" s="1809" t="str">
        <f t="shared" si="11"/>
        <v>单套建筑面积</v>
      </c>
      <c r="R40" s="774" t="s">
        <v>17</v>
      </c>
      <c r="S40" s="775">
        <f t="shared" si="12"/>
        <v>100</v>
      </c>
      <c r="T40" s="774" t="s">
        <v>17</v>
      </c>
      <c r="U40" s="775">
        <f t="shared" si="13"/>
        <v>100</v>
      </c>
      <c r="V40" s="774" t="s">
        <v>17</v>
      </c>
      <c r="W40" s="775">
        <f t="shared" si="14"/>
        <v>100</v>
      </c>
      <c r="X40" s="1812"/>
      <c r="Y40" s="3168"/>
      <c r="Z40" s="1813" t="str">
        <f t="shared" si="15"/>
        <v>单套建筑面积</v>
      </c>
      <c r="AA40" s="1810">
        <f t="shared" si="3"/>
        <v>1</v>
      </c>
      <c r="AB40" s="1810">
        <f t="shared" si="4"/>
        <v>1</v>
      </c>
      <c r="AC40" s="1810">
        <f t="shared" si="5"/>
        <v>1</v>
      </c>
    </row>
    <row r="41" spans="1:29" s="471" customFormat="1" ht="15" hidden="1">
      <c r="A41" s="468"/>
      <c r="B41" s="1811"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0"/>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10">
        <f t="shared" si="3"/>
        <v>1</v>
      </c>
      <c r="AB41" s="1810">
        <f t="shared" si="4"/>
        <v>1</v>
      </c>
      <c r="AC41" s="1810">
        <f t="shared" si="5"/>
        <v>1</v>
      </c>
    </row>
    <row r="42" spans="1:29" ht="15">
      <c r="A42" s="472"/>
      <c r="B42" s="422" t="s">
        <v>2660</v>
      </c>
      <c r="C42" s="2612" t="s">
        <v>3095</v>
      </c>
      <c r="D42" s="435">
        <v>100</v>
      </c>
      <c r="E42" s="2612" t="s">
        <v>3094</v>
      </c>
      <c r="F42" s="461">
        <f>SUMIF(122:122,E42,123:123)-SUMIF(122:122,C42,123:123)+100</f>
        <v>106</v>
      </c>
      <c r="G42" s="2612" t="s">
        <v>3094</v>
      </c>
      <c r="H42" s="435">
        <f>SUMIF(122:122,G42,123:123)-SUMIF(122:122,C42,123:123)+100</f>
        <v>106</v>
      </c>
      <c r="I42" s="2612" t="s">
        <v>3094</v>
      </c>
      <c r="J42" s="435">
        <f>SUMIF(122:122,I42,123:123)-SUMIF(122:122,C42,123:123)+100</f>
        <v>106</v>
      </c>
      <c r="K42" s="612">
        <v>2</v>
      </c>
      <c r="L42" s="1139"/>
      <c r="M42" s="1130"/>
      <c r="N42" s="1130"/>
      <c r="O42" s="1130"/>
      <c r="P42" s="3230"/>
      <c r="Q42" s="1809" t="str">
        <f t="shared" si="11"/>
        <v>内部装修</v>
      </c>
      <c r="R42" s="774" t="s">
        <v>17</v>
      </c>
      <c r="S42" s="775">
        <f t="shared" si="12"/>
        <v>106</v>
      </c>
      <c r="T42" s="774" t="s">
        <v>17</v>
      </c>
      <c r="U42" s="775">
        <f t="shared" si="13"/>
        <v>106</v>
      </c>
      <c r="V42" s="774" t="s">
        <v>17</v>
      </c>
      <c r="W42" s="775">
        <f t="shared" si="14"/>
        <v>106</v>
      </c>
      <c r="X42" s="1812"/>
      <c r="Y42" s="3168"/>
      <c r="Z42" s="1813" t="str">
        <f t="shared" si="15"/>
        <v>内部装修</v>
      </c>
      <c r="AA42" s="1810">
        <f t="shared" si="3"/>
        <v>0.94339622641509435</v>
      </c>
      <c r="AB42" s="1810">
        <f t="shared" si="4"/>
        <v>0.94339622641509435</v>
      </c>
      <c r="AC42" s="1810">
        <f t="shared" si="5"/>
        <v>0.94339622641509435</v>
      </c>
    </row>
    <row r="43" spans="1:29" ht="15.75" thickBot="1">
      <c r="A43" s="472"/>
      <c r="B43" s="422" t="s">
        <v>2568</v>
      </c>
      <c r="C43" s="2612" t="s">
        <v>3078</v>
      </c>
      <c r="D43" s="435">
        <v>100</v>
      </c>
      <c r="E43" s="2612" t="s">
        <v>3078</v>
      </c>
      <c r="F43" s="461">
        <f>SUMIF(124:124,E43,125:125)-SUMIF(124:124,C43,125:125)+100</f>
        <v>100</v>
      </c>
      <c r="G43" s="2612" t="s">
        <v>3078</v>
      </c>
      <c r="H43" s="435">
        <f>SUMIF(124:124,G43,125:125)-SUMIF(124:124,C43,125:125)+100</f>
        <v>100</v>
      </c>
      <c r="I43" s="2612" t="s">
        <v>3078</v>
      </c>
      <c r="J43" s="435">
        <f>SUMIF(124:124,I43,125:125)-SUMIF(124:124,C43,125:125)+100</f>
        <v>100</v>
      </c>
      <c r="K43" s="612">
        <v>2</v>
      </c>
      <c r="L43" s="1139"/>
      <c r="M43" s="1130"/>
      <c r="N43" s="1130"/>
      <c r="O43" s="1130"/>
      <c r="P43" s="3230"/>
      <c r="Q43" s="1809" t="str">
        <f t="shared" si="11"/>
        <v>内部装修维护情况</v>
      </c>
      <c r="R43" s="774" t="s">
        <v>17</v>
      </c>
      <c r="S43" s="775">
        <f t="shared" si="12"/>
        <v>100</v>
      </c>
      <c r="T43" s="774" t="s">
        <v>17</v>
      </c>
      <c r="U43" s="775">
        <f t="shared" si="13"/>
        <v>100</v>
      </c>
      <c r="V43" s="774" t="s">
        <v>17</v>
      </c>
      <c r="W43" s="775">
        <f t="shared" si="14"/>
        <v>100</v>
      </c>
      <c r="X43" s="1812"/>
      <c r="Y43" s="3168"/>
      <c r="Z43" s="1813" t="str">
        <f t="shared" si="15"/>
        <v>内部装修维护情况</v>
      </c>
      <c r="AA43" s="1810">
        <f t="shared" si="3"/>
        <v>1</v>
      </c>
      <c r="AB43" s="1810">
        <f t="shared" si="4"/>
        <v>1</v>
      </c>
      <c r="AC43" s="1810">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0"/>
      <c r="Q44" s="1794">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0"/>
      <c r="Q45" s="1809">
        <f t="shared" si="11"/>
        <v>111</v>
      </c>
      <c r="R45" s="774" t="s">
        <v>17</v>
      </c>
      <c r="S45" s="775">
        <f t="shared" si="12"/>
        <v>100</v>
      </c>
      <c r="T45" s="774" t="s">
        <v>17</v>
      </c>
      <c r="U45" s="775">
        <f t="shared" si="13"/>
        <v>100</v>
      </c>
      <c r="V45" s="774" t="s">
        <v>17</v>
      </c>
      <c r="W45" s="775">
        <f t="shared" si="14"/>
        <v>100</v>
      </c>
      <c r="X45" s="1812"/>
      <c r="Y45" s="3168"/>
      <c r="Z45" s="1813">
        <f t="shared" si="15"/>
        <v>111</v>
      </c>
      <c r="AA45" s="1810">
        <f t="shared" si="3"/>
        <v>1</v>
      </c>
      <c r="AB45" s="1810">
        <f t="shared" si="4"/>
        <v>1</v>
      </c>
      <c r="AC45" s="1810">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1"/>
      <c r="Q46" s="1809">
        <f t="shared" si="11"/>
        <v>111</v>
      </c>
      <c r="R46" s="774" t="s">
        <v>17</v>
      </c>
      <c r="S46" s="775">
        <f t="shared" si="12"/>
        <v>100</v>
      </c>
      <c r="T46" s="774" t="s">
        <v>17</v>
      </c>
      <c r="U46" s="775">
        <f t="shared" si="13"/>
        <v>100</v>
      </c>
      <c r="V46" s="774" t="s">
        <v>17</v>
      </c>
      <c r="W46" s="775">
        <f t="shared" si="14"/>
        <v>100</v>
      </c>
      <c r="X46" s="1812"/>
      <c r="Y46" s="3232"/>
      <c r="Z46" s="1813">
        <f t="shared" si="15"/>
        <v>111</v>
      </c>
      <c r="AA46" s="1810">
        <f t="shared" si="3"/>
        <v>1</v>
      </c>
      <c r="AB46" s="1810">
        <f t="shared" si="4"/>
        <v>1</v>
      </c>
      <c r="AC46" s="1810">
        <f t="shared" si="5"/>
        <v>1</v>
      </c>
    </row>
    <row r="47" spans="1:29" ht="15">
      <c r="A47" s="479" t="s">
        <v>2569</v>
      </c>
      <c r="B47" s="480"/>
      <c r="C47" s="1406" t="s">
        <v>1</v>
      </c>
      <c r="D47" s="1407"/>
      <c r="E47" s="1408">
        <v>28500</v>
      </c>
      <c r="F47" s="1409"/>
      <c r="G47" s="1410">
        <v>29000</v>
      </c>
      <c r="H47" s="1411"/>
      <c r="I47" s="1408">
        <v>34500</v>
      </c>
      <c r="J47" s="1411"/>
      <c r="K47" s="783"/>
      <c r="L47" s="1142"/>
      <c r="M47" s="1143"/>
      <c r="N47" s="1130"/>
      <c r="O47" s="1143"/>
      <c r="P47" s="3163" t="str">
        <f>A47</f>
        <v>成交单价（元/平方米）</v>
      </c>
      <c r="Q47" s="3163"/>
      <c r="R47" s="3169">
        <f>E47</f>
        <v>28500</v>
      </c>
      <c r="S47" s="3169"/>
      <c r="T47" s="3169">
        <f>G47</f>
        <v>29000</v>
      </c>
      <c r="U47" s="3169"/>
      <c r="V47" s="3169">
        <f>I47</f>
        <v>34500</v>
      </c>
      <c r="W47" s="3169"/>
      <c r="X47" s="759"/>
      <c r="Y47" s="781"/>
      <c r="Z47" s="759"/>
      <c r="AA47" s="759"/>
      <c r="AB47" s="759"/>
      <c r="AC47" s="759"/>
    </row>
    <row r="48" spans="1:29" ht="15.75" thickBot="1">
      <c r="A48" s="486" t="s">
        <v>2661</v>
      </c>
      <c r="B48" s="487"/>
      <c r="C48" s="1412">
        <f>R49</f>
        <v>29208</v>
      </c>
      <c r="D48" s="1413"/>
      <c r="E48" s="1414">
        <f>R48</f>
        <v>27718</v>
      </c>
      <c r="F48" s="1414"/>
      <c r="G48" s="1412">
        <f>T48</f>
        <v>27358</v>
      </c>
      <c r="H48" s="1413"/>
      <c r="I48" s="1414">
        <f>V48</f>
        <v>32547</v>
      </c>
      <c r="J48" s="1413"/>
      <c r="K48" s="784"/>
      <c r="L48" s="1142"/>
      <c r="M48" s="1143"/>
      <c r="N48" s="1130"/>
      <c r="O48" s="1143"/>
      <c r="P48" s="3163" t="str">
        <f>A48</f>
        <v>比较价值（元/平方米）</v>
      </c>
      <c r="Q48" s="3163"/>
      <c r="R48" s="3228">
        <f>IF(F1="售价",ROUND(PRODUCT(R47,AA7:AA46),0),ROUND(PRODUCT(R47,AA7:AA46),1))</f>
        <v>27718</v>
      </c>
      <c r="S48" s="3228"/>
      <c r="T48" s="3228">
        <f>IF(F1="售价",ROUND(PRODUCT(T47,AB7:AB46),0),ROUND(PRODUCT(T47,AB7:AB46),1))</f>
        <v>27358</v>
      </c>
      <c r="U48" s="3228"/>
      <c r="V48" s="3228">
        <f>IF(F1="售价",ROUND(PRODUCT(V47,AC7:AC46),0),ROUND(PRODUCT(V47,AC7:AC46),1))</f>
        <v>32547</v>
      </c>
      <c r="W48" s="3228"/>
      <c r="X48" s="759"/>
      <c r="Y48" s="759"/>
      <c r="Z48" s="759"/>
      <c r="AA48" s="759"/>
      <c r="AB48" s="759"/>
      <c r="AC48" s="759"/>
    </row>
    <row r="49" spans="1:29" ht="15.75" thickBot="1">
      <c r="A49" s="492" t="s">
        <v>2662</v>
      </c>
      <c r="B49" s="493"/>
      <c r="C49" s="1416">
        <f>R49</f>
        <v>29208</v>
      </c>
      <c r="D49" s="1416"/>
      <c r="E49" s="1416"/>
      <c r="F49" s="1416"/>
      <c r="G49" s="1416"/>
      <c r="H49" s="1416"/>
      <c r="I49" s="1416"/>
      <c r="J49" s="1416"/>
      <c r="K49" s="785"/>
      <c r="L49" s="1142"/>
      <c r="M49" s="1143"/>
      <c r="N49" s="1130"/>
      <c r="O49" s="1143"/>
      <c r="P49" s="3157" t="str">
        <f>A49</f>
        <v>估价对象XX用房的比较价值（楼面单价，元/平方米）</v>
      </c>
      <c r="Q49" s="3158"/>
      <c r="R49" s="3227">
        <f>IF(F1="售价",ROUND(AVERAGE(R48:V48),0),ROUND(AVERAGE(R48:V48),1))</f>
        <v>29208</v>
      </c>
      <c r="S49" s="3227"/>
      <c r="T49" s="3227"/>
      <c r="U49" s="3227"/>
      <c r="V49" s="3227"/>
      <c r="W49" s="322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2663</v>
      </c>
      <c r="D52" s="498"/>
      <c r="E52" s="499">
        <f>IF(E47&lt;E48,E48/E47-1,E47/E48-1)</f>
        <v>2.8212713760011443E-2</v>
      </c>
      <c r="F52" s="500" t="str">
        <f>IF(OR(E52&gt;=0.3,E52&lt;=-0.3),"超过30%","")</f>
        <v/>
      </c>
      <c r="G52" s="499">
        <f>IF(G47&lt;G48,G48/G47-1,G47/G48-1)</f>
        <v>6.0019007237371191E-2</v>
      </c>
      <c r="H52" s="500" t="str">
        <f>IF(OR(G52&gt;=0.3,G52&lt;=-0.3),"超过30%","")</f>
        <v/>
      </c>
      <c r="I52" s="499">
        <f>IF(I47&lt;I48,I48/I47-1,I47/I48-1)</f>
        <v>6.0005530463637102E-2</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2664</v>
      </c>
      <c r="D53" s="501"/>
      <c r="E53" s="499">
        <f>IF(E48&lt;G48,G48/E48-1,E48/G48-1)</f>
        <v>1.3158856641567462E-2</v>
      </c>
      <c r="F53" s="500" t="str">
        <f>IF(OR(E53&gt;=0.2,E53&lt;=-0.2),"超过20%","")</f>
        <v/>
      </c>
      <c r="G53" s="499">
        <f>IF(G48&lt;I48,I48/G48-1,G48/I48-1)</f>
        <v>0.18967029753636955</v>
      </c>
      <c r="H53" s="500" t="str">
        <f>IF(OR(G53&gt;=0.2,G53&lt;=-0.2),"超过20%","")</f>
        <v/>
      </c>
      <c r="I53" s="499">
        <f>IF(I48&lt;E48,E48/I48-1,I48/E48-1)</f>
        <v>0.17421891911393317</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2665</v>
      </c>
      <c r="D54" s="501"/>
      <c r="E54" s="499">
        <f>IF(E47&lt;G47,G47/E47-1,E47/G47-1)</f>
        <v>1.7543859649122862E-2</v>
      </c>
      <c r="F54" s="500" t="str">
        <f>IF(OR(E54&gt;=0.3,E54&lt;=-0.3),"超过30%","")</f>
        <v/>
      </c>
      <c r="G54" s="499">
        <f>IF(G47&lt;I47,I47/G47-1,G47/I47-1)</f>
        <v>0.18965517241379315</v>
      </c>
      <c r="H54" s="500" t="str">
        <f>IF(OR(G54&gt;=0.3,G54&lt;=-0.3),"超过30%","")</f>
        <v/>
      </c>
      <c r="I54" s="499">
        <f>IF(I47&lt;E47,E47/I47-1,I47/E47-1)</f>
        <v>0.21052631578947367</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2540</v>
      </c>
      <c r="B58" s="506"/>
      <c r="C58" s="1573" t="str">
        <f>YEAR(C7)&amp;"-"&amp;MONTH(C7)</f>
        <v>2018-9</v>
      </c>
      <c r="D58" s="1574">
        <f>EDATE(C58,-1)</f>
        <v>43313</v>
      </c>
      <c r="E58" s="1574">
        <f t="shared" ref="E58:N58" si="16">EDATE(D58,-1)</f>
        <v>43282</v>
      </c>
      <c r="F58" s="1574">
        <f t="shared" si="16"/>
        <v>43252</v>
      </c>
      <c r="G58" s="1574">
        <f t="shared" si="16"/>
        <v>43221</v>
      </c>
      <c r="H58" s="1574">
        <f t="shared" si="16"/>
        <v>43191</v>
      </c>
      <c r="I58" s="1574">
        <f t="shared" si="16"/>
        <v>43160</v>
      </c>
      <c r="J58" s="1574">
        <f t="shared" si="16"/>
        <v>43132</v>
      </c>
      <c r="K58" s="1574">
        <f t="shared" si="16"/>
        <v>43101</v>
      </c>
      <c r="L58" s="1574">
        <f t="shared" si="16"/>
        <v>43070</v>
      </c>
      <c r="M58" s="1574">
        <f t="shared" si="16"/>
        <v>43040</v>
      </c>
      <c r="N58" s="1574">
        <f t="shared" si="16"/>
        <v>43009</v>
      </c>
      <c r="O58" s="1574">
        <f>EDATE(N58,-1)</f>
        <v>42979</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2580</v>
      </c>
      <c r="B63" s="528" t="s">
        <v>2546</v>
      </c>
      <c r="C63" s="529" t="str">
        <f>C9</f>
        <v xml:space="preserve">商业 </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2550</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v>2</v>
      </c>
      <c r="F68" s="549">
        <v>3</v>
      </c>
      <c r="G68" s="549">
        <v>4</v>
      </c>
      <c r="H68" s="549">
        <v>5</v>
      </c>
      <c r="I68" s="549">
        <v>6</v>
      </c>
      <c r="J68" s="549"/>
      <c r="K68" s="550"/>
      <c r="L68" s="551"/>
      <c r="M68" s="552"/>
      <c r="N68" s="1151"/>
      <c r="O68" s="1151"/>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9"/>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9"/>
      <c r="Q84" s="504"/>
    </row>
    <row r="85" spans="1:17" ht="15.75" thickBot="1">
      <c r="A85" s="534"/>
      <c r="B85" s="543"/>
      <c r="C85" s="544">
        <v>100</v>
      </c>
      <c r="D85" s="544">
        <f>C85-$K23</f>
        <v>98.5</v>
      </c>
      <c r="E85" s="544">
        <f>D85-$K23</f>
        <v>97</v>
      </c>
      <c r="F85" s="544">
        <f>E85-$K23</f>
        <v>95.5</v>
      </c>
      <c r="G85" s="544">
        <f>F85-$K23</f>
        <v>94</v>
      </c>
      <c r="H85" s="544"/>
      <c r="I85" s="544"/>
      <c r="J85" s="544"/>
      <c r="K85" s="544"/>
      <c r="L85" s="544"/>
      <c r="M85" s="545"/>
      <c r="N85" s="1152"/>
      <c r="O85" s="1152"/>
      <c r="P85" s="2629"/>
      <c r="Q85" s="504"/>
    </row>
    <row r="86" spans="1:17" s="117" customFormat="1" ht="15.75" thickTop="1">
      <c r="A86" s="579"/>
      <c r="B86" s="538" t="s">
        <v>2672</v>
      </c>
      <c r="C86" s="2947" t="s">
        <v>3104</v>
      </c>
      <c r="D86" s="2947"/>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5.75" thickBot="1">
      <c r="A89" s="579"/>
      <c r="B89" s="543"/>
      <c r="C89" s="560"/>
      <c r="D89" s="536"/>
      <c r="E89" s="536"/>
      <c r="F89" s="536"/>
      <c r="G89" s="536"/>
      <c r="H89" s="536"/>
      <c r="I89" s="536"/>
      <c r="J89" s="536"/>
      <c r="K89" s="536"/>
      <c r="L89" s="536"/>
      <c r="M89" s="536"/>
      <c r="N89" s="1152"/>
      <c r="O89" s="1152"/>
      <c r="P89" s="2629"/>
      <c r="Q89" s="504"/>
    </row>
    <row r="90" spans="1:17" s="471" customFormat="1" ht="15.75" thickTop="1">
      <c r="A90" s="553"/>
      <c r="B90" s="538" t="str">
        <f>B27</f>
        <v>人流量</v>
      </c>
      <c r="C90" s="2947" t="s">
        <v>3106</v>
      </c>
      <c r="D90" s="554"/>
      <c r="E90" s="554"/>
      <c r="F90" s="554"/>
      <c r="G90" s="554"/>
      <c r="H90" s="555"/>
      <c r="I90" s="555"/>
      <c r="J90" s="555"/>
      <c r="K90" s="555"/>
      <c r="L90" s="556"/>
      <c r="M90" s="557"/>
      <c r="N90" s="1153"/>
      <c r="O90" s="1153"/>
      <c r="P90" s="2630"/>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0"/>
      <c r="Q91" s="559"/>
    </row>
    <row r="92" spans="1:17" ht="15.75" thickTop="1">
      <c r="A92" s="534"/>
      <c r="B92" s="538" t="str">
        <f>B28</f>
        <v>楼层</v>
      </c>
      <c r="C92" s="554"/>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2555</v>
      </c>
      <c r="B100" s="528" t="s">
        <v>2673</v>
      </c>
      <c r="C100" s="2946" t="s">
        <v>3108</v>
      </c>
      <c r="D100" s="2946" t="s">
        <v>3110</v>
      </c>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9"/>
      <c r="Q101" s="504"/>
    </row>
    <row r="102" spans="1:17" ht="29.25" thickTop="1">
      <c r="A102" s="534"/>
      <c r="B102" s="538" t="s">
        <v>2605</v>
      </c>
      <c r="C102" s="578" t="str">
        <f>C103&amp;"(含)"&amp;"-"&amp;D103</f>
        <v>0(含)-200000</v>
      </c>
      <c r="D102" s="578" t="str">
        <f t="shared" ref="D102:L102" si="23">D103&amp;"(含)"&amp;"-"&amp;E103</f>
        <v>200000(含)-400000</v>
      </c>
      <c r="E102" s="578" t="str">
        <f t="shared" si="23"/>
        <v>400000(含)-600000</v>
      </c>
      <c r="F102" s="578" t="str">
        <f t="shared" si="23"/>
        <v>600000(含)-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200000</v>
      </c>
      <c r="E103" s="595">
        <v>400000</v>
      </c>
      <c r="F103" s="595">
        <v>600000</v>
      </c>
      <c r="G103" s="595"/>
      <c r="H103" s="595"/>
      <c r="I103" s="595"/>
      <c r="J103" s="596"/>
      <c r="K103" s="596"/>
      <c r="L103" s="597"/>
      <c r="M103" s="598"/>
      <c r="N103" s="1153"/>
      <c r="O103" s="1153"/>
      <c r="P103" s="2630"/>
      <c r="Q103" s="559"/>
    </row>
    <row r="104" spans="1:17" s="471" customFormat="1" ht="15.75" thickBot="1">
      <c r="A104" s="553"/>
      <c r="B104" s="543"/>
      <c r="C104" s="560">
        <v>100</v>
      </c>
      <c r="D104" s="536">
        <v>101</v>
      </c>
      <c r="E104" s="536">
        <v>102</v>
      </c>
      <c r="F104" s="536">
        <v>103</v>
      </c>
      <c r="G104" s="536"/>
      <c r="H104" s="536"/>
      <c r="I104" s="536"/>
      <c r="J104" s="536"/>
      <c r="K104" s="536"/>
      <c r="L104" s="536"/>
      <c r="M104" s="537"/>
      <c r="N104" s="1152"/>
      <c r="O104" s="1152"/>
      <c r="P104" s="2630"/>
      <c r="Q104" s="559"/>
    </row>
    <row r="105" spans="1:17" ht="15" thickTop="1">
      <c r="A105" s="599"/>
      <c r="B105" s="538" t="s">
        <v>2606</v>
      </c>
      <c r="C105" s="2947" t="s">
        <v>3083</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9"/>
      <c r="Q106" s="504"/>
    </row>
    <row r="107" spans="1:17" ht="15" thickTop="1">
      <c r="A107" s="599"/>
      <c r="B107" s="538" t="s">
        <v>2608</v>
      </c>
      <c r="C107" s="2947" t="s">
        <v>3088</v>
      </c>
      <c r="D107" s="2947" t="s">
        <v>3089</v>
      </c>
      <c r="E107" s="2947" t="s">
        <v>3090</v>
      </c>
      <c r="F107" s="2948" t="s">
        <v>3091</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2"/>
      <c r="O108" s="1152"/>
      <c r="P108" s="262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9"/>
      <c r="Q111" s="504"/>
    </row>
    <row r="112" spans="1:17" s="471" customFormat="1" ht="15" thickTop="1">
      <c r="A112" s="593"/>
      <c r="B112" s="538" t="s">
        <v>2610</v>
      </c>
      <c r="C112" s="2947" t="s">
        <v>3164</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2674</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9"/>
      <c r="Q115" s="504"/>
    </row>
    <row r="116" spans="1:17" ht="15" thickTop="1">
      <c r="A116" s="599"/>
      <c r="B116" s="538" t="s">
        <v>2675</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2676</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2677</v>
      </c>
      <c r="C120" s="583"/>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0"/>
      <c r="Q121" s="559"/>
    </row>
    <row r="122" spans="1:17" ht="15" thickTop="1">
      <c r="A122" s="599"/>
      <c r="B122" s="538" t="s">
        <v>2612</v>
      </c>
      <c r="C122" s="2947" t="s">
        <v>3088</v>
      </c>
      <c r="D122" s="2947" t="s">
        <v>3089</v>
      </c>
      <c r="E122" s="2947" t="s">
        <v>3090</v>
      </c>
      <c r="F122" s="2948" t="s">
        <v>3091</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30"/>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8" t="s">
        <v>2678</v>
      </c>
      <c r="C1" s="1619" t="s">
        <v>2522</v>
      </c>
      <c r="D1" s="1620"/>
      <c r="E1" s="1629"/>
      <c r="F1" s="2583"/>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IF(C2="——",ROUND(C50*D3/10000,0),ROUND(C50*D3/10000,0)-D2)</f>
        <v>#DIV/0!</v>
      </c>
      <c r="C2" s="2585"/>
      <c r="D2" s="1364" t="e">
        <f ca="1">SUMIF(INDIRECT("'"&amp;F2&amp;"'"&amp;"!A:A"),"承租人权益价值",INDIRECT("'"&amp;F2&amp;"'"&amp;"!c:c"))</f>
        <v>#REF!</v>
      </c>
      <c r="E2" s="2586" t="s">
        <v>2323</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642216.18999999994</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2637</v>
      </c>
      <c r="B4" s="402"/>
      <c r="C4" s="3160" t="s">
        <v>2638</v>
      </c>
      <c r="D4" s="3173"/>
      <c r="E4" s="3174" t="s">
        <v>2639</v>
      </c>
      <c r="F4" s="3175"/>
      <c r="G4" s="3160" t="s">
        <v>2640</v>
      </c>
      <c r="H4" s="3173"/>
      <c r="I4" s="3160" t="s">
        <v>2641</v>
      </c>
      <c r="J4" s="3173"/>
      <c r="K4" s="610" t="s">
        <v>2642</v>
      </c>
      <c r="L4" s="1129"/>
      <c r="M4" s="1130"/>
      <c r="N4" s="1130"/>
      <c r="O4" s="1130"/>
      <c r="P4" s="3243" t="s">
        <v>2643</v>
      </c>
      <c r="Q4" s="3244"/>
      <c r="R4" s="3247" t="s">
        <v>2639</v>
      </c>
      <c r="S4" s="3248"/>
      <c r="T4" s="3247" t="s">
        <v>2640</v>
      </c>
      <c r="U4" s="3248"/>
      <c r="V4" s="3249" t="s">
        <v>2641</v>
      </c>
      <c r="W4" s="3249"/>
      <c r="X4" s="2669"/>
      <c r="Y4" s="3247" t="s">
        <v>2643</v>
      </c>
      <c r="Z4" s="3248"/>
      <c r="AA4" s="3252" t="s">
        <v>2639</v>
      </c>
      <c r="AB4" s="3252" t="s">
        <v>2640</v>
      </c>
      <c r="AC4" s="3240" t="s">
        <v>2641</v>
      </c>
    </row>
    <row r="5" spans="1:29" ht="15">
      <c r="A5" s="404"/>
      <c r="B5" s="405"/>
      <c r="C5" s="3190" t="s">
        <v>2534</v>
      </c>
      <c r="D5" s="3191"/>
      <c r="E5" s="3198" t="s">
        <v>2535</v>
      </c>
      <c r="F5" s="3199"/>
      <c r="G5" s="3190" t="s">
        <v>2536</v>
      </c>
      <c r="H5" s="3191"/>
      <c r="I5" s="3190" t="s">
        <v>2537</v>
      </c>
      <c r="J5" s="3191"/>
      <c r="K5" s="610"/>
      <c r="L5" s="1129"/>
      <c r="M5" s="1130"/>
      <c r="N5" s="1130"/>
      <c r="O5" s="1130"/>
      <c r="P5" s="3245"/>
      <c r="Q5" s="3179"/>
      <c r="R5" s="3184"/>
      <c r="S5" s="3185"/>
      <c r="T5" s="3184"/>
      <c r="U5" s="3185"/>
      <c r="V5" s="3169"/>
      <c r="W5" s="3169"/>
      <c r="X5" s="1812"/>
      <c r="Y5" s="3184"/>
      <c r="Z5" s="3185"/>
      <c r="AA5" s="3171"/>
      <c r="AB5" s="3171"/>
      <c r="AC5" s="3241"/>
    </row>
    <row r="6" spans="1:29" ht="15.75" thickBot="1">
      <c r="A6" s="406"/>
      <c r="B6" s="407"/>
      <c r="C6" s="3195" t="s">
        <v>2538</v>
      </c>
      <c r="D6" s="3189"/>
      <c r="E6" s="3251" t="s">
        <v>2538</v>
      </c>
      <c r="F6" s="3197"/>
      <c r="G6" s="3195" t="s">
        <v>2538</v>
      </c>
      <c r="H6" s="3189"/>
      <c r="I6" s="3195" t="s">
        <v>2538</v>
      </c>
      <c r="J6" s="3189"/>
      <c r="K6" s="610" t="s">
        <v>2539</v>
      </c>
      <c r="L6" s="1129"/>
      <c r="M6" s="1130"/>
      <c r="N6" s="1130"/>
      <c r="O6" s="1130"/>
      <c r="P6" s="3246"/>
      <c r="Q6" s="3181"/>
      <c r="R6" s="3184"/>
      <c r="S6" s="3185"/>
      <c r="T6" s="3186"/>
      <c r="U6" s="3187"/>
      <c r="V6" s="3169"/>
      <c r="W6" s="3169"/>
      <c r="X6" s="1812"/>
      <c r="Y6" s="3186"/>
      <c r="Z6" s="3187"/>
      <c r="AA6" s="3172"/>
      <c r="AB6" s="3172"/>
      <c r="AC6" s="3242"/>
    </row>
    <row r="7" spans="1:29" s="117" customFormat="1" ht="15.75" thickBot="1">
      <c r="A7" s="408" t="s">
        <v>2540</v>
      </c>
      <c r="B7" s="409"/>
      <c r="C7" s="410">
        <f>'数据-取费表'!B2</f>
        <v>43371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0" t="s">
        <v>2541</v>
      </c>
      <c r="Q7" s="3194"/>
      <c r="R7" s="770" t="s">
        <v>17</v>
      </c>
      <c r="S7" s="771">
        <f t="shared" ref="S7:S15" si="0">F7</f>
        <v>0</v>
      </c>
      <c r="T7" s="770" t="s">
        <v>17</v>
      </c>
      <c r="U7" s="771">
        <f t="shared" ref="U7:U15" si="1">H7</f>
        <v>0</v>
      </c>
      <c r="V7" s="770" t="s">
        <v>17</v>
      </c>
      <c r="W7" s="771">
        <f t="shared" ref="W7:W15" si="2">J7</f>
        <v>0</v>
      </c>
      <c r="X7" s="772"/>
      <c r="Y7" s="3192" t="s">
        <v>2541</v>
      </c>
      <c r="Z7" s="3193"/>
      <c r="AA7" s="773" t="e">
        <f>D7/F7</f>
        <v>#DIV/0!</v>
      </c>
      <c r="AB7" s="773" t="e">
        <f>D7/H7</f>
        <v>#DIV/0!</v>
      </c>
      <c r="AC7" s="2670"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0" t="s">
        <v>2544</v>
      </c>
      <c r="Q8" s="3193"/>
      <c r="R8" s="770" t="s">
        <v>17</v>
      </c>
      <c r="S8" s="771">
        <f t="shared" si="0"/>
        <v>0</v>
      </c>
      <c r="T8" s="770" t="s">
        <v>17</v>
      </c>
      <c r="U8" s="771">
        <f t="shared" si="1"/>
        <v>0</v>
      </c>
      <c r="V8" s="770" t="s">
        <v>17</v>
      </c>
      <c r="W8" s="771">
        <f t="shared" si="2"/>
        <v>0</v>
      </c>
      <c r="X8" s="772"/>
      <c r="Y8" s="3192" t="s">
        <v>2544</v>
      </c>
      <c r="Z8" s="3193"/>
      <c r="AA8" s="773" t="e">
        <f t="shared" ref="AA8:AA47" si="3">D8/F8</f>
        <v>#DIV/0!</v>
      </c>
      <c r="AB8" s="773" t="e">
        <f t="shared" ref="AB8:AB47" si="4">D8/H8</f>
        <v>#DIV/0!</v>
      </c>
      <c r="AC8" s="2670"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62" t="s">
        <v>2547</v>
      </c>
      <c r="Q9" s="1794" t="str">
        <f t="shared" ref="Q9:Q15" si="6">B9</f>
        <v>用途</v>
      </c>
      <c r="R9" s="770" t="s">
        <v>17</v>
      </c>
      <c r="S9" s="771">
        <f t="shared" si="0"/>
        <v>100</v>
      </c>
      <c r="T9" s="770" t="s">
        <v>17</v>
      </c>
      <c r="U9" s="771">
        <f t="shared" si="1"/>
        <v>100</v>
      </c>
      <c r="V9" s="770" t="s">
        <v>17</v>
      </c>
      <c r="W9" s="771">
        <f t="shared" si="2"/>
        <v>100</v>
      </c>
      <c r="X9" s="772"/>
      <c r="Y9" s="3011" t="s">
        <v>2548</v>
      </c>
      <c r="Z9" s="55" t="str">
        <f t="shared" ref="Z9:Z15" si="7">Q9</f>
        <v>用途</v>
      </c>
      <c r="AA9" s="773">
        <f t="shared" si="3"/>
        <v>1</v>
      </c>
      <c r="AB9" s="773">
        <f t="shared" si="4"/>
        <v>1</v>
      </c>
      <c r="AC9" s="2670">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62"/>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0">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62"/>
      <c r="Q11" s="1794"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162"/>
      <c r="Q12" s="1794">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162"/>
      <c r="Q13" s="1794">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162"/>
      <c r="Q14" s="1794">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0">
        <f t="shared" si="5"/>
        <v>1</v>
      </c>
    </row>
    <row r="15" spans="1:29" ht="71.25">
      <c r="A15" s="440" t="s">
        <v>2551</v>
      </c>
      <c r="B15" s="629" t="s">
        <v>2679</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3" t="s">
        <v>2552</v>
      </c>
      <c r="Q15" s="1809" t="str">
        <f t="shared" si="6"/>
        <v>办公集聚程度</v>
      </c>
      <c r="R15" s="774" t="s">
        <v>17</v>
      </c>
      <c r="S15" s="775">
        <f t="shared" si="0"/>
        <v>100</v>
      </c>
      <c r="T15" s="774" t="s">
        <v>17</v>
      </c>
      <c r="U15" s="775">
        <f t="shared" si="1"/>
        <v>100</v>
      </c>
      <c r="V15" s="774" t="s">
        <v>17</v>
      </c>
      <c r="W15" s="775">
        <f t="shared" si="2"/>
        <v>100</v>
      </c>
      <c r="X15" s="1812"/>
      <c r="Y15" s="3165" t="s">
        <v>2552</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39"/>
      <c r="M16" s="1130"/>
      <c r="N16" s="1130"/>
      <c r="O16" s="1130"/>
      <c r="P16" s="3234"/>
      <c r="Q16" s="1809"/>
      <c r="R16" s="774"/>
      <c r="S16" s="775"/>
      <c r="T16" s="774"/>
      <c r="U16" s="775"/>
      <c r="V16" s="774"/>
      <c r="W16" s="775"/>
      <c r="X16" s="1812"/>
      <c r="Y16" s="3166"/>
      <c r="Z16" s="1813"/>
      <c r="AA16" s="1810">
        <v>1</v>
      </c>
      <c r="AB16" s="1810">
        <v>1</v>
      </c>
      <c r="AC16" s="2673">
        <v>1</v>
      </c>
    </row>
    <row r="17" spans="1:29" ht="71.25">
      <c r="A17" s="428"/>
      <c r="B17" s="631" t="s">
        <v>2090</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4"/>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39"/>
      <c r="M18" s="1130"/>
      <c r="N18" s="1130"/>
      <c r="O18" s="1130"/>
      <c r="P18" s="3234"/>
      <c r="Q18" s="1809"/>
      <c r="R18" s="774"/>
      <c r="S18" s="775"/>
      <c r="T18" s="774"/>
      <c r="U18" s="775"/>
      <c r="V18" s="774"/>
      <c r="W18" s="775"/>
      <c r="X18" s="1812"/>
      <c r="Y18" s="3166"/>
      <c r="Z18" s="1813"/>
      <c r="AA18" s="1810">
        <v>1</v>
      </c>
      <c r="AB18" s="1810">
        <v>1</v>
      </c>
      <c r="AC18" s="2673">
        <v>1</v>
      </c>
    </row>
    <row r="19" spans="1:29" ht="42.75">
      <c r="A19" s="428"/>
      <c r="B19" s="631" t="s">
        <v>2680</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4"/>
      <c r="Q19" s="1809" t="str">
        <f>B19</f>
        <v>公共配套设施</v>
      </c>
      <c r="R19" s="774" t="s">
        <v>17</v>
      </c>
      <c r="S19" s="775">
        <f>F19</f>
        <v>100</v>
      </c>
      <c r="T19" s="774" t="s">
        <v>17</v>
      </c>
      <c r="U19" s="775">
        <f>H19</f>
        <v>100</v>
      </c>
      <c r="V19" s="774" t="s">
        <v>17</v>
      </c>
      <c r="W19" s="775">
        <f>J19</f>
        <v>100</v>
      </c>
      <c r="X19" s="1812"/>
      <c r="Y19" s="3166"/>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39"/>
      <c r="M20" s="1130"/>
      <c r="N20" s="1130"/>
      <c r="O20" s="1130"/>
      <c r="P20" s="3234"/>
      <c r="Q20" s="1809"/>
      <c r="R20" s="774"/>
      <c r="S20" s="775"/>
      <c r="T20" s="774"/>
      <c r="U20" s="775"/>
      <c r="V20" s="774"/>
      <c r="W20" s="775"/>
      <c r="X20" s="1812"/>
      <c r="Y20" s="3166"/>
      <c r="Z20" s="1813"/>
      <c r="AA20" s="1810">
        <v>1</v>
      </c>
      <c r="AB20" s="1810">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4"/>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234"/>
      <c r="Q22" s="1809"/>
      <c r="R22" s="774"/>
      <c r="S22" s="775"/>
      <c r="T22" s="774"/>
      <c r="U22" s="775"/>
      <c r="V22" s="774"/>
      <c r="W22" s="775"/>
      <c r="X22" s="1812"/>
      <c r="Y22" s="3166"/>
      <c r="Z22" s="1813"/>
      <c r="AA22" s="1810">
        <v>1</v>
      </c>
      <c r="AB22" s="1810">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4"/>
      <c r="Q23" s="1809" t="str">
        <f>B23</f>
        <v>环境质量</v>
      </c>
      <c r="R23" s="774" t="s">
        <v>17</v>
      </c>
      <c r="S23" s="775">
        <f>F23</f>
        <v>100</v>
      </c>
      <c r="T23" s="774" t="s">
        <v>17</v>
      </c>
      <c r="U23" s="775">
        <f>H23</f>
        <v>100</v>
      </c>
      <c r="V23" s="774" t="s">
        <v>17</v>
      </c>
      <c r="W23" s="775">
        <f>J23</f>
        <v>100</v>
      </c>
      <c r="X23" s="1812"/>
      <c r="Y23" s="3166"/>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39"/>
      <c r="M24" s="1130"/>
      <c r="N24" s="1130"/>
      <c r="O24" s="1130"/>
      <c r="P24" s="3234"/>
      <c r="Q24" s="1809"/>
      <c r="R24" s="774"/>
      <c r="S24" s="775"/>
      <c r="T24" s="774"/>
      <c r="U24" s="775"/>
      <c r="V24" s="774"/>
      <c r="W24" s="775"/>
      <c r="X24" s="1812"/>
      <c r="Y24" s="3166"/>
      <c r="Z24" s="1813"/>
      <c r="AA24" s="1810">
        <v>1</v>
      </c>
      <c r="AB24" s="1810">
        <v>1</v>
      </c>
      <c r="AC24" s="2673">
        <v>1</v>
      </c>
    </row>
    <row r="25" spans="1:29" ht="27">
      <c r="A25" s="404"/>
      <c r="B25" s="631" t="s">
        <v>2683</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234"/>
      <c r="Q25" s="1809" t="str">
        <f>B25</f>
        <v>毗邻道路的类型与等级</v>
      </c>
      <c r="R25" s="774" t="s">
        <v>17</v>
      </c>
      <c r="S25" s="775">
        <f>F25</f>
        <v>100</v>
      </c>
      <c r="T25" s="774" t="s">
        <v>17</v>
      </c>
      <c r="U25" s="775">
        <f>H25</f>
        <v>100</v>
      </c>
      <c r="V25" s="774" t="s">
        <v>17</v>
      </c>
      <c r="W25" s="775">
        <f>J25</f>
        <v>100</v>
      </c>
      <c r="X25" s="1812"/>
      <c r="Y25" s="3166"/>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39"/>
      <c r="M26" s="1130"/>
      <c r="N26" s="1130"/>
      <c r="O26" s="1130"/>
      <c r="P26" s="3234"/>
      <c r="Q26" s="1809"/>
      <c r="R26" s="774"/>
      <c r="S26" s="775"/>
      <c r="T26" s="774"/>
      <c r="U26" s="775"/>
      <c r="V26" s="774"/>
      <c r="W26" s="775"/>
      <c r="X26" s="1812"/>
      <c r="Y26" s="3166"/>
      <c r="Z26" s="1813"/>
      <c r="AA26" s="1810">
        <v>1</v>
      </c>
      <c r="AB26" s="1810">
        <v>1</v>
      </c>
      <c r="AC26" s="2673">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4"/>
      <c r="Q27" s="1809" t="str">
        <f t="shared" ref="Q27:Q47" si="11">B27</f>
        <v>楼层</v>
      </c>
      <c r="R27" s="774" t="s">
        <v>17</v>
      </c>
      <c r="S27" s="775">
        <f>F27</f>
        <v>100</v>
      </c>
      <c r="T27" s="774" t="s">
        <v>17</v>
      </c>
      <c r="U27" s="775">
        <f>H27</f>
        <v>100</v>
      </c>
      <c r="V27" s="774" t="s">
        <v>17</v>
      </c>
      <c r="W27" s="775">
        <f>J27</f>
        <v>100</v>
      </c>
      <c r="X27" s="1812"/>
      <c r="Y27" s="3166"/>
      <c r="Z27" s="1813" t="str">
        <f>Q27</f>
        <v>楼层</v>
      </c>
      <c r="AA27" s="1810">
        <f t="shared" si="3"/>
        <v>1</v>
      </c>
      <c r="AB27" s="1810">
        <f t="shared" si="4"/>
        <v>1</v>
      </c>
      <c r="AC27" s="2673">
        <f t="shared" si="5"/>
        <v>1</v>
      </c>
    </row>
    <row r="28" spans="1:29" s="117" customFormat="1" ht="15">
      <c r="A28" s="431"/>
      <c r="B28" s="631" t="s">
        <v>2684</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234"/>
      <c r="Q28" s="1794" t="str">
        <f t="shared" si="11"/>
        <v>朝向</v>
      </c>
      <c r="R28" s="770" t="s">
        <v>17</v>
      </c>
      <c r="S28" s="771">
        <f>F28</f>
        <v>100</v>
      </c>
      <c r="T28" s="770" t="s">
        <v>17</v>
      </c>
      <c r="U28" s="771">
        <f>H28</f>
        <v>100</v>
      </c>
      <c r="V28" s="770" t="s">
        <v>17</v>
      </c>
      <c r="W28" s="771">
        <f>J28</f>
        <v>100</v>
      </c>
      <c r="X28" s="772"/>
      <c r="Y28" s="3166"/>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34"/>
      <c r="Q29" s="1809">
        <f t="shared" si="11"/>
        <v>111</v>
      </c>
      <c r="R29" s="774" t="s">
        <v>17</v>
      </c>
      <c r="S29" s="775">
        <f t="shared" ref="S29:S47" si="12">F29</f>
        <v>100</v>
      </c>
      <c r="T29" s="774" t="s">
        <v>17</v>
      </c>
      <c r="U29" s="775">
        <f t="shared" ref="U29:U47" si="13">H29</f>
        <v>100</v>
      </c>
      <c r="V29" s="774" t="s">
        <v>17</v>
      </c>
      <c r="W29" s="775">
        <f t="shared" ref="W29:W47" si="14">J29</f>
        <v>100</v>
      </c>
      <c r="X29" s="1812"/>
      <c r="Y29" s="3166"/>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34"/>
      <c r="Q30" s="1809">
        <f t="shared" si="11"/>
        <v>111</v>
      </c>
      <c r="R30" s="774" t="s">
        <v>17</v>
      </c>
      <c r="S30" s="775">
        <f t="shared" si="12"/>
        <v>100</v>
      </c>
      <c r="T30" s="774" t="s">
        <v>17</v>
      </c>
      <c r="U30" s="775">
        <f t="shared" si="13"/>
        <v>100</v>
      </c>
      <c r="V30" s="774" t="s">
        <v>17</v>
      </c>
      <c r="W30" s="775">
        <f t="shared" si="14"/>
        <v>100</v>
      </c>
      <c r="X30" s="1812"/>
      <c r="Y30" s="3166"/>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34"/>
      <c r="Q31" s="1809">
        <f t="shared" si="11"/>
        <v>111</v>
      </c>
      <c r="R31" s="774" t="s">
        <v>17</v>
      </c>
      <c r="S31" s="775">
        <f t="shared" si="12"/>
        <v>100</v>
      </c>
      <c r="T31" s="774" t="s">
        <v>17</v>
      </c>
      <c r="U31" s="775">
        <f t="shared" si="13"/>
        <v>100</v>
      </c>
      <c r="V31" s="774" t="s">
        <v>17</v>
      </c>
      <c r="W31" s="775">
        <f t="shared" si="14"/>
        <v>100</v>
      </c>
      <c r="X31" s="1812"/>
      <c r="Y31" s="3166"/>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34"/>
      <c r="Q32" s="1809">
        <f t="shared" si="11"/>
        <v>111</v>
      </c>
      <c r="R32" s="774" t="s">
        <v>17</v>
      </c>
      <c r="S32" s="775">
        <f t="shared" si="12"/>
        <v>100</v>
      </c>
      <c r="T32" s="774" t="s">
        <v>17</v>
      </c>
      <c r="U32" s="775">
        <f t="shared" si="13"/>
        <v>100</v>
      </c>
      <c r="V32" s="774" t="s">
        <v>17</v>
      </c>
      <c r="W32" s="775">
        <f t="shared" si="14"/>
        <v>100</v>
      </c>
      <c r="X32" s="1812"/>
      <c r="Y32" s="3166"/>
      <c r="Z32" s="1813">
        <f t="shared" si="15"/>
        <v>111</v>
      </c>
      <c r="AA32" s="1810">
        <f t="shared" si="3"/>
        <v>1</v>
      </c>
      <c r="AB32" s="1810">
        <f t="shared" si="4"/>
        <v>1</v>
      </c>
      <c r="AC32" s="2673">
        <f t="shared" si="5"/>
        <v>1</v>
      </c>
    </row>
    <row r="33" spans="1:29" ht="15">
      <c r="A33" s="440" t="s">
        <v>2555</v>
      </c>
      <c r="B33" s="71" t="s">
        <v>2685</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229" t="s">
        <v>2557</v>
      </c>
      <c r="Q33" s="1809" t="str">
        <f t="shared" si="11"/>
        <v>建筑类型</v>
      </c>
      <c r="R33" s="774" t="s">
        <v>17</v>
      </c>
      <c r="S33" s="775">
        <f t="shared" si="12"/>
        <v>100</v>
      </c>
      <c r="T33" s="774" t="s">
        <v>17</v>
      </c>
      <c r="U33" s="775">
        <f t="shared" si="13"/>
        <v>100</v>
      </c>
      <c r="V33" s="774" t="s">
        <v>17</v>
      </c>
      <c r="W33" s="775">
        <f t="shared" si="14"/>
        <v>100</v>
      </c>
      <c r="X33" s="1812"/>
      <c r="Y33" s="3168" t="s">
        <v>2557</v>
      </c>
      <c r="Z33" s="1813" t="str">
        <f t="shared" si="15"/>
        <v>建筑类型</v>
      </c>
      <c r="AA33" s="1810">
        <f t="shared" si="3"/>
        <v>1</v>
      </c>
      <c r="AB33" s="1810">
        <f t="shared" si="4"/>
        <v>1</v>
      </c>
      <c r="AC33" s="2673">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0"/>
      <c r="Q34" s="776" t="str">
        <f t="shared" si="11"/>
        <v>项目建筑规模</v>
      </c>
      <c r="R34" s="777" t="s">
        <v>17</v>
      </c>
      <c r="S34" s="778" t="e">
        <f t="shared" si="12"/>
        <v>#N/A</v>
      </c>
      <c r="T34" s="777" t="s">
        <v>17</v>
      </c>
      <c r="U34" s="778" t="e">
        <f t="shared" si="13"/>
        <v>#N/A</v>
      </c>
      <c r="V34" s="777" t="s">
        <v>17</v>
      </c>
      <c r="W34" s="778" t="e">
        <f t="shared" si="14"/>
        <v>#N/A</v>
      </c>
      <c r="X34" s="779"/>
      <c r="Y34" s="3168"/>
      <c r="Z34" s="780" t="str">
        <f t="shared" si="15"/>
        <v>项目建筑规模</v>
      </c>
      <c r="AA34" s="1810" t="e">
        <f t="shared" si="3"/>
        <v>#N/A</v>
      </c>
      <c r="AB34" s="1810" t="e">
        <f t="shared" si="4"/>
        <v>#N/A</v>
      </c>
      <c r="AC34" s="2673"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0"/>
      <c r="Q35" s="1809" t="str">
        <f t="shared" si="11"/>
        <v>建筑结构</v>
      </c>
      <c r="R35" s="774" t="s">
        <v>17</v>
      </c>
      <c r="S35" s="775">
        <f t="shared" si="12"/>
        <v>100</v>
      </c>
      <c r="T35" s="774" t="s">
        <v>17</v>
      </c>
      <c r="U35" s="775">
        <f t="shared" si="13"/>
        <v>100</v>
      </c>
      <c r="V35" s="774" t="s">
        <v>17</v>
      </c>
      <c r="W35" s="775">
        <f t="shared" si="14"/>
        <v>100</v>
      </c>
      <c r="X35" s="1812"/>
      <c r="Y35" s="3168"/>
      <c r="Z35" s="1813" t="str">
        <f t="shared" si="15"/>
        <v>建筑结构</v>
      </c>
      <c r="AA35" s="1810">
        <f t="shared" si="3"/>
        <v>1</v>
      </c>
      <c r="AB35" s="1810">
        <f t="shared" si="4"/>
        <v>1</v>
      </c>
      <c r="AC35" s="267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0"/>
      <c r="Q36" s="1809" t="str">
        <f t="shared" si="11"/>
        <v>公共部分装修</v>
      </c>
      <c r="R36" s="774" t="s">
        <v>17</v>
      </c>
      <c r="S36" s="775">
        <f t="shared" si="12"/>
        <v>100</v>
      </c>
      <c r="T36" s="774" t="s">
        <v>17</v>
      </c>
      <c r="U36" s="775">
        <f t="shared" si="13"/>
        <v>100</v>
      </c>
      <c r="V36" s="774" t="s">
        <v>17</v>
      </c>
      <c r="W36" s="775">
        <f t="shared" si="14"/>
        <v>100</v>
      </c>
      <c r="X36" s="1812"/>
      <c r="Y36" s="3168"/>
      <c r="Z36" s="1813" t="str">
        <f t="shared" si="15"/>
        <v>公共部分装修</v>
      </c>
      <c r="AA36" s="1810">
        <f t="shared" si="3"/>
        <v>1</v>
      </c>
      <c r="AB36" s="1810">
        <f t="shared" si="4"/>
        <v>1</v>
      </c>
      <c r="AC36" s="267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0"/>
      <c r="Q37" s="1809" t="str">
        <f t="shared" si="11"/>
        <v>成新度</v>
      </c>
      <c r="R37" s="774" t="s">
        <v>17</v>
      </c>
      <c r="S37" s="775" t="e">
        <f t="shared" si="12"/>
        <v>#N/A</v>
      </c>
      <c r="T37" s="774" t="s">
        <v>17</v>
      </c>
      <c r="U37" s="775" t="e">
        <f t="shared" si="13"/>
        <v>#N/A</v>
      </c>
      <c r="V37" s="774" t="s">
        <v>17</v>
      </c>
      <c r="W37" s="775" t="e">
        <f t="shared" si="14"/>
        <v>#N/A</v>
      </c>
      <c r="X37" s="1812"/>
      <c r="Y37" s="3168"/>
      <c r="Z37" s="1813" t="str">
        <f t="shared" si="15"/>
        <v>成新度</v>
      </c>
      <c r="AA37" s="1810" t="e">
        <f t="shared" si="3"/>
        <v>#N/A</v>
      </c>
      <c r="AB37" s="1810" t="e">
        <f t="shared" si="4"/>
        <v>#N/A</v>
      </c>
      <c r="AC37" s="267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0"/>
      <c r="Q38" s="1794"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7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0" t="s">
        <v>2557</v>
      </c>
      <c r="Q39" s="1809" t="str">
        <f t="shared" si="11"/>
        <v>物业管理</v>
      </c>
      <c r="R39" s="774" t="s">
        <v>17</v>
      </c>
      <c r="S39" s="775">
        <f t="shared" si="12"/>
        <v>100</v>
      </c>
      <c r="T39" s="774" t="s">
        <v>17</v>
      </c>
      <c r="U39" s="775">
        <f t="shared" si="13"/>
        <v>100</v>
      </c>
      <c r="V39" s="774" t="s">
        <v>17</v>
      </c>
      <c r="W39" s="775">
        <f t="shared" si="14"/>
        <v>100</v>
      </c>
      <c r="X39" s="1812"/>
      <c r="Y39" s="3168" t="s">
        <v>2557</v>
      </c>
      <c r="Z39" s="1813" t="str">
        <f t="shared" si="15"/>
        <v>物业管理</v>
      </c>
      <c r="AA39" s="1810">
        <f t="shared" si="3"/>
        <v>1</v>
      </c>
      <c r="AB39" s="1810">
        <f t="shared" si="4"/>
        <v>1</v>
      </c>
      <c r="AC39" s="267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0"/>
      <c r="Q40" s="1809" t="str">
        <f t="shared" si="11"/>
        <v>市政基础设施</v>
      </c>
      <c r="R40" s="774" t="s">
        <v>17</v>
      </c>
      <c r="S40" s="775">
        <f t="shared" si="12"/>
        <v>100</v>
      </c>
      <c r="T40" s="774" t="s">
        <v>17</v>
      </c>
      <c r="U40" s="775">
        <f t="shared" si="13"/>
        <v>100</v>
      </c>
      <c r="V40" s="774" t="s">
        <v>17</v>
      </c>
      <c r="W40" s="775">
        <f t="shared" si="14"/>
        <v>100</v>
      </c>
      <c r="X40" s="1812"/>
      <c r="Y40" s="3168"/>
      <c r="Z40" s="1813" t="str">
        <f t="shared" si="15"/>
        <v>市政基础设施</v>
      </c>
      <c r="AA40" s="1810">
        <f t="shared" si="3"/>
        <v>1</v>
      </c>
      <c r="AB40" s="1810">
        <f t="shared" si="4"/>
        <v>1</v>
      </c>
      <c r="AC40" s="267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0"/>
      <c r="Q41" s="1809" t="str">
        <f t="shared" si="11"/>
        <v>层高</v>
      </c>
      <c r="R41" s="774" t="s">
        <v>17</v>
      </c>
      <c r="S41" s="775">
        <f t="shared" si="12"/>
        <v>100</v>
      </c>
      <c r="T41" s="774" t="s">
        <v>17</v>
      </c>
      <c r="U41" s="775">
        <f t="shared" si="13"/>
        <v>100</v>
      </c>
      <c r="V41" s="774" t="s">
        <v>17</v>
      </c>
      <c r="W41" s="775">
        <f t="shared" si="14"/>
        <v>100</v>
      </c>
      <c r="X41" s="1812"/>
      <c r="Y41" s="3168"/>
      <c r="Z41" s="1813" t="str">
        <f t="shared" si="15"/>
        <v>层高</v>
      </c>
      <c r="AA41" s="1810">
        <f t="shared" si="3"/>
        <v>1</v>
      </c>
      <c r="AB41" s="1810">
        <f t="shared" si="4"/>
        <v>1</v>
      </c>
      <c r="AC41" s="2673">
        <f t="shared" si="5"/>
        <v>1</v>
      </c>
    </row>
    <row r="42" spans="1:29" s="471" customFormat="1" ht="15">
      <c r="A42" s="468"/>
      <c r="B42" s="1811"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0"/>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10">
        <f t="shared" si="3"/>
        <v>1</v>
      </c>
      <c r="AB42" s="1810">
        <f t="shared" si="4"/>
        <v>1</v>
      </c>
      <c r="AC42" s="267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0"/>
      <c r="Q43" s="1809" t="str">
        <f t="shared" si="11"/>
        <v>内部装修</v>
      </c>
      <c r="R43" s="774" t="s">
        <v>17</v>
      </c>
      <c r="S43" s="775">
        <f t="shared" si="12"/>
        <v>100</v>
      </c>
      <c r="T43" s="774" t="s">
        <v>17</v>
      </c>
      <c r="U43" s="775">
        <f t="shared" si="13"/>
        <v>100</v>
      </c>
      <c r="V43" s="774" t="s">
        <v>17</v>
      </c>
      <c r="W43" s="775">
        <f t="shared" si="14"/>
        <v>100</v>
      </c>
      <c r="X43" s="1812"/>
      <c r="Y43" s="3168"/>
      <c r="Z43" s="1813" t="str">
        <f t="shared" si="15"/>
        <v>内部装修</v>
      </c>
      <c r="AA43" s="1810">
        <f t="shared" si="3"/>
        <v>1</v>
      </c>
      <c r="AB43" s="1810">
        <f t="shared" si="4"/>
        <v>1</v>
      </c>
      <c r="AC43" s="2673">
        <f t="shared" si="5"/>
        <v>1</v>
      </c>
    </row>
    <row r="44" spans="1:29" ht="15">
      <c r="A44" s="472"/>
      <c r="B44" s="422" t="s">
        <v>2568</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230"/>
      <c r="Q44" s="1809" t="str">
        <f t="shared" si="11"/>
        <v>内部装修维护情况</v>
      </c>
      <c r="R44" s="774" t="s">
        <v>17</v>
      </c>
      <c r="S44" s="775">
        <f t="shared" si="12"/>
        <v>100</v>
      </c>
      <c r="T44" s="774" t="s">
        <v>17</v>
      </c>
      <c r="U44" s="775">
        <f t="shared" si="13"/>
        <v>100</v>
      </c>
      <c r="V44" s="774" t="s">
        <v>17</v>
      </c>
      <c r="W44" s="775">
        <f t="shared" si="14"/>
        <v>100</v>
      </c>
      <c r="X44" s="1812"/>
      <c r="Y44" s="3168"/>
      <c r="Z44" s="1813" t="str">
        <f t="shared" si="15"/>
        <v>内部装修维护情况</v>
      </c>
      <c r="AA44" s="1810">
        <f t="shared" si="3"/>
        <v>1</v>
      </c>
      <c r="AB44" s="1810">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0"/>
      <c r="Q45" s="1794">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0"/>
      <c r="Q46" s="1809">
        <f t="shared" si="11"/>
        <v>111</v>
      </c>
      <c r="R46" s="774" t="s">
        <v>17</v>
      </c>
      <c r="S46" s="775">
        <f t="shared" si="12"/>
        <v>100</v>
      </c>
      <c r="T46" s="774" t="s">
        <v>17</v>
      </c>
      <c r="U46" s="775">
        <f t="shared" si="13"/>
        <v>100</v>
      </c>
      <c r="V46" s="774" t="s">
        <v>17</v>
      </c>
      <c r="W46" s="775">
        <f t="shared" si="14"/>
        <v>100</v>
      </c>
      <c r="X46" s="1812"/>
      <c r="Y46" s="3168"/>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1"/>
      <c r="Q47" s="1809">
        <f t="shared" si="11"/>
        <v>111</v>
      </c>
      <c r="R47" s="774" t="s">
        <v>17</v>
      </c>
      <c r="S47" s="775">
        <f t="shared" si="12"/>
        <v>100</v>
      </c>
      <c r="T47" s="774" t="s">
        <v>17</v>
      </c>
      <c r="U47" s="775">
        <f t="shared" si="13"/>
        <v>100</v>
      </c>
      <c r="V47" s="774" t="s">
        <v>17</v>
      </c>
      <c r="W47" s="775">
        <f t="shared" si="14"/>
        <v>100</v>
      </c>
      <c r="X47" s="1812"/>
      <c r="Y47" s="3232"/>
      <c r="Z47" s="1813">
        <f t="shared" si="15"/>
        <v>111</v>
      </c>
      <c r="AA47" s="1810">
        <f t="shared" si="3"/>
        <v>1</v>
      </c>
      <c r="AB47" s="1810">
        <f t="shared" si="4"/>
        <v>1</v>
      </c>
      <c r="AC47" s="2673">
        <f t="shared" si="5"/>
        <v>1</v>
      </c>
    </row>
    <row r="48" spans="1:29" ht="15">
      <c r="A48" s="479" t="s">
        <v>2569</v>
      </c>
      <c r="B48" s="480"/>
      <c r="C48" s="1406" t="s">
        <v>1</v>
      </c>
      <c r="D48" s="1407"/>
      <c r="E48" s="1408"/>
      <c r="F48" s="1409"/>
      <c r="G48" s="1410"/>
      <c r="H48" s="1411"/>
      <c r="I48" s="1408"/>
      <c r="J48" s="485"/>
      <c r="K48" s="783"/>
      <c r="L48" s="1142"/>
      <c r="M48" s="1130"/>
      <c r="N48" s="1130"/>
      <c r="O48" s="1130"/>
      <c r="P48" s="3162" t="str">
        <f>A48</f>
        <v>成交单价（元/平方米）</v>
      </c>
      <c r="Q48" s="3163"/>
      <c r="R48" s="3228">
        <f>E48</f>
        <v>0</v>
      </c>
      <c r="S48" s="3228"/>
      <c r="T48" s="3228">
        <f>G48</f>
        <v>0</v>
      </c>
      <c r="U48" s="3228"/>
      <c r="V48" s="3228">
        <f>I48</f>
        <v>0</v>
      </c>
      <c r="W48" s="3228"/>
      <c r="X48" s="446"/>
      <c r="Y48" s="781"/>
      <c r="Z48" s="446"/>
      <c r="AA48" s="446"/>
      <c r="AB48" s="446"/>
      <c r="AC48" s="630"/>
    </row>
    <row r="49" spans="1:29" ht="15.75" thickBot="1">
      <c r="A49" s="486" t="s">
        <v>2661</v>
      </c>
      <c r="B49" s="487"/>
      <c r="C49" s="1412" t="e">
        <f>R50</f>
        <v>#DIV/0!</v>
      </c>
      <c r="D49" s="1413"/>
      <c r="E49" s="1414" t="e">
        <f>R49</f>
        <v>#DIV/0!</v>
      </c>
      <c r="F49" s="1414"/>
      <c r="G49" s="1412" t="e">
        <f>T49</f>
        <v>#DIV/0!</v>
      </c>
      <c r="H49" s="1413"/>
      <c r="I49" s="1414" t="e">
        <f>V49</f>
        <v>#DIV/0!</v>
      </c>
      <c r="J49" s="489"/>
      <c r="K49" s="784"/>
      <c r="L49" s="1142"/>
      <c r="M49" s="1130"/>
      <c r="N49" s="1130"/>
      <c r="O49" s="1130"/>
      <c r="P49" s="3162" t="str">
        <f>A49</f>
        <v>比较价值（元/平方米）</v>
      </c>
      <c r="Q49" s="3163"/>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2662</v>
      </c>
      <c r="B50" s="493"/>
      <c r="C50" s="1416" t="e">
        <f>R50</f>
        <v>#DIV/0!</v>
      </c>
      <c r="D50" s="1416"/>
      <c r="E50" s="1416"/>
      <c r="F50" s="1416"/>
      <c r="G50" s="1416"/>
      <c r="H50" s="1416"/>
      <c r="I50" s="1416"/>
      <c r="J50" s="494"/>
      <c r="K50" s="785"/>
      <c r="L50" s="1142"/>
      <c r="M50" s="1130"/>
      <c r="N50" s="1130"/>
      <c r="O50" s="1130"/>
      <c r="P50" s="3237" t="str">
        <f>A50</f>
        <v>估价对象XX用房的比较价值（楼面单价，元/平方米）</v>
      </c>
      <c r="Q50" s="3238"/>
      <c r="R50" s="3239" t="e">
        <f>IF(F1="售价",ROUND(AVERAGE(R49:V49),0),ROUND(AVERAGE(R49:V49),1))</f>
        <v>#DIV/0!</v>
      </c>
      <c r="S50" s="3239"/>
      <c r="T50" s="3239"/>
      <c r="U50" s="3239"/>
      <c r="V50" s="3239"/>
      <c r="W50" s="3239"/>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2666</v>
      </c>
      <c r="B58" s="759"/>
      <c r="C58" s="764"/>
      <c r="D58" s="764"/>
      <c r="E58" s="764"/>
      <c r="F58" s="765"/>
      <c r="G58" s="765"/>
      <c r="H58" s="764"/>
      <c r="I58" s="764"/>
      <c r="J58" s="764"/>
      <c r="K58" s="766"/>
      <c r="L58" s="1160"/>
      <c r="M58" s="1158"/>
      <c r="N58" s="1158"/>
      <c r="O58" s="1158"/>
      <c r="P58" s="2680"/>
      <c r="Q58" s="504"/>
    </row>
    <row r="59" spans="1:29" s="508" customFormat="1" ht="15">
      <c r="A59" s="505" t="s">
        <v>2540</v>
      </c>
      <c r="B59" s="506"/>
      <c r="C59" s="1573" t="str">
        <f>YEAR(C7)&amp;"-"&amp;MONTH(C7)</f>
        <v>2018-9</v>
      </c>
      <c r="D59" s="1574">
        <f>EDATE(C59,-1)</f>
        <v>43313</v>
      </c>
      <c r="E59" s="1574">
        <f>EDATE(D59,-1)</f>
        <v>43282</v>
      </c>
      <c r="F59" s="1574">
        <f t="shared" ref="F59:O59" si="16">EDATE(E59,-1)</f>
        <v>43252</v>
      </c>
      <c r="G59" s="1574">
        <f t="shared" si="16"/>
        <v>43221</v>
      </c>
      <c r="H59" s="1574">
        <f t="shared" si="16"/>
        <v>43191</v>
      </c>
      <c r="I59" s="1574">
        <f t="shared" si="16"/>
        <v>43160</v>
      </c>
      <c r="J59" s="1574">
        <f t="shared" si="16"/>
        <v>43132</v>
      </c>
      <c r="K59" s="1574">
        <f t="shared" si="16"/>
        <v>43101</v>
      </c>
      <c r="L59" s="1574">
        <f t="shared" si="16"/>
        <v>43070</v>
      </c>
      <c r="M59" s="1574">
        <f t="shared" si="16"/>
        <v>43040</v>
      </c>
      <c r="N59" s="1574">
        <f t="shared" si="16"/>
        <v>43009</v>
      </c>
      <c r="O59" s="1574">
        <f t="shared" si="16"/>
        <v>42979</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2577</v>
      </c>
      <c r="B61" s="516"/>
      <c r="C61" s="517"/>
      <c r="D61" s="518"/>
      <c r="E61" s="518"/>
      <c r="F61" s="518"/>
      <c r="G61" s="518"/>
      <c r="H61" s="518"/>
      <c r="I61" s="518"/>
      <c r="J61" s="518"/>
      <c r="K61" s="518"/>
      <c r="L61" s="518"/>
      <c r="M61" s="519"/>
      <c r="N61" s="518"/>
      <c r="O61" s="519"/>
      <c r="P61" s="2681"/>
      <c r="Q61" s="504"/>
    </row>
    <row r="62" spans="1:29" s="117" customFormat="1" ht="15">
      <c r="A62" s="521" t="s">
        <v>2542</v>
      </c>
      <c r="B62" s="510"/>
      <c r="C62" s="522" t="s">
        <v>2644</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2580</v>
      </c>
      <c r="B64" s="528" t="s">
        <v>2546</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2691</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2555</v>
      </c>
      <c r="B101" s="528" t="s">
        <v>2604</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2606</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2608</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2609</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2610</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2693</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2676</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2612</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8" t="s">
        <v>2694</v>
      </c>
      <c r="C1" s="1619" t="s">
        <v>2522</v>
      </c>
      <c r="D1" s="1620"/>
      <c r="E1" s="1629"/>
      <c r="F1" s="2583"/>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IF(C2="——",ROUND(C43*D3/10000,0),ROUND(C43*D3/10000,0)-D2)</f>
        <v>#DIV/0!</v>
      </c>
      <c r="C2" s="2585"/>
      <c r="D2" s="1123" t="e">
        <f ca="1">SUMIF(INDIRECT("'"&amp;F2&amp;"'"&amp;"!A:A"),"承租人权益价值",INDIRECT("'"&amp;F2&amp;"'"&amp;"!c:c"))</f>
        <v>#REF!</v>
      </c>
      <c r="E2" s="2586" t="s">
        <v>2323</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642216.18999999994</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2637</v>
      </c>
      <c r="B4" s="402"/>
      <c r="C4" s="3160" t="s">
        <v>2638</v>
      </c>
      <c r="D4" s="3173"/>
      <c r="E4" s="3174" t="s">
        <v>2639</v>
      </c>
      <c r="F4" s="3175"/>
      <c r="G4" s="3160" t="s">
        <v>2640</v>
      </c>
      <c r="H4" s="3173"/>
      <c r="I4" s="3160" t="s">
        <v>2641</v>
      </c>
      <c r="J4" s="3173"/>
      <c r="K4" s="610" t="s">
        <v>2642</v>
      </c>
      <c r="L4" s="1129"/>
      <c r="M4" s="1130"/>
      <c r="N4" s="1130"/>
      <c r="O4" s="1130"/>
      <c r="P4" s="3176" t="s">
        <v>2643</v>
      </c>
      <c r="Q4" s="3177"/>
      <c r="R4" s="3182" t="s">
        <v>2639</v>
      </c>
      <c r="S4" s="3183"/>
      <c r="T4" s="3182" t="s">
        <v>2640</v>
      </c>
      <c r="U4" s="3183"/>
      <c r="V4" s="3169" t="s">
        <v>2641</v>
      </c>
      <c r="W4" s="3169"/>
      <c r="X4" s="1812"/>
      <c r="Y4" s="3182" t="s">
        <v>2643</v>
      </c>
      <c r="Z4" s="3183"/>
      <c r="AA4" s="3170" t="s">
        <v>2639</v>
      </c>
      <c r="AB4" s="3171" t="s">
        <v>2640</v>
      </c>
      <c r="AC4" s="3170" t="s">
        <v>2641</v>
      </c>
    </row>
    <row r="5" spans="1:29" ht="15">
      <c r="A5" s="404"/>
      <c r="B5" s="405"/>
      <c r="C5" s="3190" t="s">
        <v>2534</v>
      </c>
      <c r="D5" s="3191"/>
      <c r="E5" s="3198" t="s">
        <v>2535</v>
      </c>
      <c r="F5" s="3199"/>
      <c r="G5" s="3190" t="s">
        <v>2536</v>
      </c>
      <c r="H5" s="3191"/>
      <c r="I5" s="3190" t="s">
        <v>2537</v>
      </c>
      <c r="J5" s="3191"/>
      <c r="K5" s="610"/>
      <c r="L5" s="1129"/>
      <c r="M5" s="1130"/>
      <c r="N5" s="1130"/>
      <c r="O5" s="1130"/>
      <c r="P5" s="3178"/>
      <c r="Q5" s="3179"/>
      <c r="R5" s="3184"/>
      <c r="S5" s="3185"/>
      <c r="T5" s="3184"/>
      <c r="U5" s="3185"/>
      <c r="V5" s="3169"/>
      <c r="W5" s="3169"/>
      <c r="X5" s="1812"/>
      <c r="Y5" s="3184"/>
      <c r="Z5" s="3185"/>
      <c r="AA5" s="3171"/>
      <c r="AB5" s="3171"/>
      <c r="AC5" s="3171"/>
    </row>
    <row r="6" spans="1:29" ht="15.75" thickBot="1">
      <c r="A6" s="406"/>
      <c r="B6" s="407"/>
      <c r="C6" s="3195" t="s">
        <v>2538</v>
      </c>
      <c r="D6" s="3189"/>
      <c r="E6" s="3251" t="s">
        <v>2538</v>
      </c>
      <c r="F6" s="3197"/>
      <c r="G6" s="3195" t="s">
        <v>2538</v>
      </c>
      <c r="H6" s="3189"/>
      <c r="I6" s="3195" t="s">
        <v>2538</v>
      </c>
      <c r="J6" s="3189"/>
      <c r="K6" s="610" t="s">
        <v>2539</v>
      </c>
      <c r="L6" s="1129"/>
      <c r="M6" s="1130"/>
      <c r="N6" s="1130"/>
      <c r="O6" s="1130"/>
      <c r="P6" s="3180"/>
      <c r="Q6" s="3181"/>
      <c r="R6" s="3184"/>
      <c r="S6" s="3185"/>
      <c r="T6" s="3186"/>
      <c r="U6" s="3187"/>
      <c r="V6" s="3169"/>
      <c r="W6" s="3169"/>
      <c r="X6" s="1812"/>
      <c r="Y6" s="3186"/>
      <c r="Z6" s="3187"/>
      <c r="AA6" s="3172"/>
      <c r="AB6" s="3172"/>
      <c r="AC6" s="3172"/>
    </row>
    <row r="7" spans="1:29" s="117" customFormat="1" ht="15.75" thickBot="1">
      <c r="A7" s="408" t="s">
        <v>2540</v>
      </c>
      <c r="B7" s="409"/>
      <c r="C7" s="410">
        <f>'数据-取费表'!B2</f>
        <v>43371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2" t="s">
        <v>2541</v>
      </c>
      <c r="Q7" s="3194"/>
      <c r="R7" s="770" t="s">
        <v>17</v>
      </c>
      <c r="S7" s="771">
        <f t="shared" ref="S7:S15" si="0">F7</f>
        <v>0</v>
      </c>
      <c r="T7" s="770" t="s">
        <v>17</v>
      </c>
      <c r="U7" s="771">
        <f t="shared" ref="U7:U15" si="1">H7</f>
        <v>0</v>
      </c>
      <c r="V7" s="770" t="s">
        <v>17</v>
      </c>
      <c r="W7" s="771">
        <f t="shared" ref="W7:W15" si="2">J7</f>
        <v>0</v>
      </c>
      <c r="X7" s="772"/>
      <c r="Y7" s="3192" t="s">
        <v>2541</v>
      </c>
      <c r="Z7" s="3193"/>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2" t="s">
        <v>2544</v>
      </c>
      <c r="Q8" s="3193"/>
      <c r="R8" s="770" t="s">
        <v>17</v>
      </c>
      <c r="S8" s="771">
        <f t="shared" si="0"/>
        <v>0</v>
      </c>
      <c r="T8" s="770" t="s">
        <v>17</v>
      </c>
      <c r="U8" s="771">
        <f t="shared" si="1"/>
        <v>0</v>
      </c>
      <c r="V8" s="770" t="s">
        <v>17</v>
      </c>
      <c r="W8" s="771">
        <f t="shared" si="2"/>
        <v>0</v>
      </c>
      <c r="X8" s="772"/>
      <c r="Y8" s="3192" t="s">
        <v>2544</v>
      </c>
      <c r="Z8" s="3193"/>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63" t="s">
        <v>2547</v>
      </c>
      <c r="Q9" s="1794" t="str">
        <f t="shared" ref="Q9:Q15" si="6">B9</f>
        <v>用途</v>
      </c>
      <c r="R9" s="770" t="s">
        <v>17</v>
      </c>
      <c r="S9" s="771">
        <f t="shared" si="0"/>
        <v>100</v>
      </c>
      <c r="T9" s="770" t="s">
        <v>17</v>
      </c>
      <c r="U9" s="771">
        <f t="shared" si="1"/>
        <v>100</v>
      </c>
      <c r="V9" s="770" t="s">
        <v>17</v>
      </c>
      <c r="W9" s="771">
        <f t="shared" si="2"/>
        <v>100</v>
      </c>
      <c r="X9" s="772"/>
      <c r="Y9" s="3011"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63"/>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63"/>
      <c r="Q11" s="1794"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163"/>
      <c r="Q12" s="1794">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163"/>
      <c r="Q14" s="1794">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2551</v>
      </c>
      <c r="B15" s="69" t="s">
        <v>2695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65" t="s">
        <v>2552</v>
      </c>
      <c r="Q15" s="1809" t="str">
        <f t="shared" si="6"/>
        <v>产业集聚程度</v>
      </c>
      <c r="R15" s="774" t="s">
        <v>17</v>
      </c>
      <c r="S15" s="775">
        <f t="shared" si="0"/>
        <v>100</v>
      </c>
      <c r="T15" s="774" t="s">
        <v>17</v>
      </c>
      <c r="U15" s="775">
        <f t="shared" si="1"/>
        <v>100</v>
      </c>
      <c r="V15" s="774" t="s">
        <v>17</v>
      </c>
      <c r="W15" s="775">
        <f t="shared" si="2"/>
        <v>100</v>
      </c>
      <c r="X15" s="1812"/>
      <c r="Y15" s="3165" t="s">
        <v>2552</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66"/>
      <c r="Q16" s="1809"/>
      <c r="R16" s="774"/>
      <c r="S16" s="775"/>
      <c r="T16" s="774"/>
      <c r="U16" s="775"/>
      <c r="V16" s="774"/>
      <c r="W16" s="775"/>
      <c r="X16" s="1812"/>
      <c r="Y16" s="3166"/>
      <c r="Z16" s="1813"/>
      <c r="AA16" s="1810">
        <v>1</v>
      </c>
      <c r="AB16" s="1810">
        <v>1</v>
      </c>
      <c r="AC16" s="1810">
        <v>1</v>
      </c>
    </row>
    <row r="17" spans="1:29" ht="85.5">
      <c r="A17" s="428"/>
      <c r="B17" s="451" t="s">
        <v>2090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66"/>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8"/>
      <c r="P18" s="3166"/>
      <c r="Q18" s="1809"/>
      <c r="R18" s="774"/>
      <c r="S18" s="775"/>
      <c r="T18" s="774"/>
      <c r="U18" s="775"/>
      <c r="V18" s="774"/>
      <c r="W18" s="775"/>
      <c r="X18" s="1812"/>
      <c r="Y18" s="3166"/>
      <c r="Z18" s="1813"/>
      <c r="AA18" s="1810">
        <v>1</v>
      </c>
      <c r="AB18" s="1810">
        <v>1</v>
      </c>
      <c r="AC18" s="1810">
        <v>1</v>
      </c>
    </row>
    <row r="19" spans="1:29" ht="42.75">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66"/>
      <c r="Q19" s="1809" t="str">
        <f>B19</f>
        <v>公共配套设施</v>
      </c>
      <c r="R19" s="774" t="s">
        <v>17</v>
      </c>
      <c r="S19" s="775">
        <f>F19</f>
        <v>100</v>
      </c>
      <c r="T19" s="774" t="s">
        <v>17</v>
      </c>
      <c r="U19" s="775">
        <f>H19</f>
        <v>100</v>
      </c>
      <c r="V19" s="774" t="s">
        <v>17</v>
      </c>
      <c r="W19" s="775">
        <f>J19</f>
        <v>100</v>
      </c>
      <c r="X19" s="1812"/>
      <c r="Y19" s="3166"/>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8"/>
      <c r="P20" s="3166"/>
      <c r="Q20" s="1809"/>
      <c r="R20" s="774"/>
      <c r="S20" s="775"/>
      <c r="T20" s="774"/>
      <c r="U20" s="775"/>
      <c r="V20" s="774"/>
      <c r="W20" s="775"/>
      <c r="X20" s="1812"/>
      <c r="Y20" s="3166"/>
      <c r="Z20" s="1813"/>
      <c r="AA20" s="1810">
        <v>1</v>
      </c>
      <c r="AB20" s="1810">
        <v>1</v>
      </c>
      <c r="AC20" s="1810">
        <v>1</v>
      </c>
    </row>
    <row r="21" spans="1:29" ht="28.5">
      <c r="A21" s="428"/>
      <c r="B21" s="1383"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66"/>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8"/>
      <c r="P22" s="3166"/>
      <c r="Q22" s="1809"/>
      <c r="R22" s="774"/>
      <c r="S22" s="775"/>
      <c r="T22" s="774"/>
      <c r="U22" s="775"/>
      <c r="V22" s="774"/>
      <c r="W22" s="775"/>
      <c r="X22" s="1812"/>
      <c r="Y22" s="3166"/>
      <c r="Z22" s="1813"/>
      <c r="AA22" s="1810">
        <v>1</v>
      </c>
      <c r="AB22" s="1810">
        <v>1</v>
      </c>
      <c r="AC22" s="1810">
        <v>1</v>
      </c>
    </row>
    <row r="23" spans="1:29" ht="71.25">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66"/>
      <c r="Q23" s="1809" t="str">
        <f>B23</f>
        <v>环境质量</v>
      </c>
      <c r="R23" s="774" t="s">
        <v>17</v>
      </c>
      <c r="S23" s="775">
        <f>F23</f>
        <v>100</v>
      </c>
      <c r="T23" s="774" t="s">
        <v>17</v>
      </c>
      <c r="U23" s="775">
        <f>H23</f>
        <v>100</v>
      </c>
      <c r="V23" s="774" t="s">
        <v>17</v>
      </c>
      <c r="W23" s="775">
        <f>J23</f>
        <v>100</v>
      </c>
      <c r="X23" s="1812"/>
      <c r="Y23" s="3166"/>
      <c r="Z23" s="1813" t="str">
        <f>Q23</f>
        <v>环境质量</v>
      </c>
      <c r="AA23" s="1810">
        <f t="shared" si="3"/>
        <v>1</v>
      </c>
      <c r="AB23" s="1810">
        <f t="shared" si="4"/>
        <v>1</v>
      </c>
      <c r="AC23" s="1810">
        <f t="shared" si="5"/>
        <v>1</v>
      </c>
    </row>
    <row r="24" spans="1:29" ht="15">
      <c r="A24" s="428"/>
      <c r="B24" s="1383"/>
      <c r="C24" s="447"/>
      <c r="D24" s="448"/>
      <c r="E24" s="2604"/>
      <c r="F24" s="449"/>
      <c r="G24" s="2603"/>
      <c r="H24" s="448"/>
      <c r="I24" s="2604"/>
      <c r="J24" s="448"/>
      <c r="K24" s="615"/>
      <c r="L24" s="1139"/>
      <c r="M24" s="1130"/>
      <c r="N24" s="1130"/>
      <c r="O24" s="1138"/>
      <c r="P24" s="3166"/>
      <c r="Q24" s="1809"/>
      <c r="R24" s="774"/>
      <c r="S24" s="775"/>
      <c r="T24" s="774"/>
      <c r="U24" s="775"/>
      <c r="V24" s="774"/>
      <c r="W24" s="775"/>
      <c r="X24" s="1812"/>
      <c r="Y24" s="316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66"/>
      <c r="Q25" s="1809">
        <f>B25</f>
        <v>111</v>
      </c>
      <c r="R25" s="774" t="s">
        <v>17</v>
      </c>
      <c r="S25" s="775">
        <f>F25</f>
        <v>100</v>
      </c>
      <c r="T25" s="774" t="s">
        <v>17</v>
      </c>
      <c r="U25" s="775">
        <f>H25</f>
        <v>100</v>
      </c>
      <c r="V25" s="774" t="s">
        <v>17</v>
      </c>
      <c r="W25" s="775">
        <f>J25</f>
        <v>100</v>
      </c>
      <c r="X25" s="1812"/>
      <c r="Y25" s="316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66"/>
      <c r="Q26" s="1809">
        <f t="shared" ref="Q26:Q40" si="11">B26</f>
        <v>111</v>
      </c>
      <c r="R26" s="774" t="s">
        <v>17</v>
      </c>
      <c r="S26" s="775">
        <f>F26</f>
        <v>100</v>
      </c>
      <c r="T26" s="774" t="s">
        <v>17</v>
      </c>
      <c r="U26" s="775">
        <f>H26</f>
        <v>100</v>
      </c>
      <c r="V26" s="774" t="s">
        <v>17</v>
      </c>
      <c r="W26" s="775">
        <f>J26</f>
        <v>100</v>
      </c>
      <c r="X26" s="1812"/>
      <c r="Y26" s="316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66"/>
      <c r="Q27" s="1794">
        <f t="shared" si="11"/>
        <v>111</v>
      </c>
      <c r="R27" s="770" t="s">
        <v>17</v>
      </c>
      <c r="S27" s="771">
        <f>F27</f>
        <v>100</v>
      </c>
      <c r="T27" s="770" t="s">
        <v>17</v>
      </c>
      <c r="U27" s="771">
        <f>H27</f>
        <v>100</v>
      </c>
      <c r="V27" s="770" t="s">
        <v>17</v>
      </c>
      <c r="W27" s="771">
        <f>J27</f>
        <v>100</v>
      </c>
      <c r="X27" s="772"/>
      <c r="Y27" s="3166"/>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66"/>
      <c r="Q28" s="1809">
        <f t="shared" si="11"/>
        <v>111</v>
      </c>
      <c r="R28" s="774" t="s">
        <v>17</v>
      </c>
      <c r="S28" s="775">
        <f t="shared" ref="S28:S40" si="12">F28</f>
        <v>100</v>
      </c>
      <c r="T28" s="774" t="s">
        <v>17</v>
      </c>
      <c r="U28" s="775">
        <f t="shared" ref="U28:U40" si="13">H28</f>
        <v>100</v>
      </c>
      <c r="V28" s="774" t="s">
        <v>17</v>
      </c>
      <c r="W28" s="775">
        <f t="shared" ref="W28:W40" si="14">J28</f>
        <v>100</v>
      </c>
      <c r="X28" s="1812"/>
      <c r="Y28" s="3166"/>
      <c r="Z28" s="1813">
        <f t="shared" ref="Z28:Z40" si="15">Q28</f>
        <v>111</v>
      </c>
      <c r="AA28" s="1810">
        <f t="shared" si="3"/>
        <v>1</v>
      </c>
      <c r="AB28" s="1810">
        <f t="shared" si="4"/>
        <v>1</v>
      </c>
      <c r="AC28" s="1810">
        <f t="shared" si="5"/>
        <v>1</v>
      </c>
    </row>
    <row r="29" spans="1:29" ht="15">
      <c r="A29" s="466" t="s">
        <v>2555</v>
      </c>
      <c r="B29" s="71" t="s">
        <v>2685</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3167" t="s">
        <v>2557</v>
      </c>
      <c r="Q29" s="1809" t="str">
        <f t="shared" si="11"/>
        <v>建筑类型</v>
      </c>
      <c r="R29" s="774" t="s">
        <v>17</v>
      </c>
      <c r="S29" s="775">
        <f t="shared" si="12"/>
        <v>100</v>
      </c>
      <c r="T29" s="774" t="s">
        <v>17</v>
      </c>
      <c r="U29" s="775">
        <f t="shared" si="13"/>
        <v>100</v>
      </c>
      <c r="V29" s="774" t="s">
        <v>17</v>
      </c>
      <c r="W29" s="775">
        <f t="shared" si="14"/>
        <v>100</v>
      </c>
      <c r="X29" s="1812"/>
      <c r="Y29" s="3168" t="s">
        <v>2557</v>
      </c>
      <c r="Z29" s="1813" t="str">
        <f t="shared" si="15"/>
        <v>建筑类型</v>
      </c>
      <c r="AA29" s="1810">
        <f t="shared" si="3"/>
        <v>1</v>
      </c>
      <c r="AB29" s="1810">
        <f t="shared" si="4"/>
        <v>1</v>
      </c>
      <c r="AC29" s="1810">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68"/>
      <c r="Q30" s="776" t="str">
        <f t="shared" si="11"/>
        <v>项目建筑规模</v>
      </c>
      <c r="R30" s="777" t="s">
        <v>17</v>
      </c>
      <c r="S30" s="778" t="e">
        <f t="shared" si="12"/>
        <v>#N/A</v>
      </c>
      <c r="T30" s="777" t="s">
        <v>17</v>
      </c>
      <c r="U30" s="778" t="e">
        <f t="shared" si="13"/>
        <v>#N/A</v>
      </c>
      <c r="V30" s="777" t="s">
        <v>17</v>
      </c>
      <c r="W30" s="778" t="e">
        <f t="shared" si="14"/>
        <v>#N/A</v>
      </c>
      <c r="X30" s="779"/>
      <c r="Y30" s="3168"/>
      <c r="Z30" s="780" t="str">
        <f t="shared" si="15"/>
        <v>项目建筑规模</v>
      </c>
      <c r="AA30" s="1810" t="e">
        <f t="shared" si="3"/>
        <v>#N/A</v>
      </c>
      <c r="AB30" s="1810" t="e">
        <f t="shared" si="4"/>
        <v>#N/A</v>
      </c>
      <c r="AC30" s="1810"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68"/>
      <c r="Q31" s="1809" t="str">
        <f t="shared" si="11"/>
        <v>建筑结构</v>
      </c>
      <c r="R31" s="774" t="s">
        <v>17</v>
      </c>
      <c r="S31" s="775">
        <f t="shared" si="12"/>
        <v>100</v>
      </c>
      <c r="T31" s="774" t="s">
        <v>17</v>
      </c>
      <c r="U31" s="775">
        <f t="shared" si="13"/>
        <v>100</v>
      </c>
      <c r="V31" s="774" t="s">
        <v>17</v>
      </c>
      <c r="W31" s="775">
        <f t="shared" si="14"/>
        <v>100</v>
      </c>
      <c r="X31" s="1812"/>
      <c r="Y31" s="3168"/>
      <c r="Z31" s="1813" t="str">
        <f t="shared" si="15"/>
        <v>建筑结构</v>
      </c>
      <c r="AA31" s="1810">
        <f t="shared" si="3"/>
        <v>1</v>
      </c>
      <c r="AB31" s="1810">
        <f t="shared" si="4"/>
        <v>1</v>
      </c>
      <c r="AC31" s="1810">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68"/>
      <c r="Q32" s="1809" t="str">
        <f t="shared" si="11"/>
        <v>公共部分装修</v>
      </c>
      <c r="R32" s="774" t="s">
        <v>17</v>
      </c>
      <c r="S32" s="775">
        <f t="shared" si="12"/>
        <v>100</v>
      </c>
      <c r="T32" s="774" t="s">
        <v>17</v>
      </c>
      <c r="U32" s="775">
        <f t="shared" si="13"/>
        <v>100</v>
      </c>
      <c r="V32" s="774" t="s">
        <v>17</v>
      </c>
      <c r="W32" s="775">
        <f t="shared" si="14"/>
        <v>100</v>
      </c>
      <c r="X32" s="1812"/>
      <c r="Y32" s="3168"/>
      <c r="Z32" s="1813" t="str">
        <f t="shared" si="15"/>
        <v>公共部分装修</v>
      </c>
      <c r="AA32" s="1810">
        <f t="shared" si="3"/>
        <v>1</v>
      </c>
      <c r="AB32" s="1810">
        <f t="shared" si="4"/>
        <v>1</v>
      </c>
      <c r="AC32" s="1810">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68"/>
      <c r="Q33" s="1809" t="str">
        <f t="shared" si="11"/>
        <v>成新度</v>
      </c>
      <c r="R33" s="774" t="s">
        <v>17</v>
      </c>
      <c r="S33" s="775" t="e">
        <f t="shared" si="12"/>
        <v>#N/A</v>
      </c>
      <c r="T33" s="774" t="s">
        <v>17</v>
      </c>
      <c r="U33" s="775" t="e">
        <f t="shared" si="13"/>
        <v>#N/A</v>
      </c>
      <c r="V33" s="774" t="s">
        <v>17</v>
      </c>
      <c r="W33" s="775" t="e">
        <f t="shared" si="14"/>
        <v>#N/A</v>
      </c>
      <c r="X33" s="1812"/>
      <c r="Y33" s="3168"/>
      <c r="Z33" s="1813" t="str">
        <f t="shared" si="15"/>
        <v>成新度</v>
      </c>
      <c r="AA33" s="1810" t="e">
        <f t="shared" si="3"/>
        <v>#N/A</v>
      </c>
      <c r="AB33" s="1810" t="e">
        <f t="shared" si="4"/>
        <v>#N/A</v>
      </c>
      <c r="AC33" s="1810"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68"/>
      <c r="Q34" s="1794"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68" t="s">
        <v>2557</v>
      </c>
      <c r="Q35" s="1809" t="str">
        <f t="shared" si="11"/>
        <v>市政基础设施</v>
      </c>
      <c r="R35" s="774" t="s">
        <v>17</v>
      </c>
      <c r="S35" s="775">
        <f t="shared" si="12"/>
        <v>100</v>
      </c>
      <c r="T35" s="774" t="s">
        <v>17</v>
      </c>
      <c r="U35" s="775">
        <f t="shared" si="13"/>
        <v>100</v>
      </c>
      <c r="V35" s="774" t="s">
        <v>17</v>
      </c>
      <c r="W35" s="775">
        <f t="shared" si="14"/>
        <v>100</v>
      </c>
      <c r="X35" s="1812"/>
      <c r="Y35" s="3168" t="s">
        <v>2557</v>
      </c>
      <c r="Z35" s="1813" t="str">
        <f t="shared" si="15"/>
        <v>市政基础设施</v>
      </c>
      <c r="AA35" s="1810">
        <f t="shared" si="3"/>
        <v>1</v>
      </c>
      <c r="AB35" s="1810">
        <f t="shared" si="4"/>
        <v>1</v>
      </c>
      <c r="AC35" s="1810">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68"/>
      <c r="Q36" s="1809" t="str">
        <f t="shared" si="11"/>
        <v>内部装修</v>
      </c>
      <c r="R36" s="774" t="s">
        <v>17</v>
      </c>
      <c r="S36" s="775">
        <f t="shared" si="12"/>
        <v>100</v>
      </c>
      <c r="T36" s="774" t="s">
        <v>17</v>
      </c>
      <c r="U36" s="775">
        <f t="shared" si="13"/>
        <v>100</v>
      </c>
      <c r="V36" s="774" t="s">
        <v>17</v>
      </c>
      <c r="W36" s="775">
        <f t="shared" si="14"/>
        <v>100</v>
      </c>
      <c r="X36" s="1812"/>
      <c r="Y36" s="3168"/>
      <c r="Z36" s="1813" t="str">
        <f t="shared" si="15"/>
        <v>内部装修</v>
      </c>
      <c r="AA36" s="1810">
        <f t="shared" si="3"/>
        <v>1</v>
      </c>
      <c r="AB36" s="1810">
        <f t="shared" si="4"/>
        <v>1</v>
      </c>
      <c r="AC36" s="1810">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68"/>
      <c r="Q37" s="1809" t="str">
        <f t="shared" si="11"/>
        <v>内部装修状况</v>
      </c>
      <c r="R37" s="774" t="s">
        <v>17</v>
      </c>
      <c r="S37" s="775">
        <f t="shared" si="12"/>
        <v>100</v>
      </c>
      <c r="T37" s="774" t="s">
        <v>17</v>
      </c>
      <c r="U37" s="775">
        <f t="shared" si="13"/>
        <v>100</v>
      </c>
      <c r="V37" s="774" t="s">
        <v>17</v>
      </c>
      <c r="W37" s="775">
        <f t="shared" si="14"/>
        <v>100</v>
      </c>
      <c r="X37" s="1812"/>
      <c r="Y37" s="316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68"/>
      <c r="Q39" s="1809">
        <f t="shared" si="11"/>
        <v>111</v>
      </c>
      <c r="R39" s="774" t="s">
        <v>17</v>
      </c>
      <c r="S39" s="775">
        <f t="shared" si="12"/>
        <v>100</v>
      </c>
      <c r="T39" s="774" t="s">
        <v>17</v>
      </c>
      <c r="U39" s="775">
        <f t="shared" si="13"/>
        <v>100</v>
      </c>
      <c r="V39" s="774" t="s">
        <v>17</v>
      </c>
      <c r="W39" s="775">
        <f t="shared" si="14"/>
        <v>100</v>
      </c>
      <c r="X39" s="1812"/>
      <c r="Y39" s="3168"/>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2"/>
      <c r="Q40" s="1809">
        <f t="shared" si="11"/>
        <v>111</v>
      </c>
      <c r="R40" s="774" t="s">
        <v>17</v>
      </c>
      <c r="S40" s="775">
        <f t="shared" si="12"/>
        <v>100</v>
      </c>
      <c r="T40" s="774" t="s">
        <v>17</v>
      </c>
      <c r="U40" s="775">
        <f t="shared" si="13"/>
        <v>100</v>
      </c>
      <c r="V40" s="774" t="s">
        <v>17</v>
      </c>
      <c r="W40" s="775">
        <f t="shared" si="14"/>
        <v>100</v>
      </c>
      <c r="X40" s="1812"/>
      <c r="Y40" s="3232"/>
      <c r="Z40" s="1813">
        <f t="shared" si="15"/>
        <v>111</v>
      </c>
      <c r="AA40" s="1810">
        <f t="shared" si="3"/>
        <v>1</v>
      </c>
      <c r="AB40" s="1810">
        <f t="shared" si="4"/>
        <v>1</v>
      </c>
      <c r="AC40" s="1810">
        <f t="shared" si="5"/>
        <v>1</v>
      </c>
    </row>
    <row r="41" spans="1:29" ht="15">
      <c r="A41" s="479" t="s">
        <v>2569</v>
      </c>
      <c r="B41" s="480"/>
      <c r="C41" s="1406" t="s">
        <v>1</v>
      </c>
      <c r="D41" s="1407"/>
      <c r="E41" s="1408"/>
      <c r="F41" s="1409"/>
      <c r="G41" s="1410"/>
      <c r="H41" s="1411"/>
      <c r="I41" s="1408"/>
      <c r="J41" s="1411"/>
      <c r="K41" s="783"/>
      <c r="L41" s="1142"/>
      <c r="M41" s="1143"/>
      <c r="N41" s="1130"/>
      <c r="O41" s="1143"/>
      <c r="P41" s="3163" t="str">
        <f>A41</f>
        <v>成交单价（元/平方米）</v>
      </c>
      <c r="Q41" s="3163"/>
      <c r="R41" s="3228">
        <f>E41</f>
        <v>0</v>
      </c>
      <c r="S41" s="3228"/>
      <c r="T41" s="3228">
        <f>G41</f>
        <v>0</v>
      </c>
      <c r="U41" s="3228"/>
      <c r="V41" s="3228">
        <f>I41</f>
        <v>0</v>
      </c>
      <c r="W41" s="3228"/>
      <c r="X41" s="759"/>
      <c r="Y41" s="781"/>
      <c r="Z41" s="759"/>
      <c r="AA41" s="759"/>
      <c r="AB41" s="759"/>
      <c r="AC41" s="759"/>
    </row>
    <row r="42" spans="1:29" ht="15.75" thickBot="1">
      <c r="A42" s="486" t="s">
        <v>2661</v>
      </c>
      <c r="B42" s="487"/>
      <c r="C42" s="1412" t="e">
        <f>R43</f>
        <v>#DIV/0!</v>
      </c>
      <c r="D42" s="1413"/>
      <c r="E42" s="1414" t="e">
        <f>R42</f>
        <v>#DIV/0!</v>
      </c>
      <c r="F42" s="1414"/>
      <c r="G42" s="1412" t="e">
        <f>T42</f>
        <v>#DIV/0!</v>
      </c>
      <c r="H42" s="1413"/>
      <c r="I42" s="1414" t="e">
        <f>V42</f>
        <v>#DIV/0!</v>
      </c>
      <c r="J42" s="1413"/>
      <c r="K42" s="784"/>
      <c r="L42" s="1142"/>
      <c r="M42" s="1143"/>
      <c r="N42" s="1130"/>
      <c r="O42" s="1143"/>
      <c r="P42" s="3163" t="str">
        <f>A42</f>
        <v>比较价值（元/平方米）</v>
      </c>
      <c r="Q42" s="3163"/>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2662</v>
      </c>
      <c r="B43" s="493"/>
      <c r="C43" s="1416" t="e">
        <f>R43</f>
        <v>#DIV/0!</v>
      </c>
      <c r="D43" s="1416"/>
      <c r="E43" s="1416"/>
      <c r="F43" s="1416"/>
      <c r="G43" s="1416"/>
      <c r="H43" s="1416"/>
      <c r="I43" s="1416"/>
      <c r="J43" s="1416"/>
      <c r="K43" s="785"/>
      <c r="L43" s="1142"/>
      <c r="M43" s="1143"/>
      <c r="N43" s="1143"/>
      <c r="O43" s="1143"/>
      <c r="P43" s="3157" t="str">
        <f>A43</f>
        <v>估价对象XX用房的比较价值（楼面单价，元/平方米）</v>
      </c>
      <c r="Q43" s="3158"/>
      <c r="R43" s="3227" t="e">
        <f>IF(F1="售价",ROUND(AVERAGE(R42:V42),0),ROUND(AVERAGE(R42:V42),1))</f>
        <v>#DIV/0!</v>
      </c>
      <c r="S43" s="3227"/>
      <c r="T43" s="3227"/>
      <c r="U43" s="3227"/>
      <c r="V43" s="3227"/>
      <c r="W43" s="3227"/>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2666</v>
      </c>
      <c r="B51" s="759"/>
      <c r="C51" s="764"/>
      <c r="D51" s="764"/>
      <c r="E51" s="764"/>
      <c r="F51" s="765"/>
      <c r="G51" s="765"/>
      <c r="H51" s="764"/>
      <c r="I51" s="764"/>
      <c r="J51" s="764"/>
      <c r="K51" s="1159"/>
      <c r="L51" s="1160"/>
      <c r="M51" s="1158"/>
      <c r="N51" s="1158"/>
      <c r="O51" s="1158"/>
      <c r="P51" s="503"/>
      <c r="Q51" s="504"/>
    </row>
    <row r="52" spans="1:17" s="508" customFormat="1" ht="15">
      <c r="A52" s="505" t="s">
        <v>2540</v>
      </c>
      <c r="B52" s="506"/>
      <c r="C52" s="1573" t="str">
        <f>YEAR(C7)&amp;"-"&amp;MONTH(C7)</f>
        <v>2018-9</v>
      </c>
      <c r="D52" s="1574">
        <f>EDATE(C52,-1)</f>
        <v>43313</v>
      </c>
      <c r="E52" s="1574">
        <f t="shared" ref="E52:O52" si="16">EDATE(D52,-1)</f>
        <v>43282</v>
      </c>
      <c r="F52" s="1574">
        <f t="shared" si="16"/>
        <v>43252</v>
      </c>
      <c r="G52" s="1574">
        <f t="shared" si="16"/>
        <v>43221</v>
      </c>
      <c r="H52" s="1574">
        <f t="shared" si="16"/>
        <v>43191</v>
      </c>
      <c r="I52" s="1574">
        <f t="shared" si="16"/>
        <v>43160</v>
      </c>
      <c r="J52" s="1574">
        <f t="shared" si="16"/>
        <v>43132</v>
      </c>
      <c r="K52" s="1574">
        <f t="shared" si="16"/>
        <v>43101</v>
      </c>
      <c r="L52" s="1574">
        <f t="shared" si="16"/>
        <v>43070</v>
      </c>
      <c r="M52" s="1574">
        <f t="shared" si="16"/>
        <v>43040</v>
      </c>
      <c r="N52" s="1574">
        <f t="shared" si="16"/>
        <v>43009</v>
      </c>
      <c r="O52" s="1574">
        <f t="shared" si="16"/>
        <v>42979</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t="s">
        <v>3062</v>
      </c>
      <c r="C1" s="1619" t="s">
        <v>2522</v>
      </c>
      <c r="D1" s="1620" t="s">
        <v>3062</v>
      </c>
      <c r="E1" s="1621"/>
      <c r="F1" s="2583" t="s">
        <v>3097</v>
      </c>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2322</v>
      </c>
      <c r="B2" s="1417">
        <f ca="1">IF(C2="——",IF(B37="元/平方米",ROUND(C39*D3/10000,0),ROUND(F3*C39/10000,0)),IF(B37="元/平方米",ROUND(C39*D3/10000,0),ROUND(F3*C39/10000,0))-D2)</f>
        <v>47088</v>
      </c>
      <c r="C2" s="2585"/>
      <c r="D2" s="1123">
        <f ca="1">SUMIF(INDIRECT("'"&amp;F2&amp;"'"&amp;"!A:A"),"承租人权益价值",INDIRECT("'"&amp;F2&amp;"'"&amp;"!c:c"))</f>
        <v>0</v>
      </c>
      <c r="E2" s="2586" t="s">
        <v>2323</v>
      </c>
      <c r="F2" s="2587" t="s">
        <v>3111</v>
      </c>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2324</v>
      </c>
      <c r="B3" s="609">
        <f ca="1">IF(AND(C2="——",B37="元/平方米"),C39,ROUND(B2*10000/D3,0))</f>
        <v>3776</v>
      </c>
      <c r="C3" s="400" t="s">
        <v>2636</v>
      </c>
      <c r="D3" s="399">
        <f>SUMIF('数据-汇总表'!$C19:$C33,D1,'数据-汇总表'!$E19:$E33)</f>
        <v>124699.67</v>
      </c>
      <c r="E3" s="400" t="s">
        <v>2700</v>
      </c>
      <c r="F3" s="399">
        <f>SUMIF('数据-取费表'!A5:A15,D1,'数据-取费表'!AH5:AH15)</f>
        <v>3819</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2637</v>
      </c>
      <c r="B4" s="402"/>
      <c r="C4" s="3160" t="s">
        <v>2638</v>
      </c>
      <c r="D4" s="3173"/>
      <c r="E4" s="3174" t="s">
        <v>2639</v>
      </c>
      <c r="F4" s="3175"/>
      <c r="G4" s="3160" t="s">
        <v>2640</v>
      </c>
      <c r="H4" s="3173"/>
      <c r="I4" s="3160" t="s">
        <v>2641</v>
      </c>
      <c r="J4" s="3173"/>
      <c r="K4" s="610" t="s">
        <v>2642</v>
      </c>
      <c r="L4" s="1129"/>
      <c r="M4" s="1130"/>
      <c r="N4" s="1130"/>
      <c r="O4" s="1130"/>
      <c r="P4" s="3176" t="s">
        <v>2643</v>
      </c>
      <c r="Q4" s="3177"/>
      <c r="R4" s="3182" t="s">
        <v>2639</v>
      </c>
      <c r="S4" s="3183"/>
      <c r="T4" s="3182" t="s">
        <v>2640</v>
      </c>
      <c r="U4" s="3183"/>
      <c r="V4" s="3169" t="s">
        <v>2641</v>
      </c>
      <c r="W4" s="3169"/>
      <c r="X4" s="1812"/>
      <c r="Y4" s="3182" t="s">
        <v>2643</v>
      </c>
      <c r="Z4" s="3183"/>
      <c r="AA4" s="3170" t="s">
        <v>2639</v>
      </c>
      <c r="AB4" s="3171" t="s">
        <v>2640</v>
      </c>
      <c r="AC4" s="3170" t="s">
        <v>2641</v>
      </c>
    </row>
    <row r="5" spans="1:29" ht="21" customHeight="1">
      <c r="A5" s="404"/>
      <c r="B5" s="405"/>
      <c r="C5" s="3190" t="s">
        <v>2534</v>
      </c>
      <c r="D5" s="3191"/>
      <c r="E5" s="3236" t="s">
        <v>3256</v>
      </c>
      <c r="F5" s="3199"/>
      <c r="G5" s="3235" t="s">
        <v>3069</v>
      </c>
      <c r="H5" s="3191"/>
      <c r="I5" s="3235" t="s">
        <v>3071</v>
      </c>
      <c r="J5" s="3191"/>
      <c r="K5" s="610"/>
      <c r="L5" s="1129"/>
      <c r="M5" s="1130"/>
      <c r="N5" s="1130"/>
      <c r="O5" s="1130"/>
      <c r="P5" s="3178"/>
      <c r="Q5" s="3179"/>
      <c r="R5" s="3184"/>
      <c r="S5" s="3185"/>
      <c r="T5" s="3184"/>
      <c r="U5" s="3185"/>
      <c r="V5" s="3169"/>
      <c r="W5" s="3169"/>
      <c r="X5" s="1812"/>
      <c r="Y5" s="3184"/>
      <c r="Z5" s="3185"/>
      <c r="AA5" s="3171"/>
      <c r="AB5" s="3171"/>
      <c r="AC5" s="3171"/>
    </row>
    <row r="6" spans="1:29" ht="30.75" customHeight="1" thickBot="1">
      <c r="A6" s="406"/>
      <c r="B6" s="407"/>
      <c r="C6" s="3195" t="s">
        <v>2538</v>
      </c>
      <c r="D6" s="3189"/>
      <c r="E6" s="3196" t="s">
        <v>3073</v>
      </c>
      <c r="F6" s="3197"/>
      <c r="G6" s="3188" t="s">
        <v>3070</v>
      </c>
      <c r="H6" s="3189"/>
      <c r="I6" s="3188" t="s">
        <v>3072</v>
      </c>
      <c r="J6" s="3189"/>
      <c r="K6" s="610" t="s">
        <v>2539</v>
      </c>
      <c r="L6" s="1129"/>
      <c r="M6" s="1130"/>
      <c r="N6" s="1130"/>
      <c r="O6" s="1130"/>
      <c r="P6" s="3180"/>
      <c r="Q6" s="3181"/>
      <c r="R6" s="3184"/>
      <c r="S6" s="3185"/>
      <c r="T6" s="3186"/>
      <c r="U6" s="3187"/>
      <c r="V6" s="3169"/>
      <c r="W6" s="3169"/>
      <c r="X6" s="1812"/>
      <c r="Y6" s="3186"/>
      <c r="Z6" s="3187"/>
      <c r="AA6" s="3172"/>
      <c r="AB6" s="3172"/>
      <c r="AC6" s="3172"/>
    </row>
    <row r="7" spans="1:29" s="117" customFormat="1" ht="15.75" thickBot="1">
      <c r="A7" s="408" t="s">
        <v>2540</v>
      </c>
      <c r="B7" s="409"/>
      <c r="C7" s="410">
        <f>'数据-取费表'!B2</f>
        <v>43371</v>
      </c>
      <c r="D7" s="411">
        <v>100</v>
      </c>
      <c r="E7" s="412">
        <v>43371</v>
      </c>
      <c r="F7" s="413">
        <f>SUMIF(48:48,YEAR(E7)&amp;"-"&amp;MONTH(E7),49:49)</f>
        <v>100</v>
      </c>
      <c r="G7" s="412">
        <v>43371</v>
      </c>
      <c r="H7" s="411">
        <f>SUMIF(48:48,YEAR(G7)&amp;"-"&amp;MONTH(G7),49:49)</f>
        <v>100</v>
      </c>
      <c r="I7" s="412">
        <v>43371</v>
      </c>
      <c r="J7" s="411">
        <f>SUMIF(48:48,YEAR(I7)&amp;"-"&amp;MONTH(I7),49:49)</f>
        <v>100</v>
      </c>
      <c r="K7" s="611"/>
      <c r="L7" s="1131"/>
      <c r="M7" s="1132"/>
      <c r="N7" s="1132"/>
      <c r="O7" s="1132"/>
      <c r="P7" s="3192" t="s">
        <v>2541</v>
      </c>
      <c r="Q7" s="3194"/>
      <c r="R7" s="770" t="s">
        <v>17</v>
      </c>
      <c r="S7" s="771">
        <f t="shared" ref="S7:S14" si="0">F7</f>
        <v>100</v>
      </c>
      <c r="T7" s="770" t="s">
        <v>17</v>
      </c>
      <c r="U7" s="771">
        <f t="shared" ref="U7:U14" si="1">H7</f>
        <v>100</v>
      </c>
      <c r="V7" s="770" t="s">
        <v>17</v>
      </c>
      <c r="W7" s="771">
        <f t="shared" ref="W7:W14" si="2">J7</f>
        <v>100</v>
      </c>
      <c r="X7" s="772"/>
      <c r="Y7" s="3192" t="s">
        <v>2541</v>
      </c>
      <c r="Z7" s="3193"/>
      <c r="AA7" s="773">
        <f>D7/F7</f>
        <v>1</v>
      </c>
      <c r="AB7" s="773">
        <f>D7/H7</f>
        <v>1</v>
      </c>
      <c r="AC7" s="773">
        <f>D7/J7</f>
        <v>1</v>
      </c>
    </row>
    <row r="8" spans="1:29" s="117" customFormat="1" ht="15.75" thickBot="1">
      <c r="A8" s="408" t="s">
        <v>2542</v>
      </c>
      <c r="B8" s="409"/>
      <c r="C8" s="414" t="s">
        <v>2644</v>
      </c>
      <c r="D8" s="411">
        <v>100</v>
      </c>
      <c r="E8" s="414" t="s">
        <v>3075</v>
      </c>
      <c r="F8" s="413">
        <f>SUMIF(51:51,E8,52:52)-SUMIF(51:51,C8,52:52)+100</f>
        <v>100</v>
      </c>
      <c r="G8" s="414" t="s">
        <v>3075</v>
      </c>
      <c r="H8" s="411">
        <f>SUMIF(51:51,G8,52:52)-SUMIF(51:51,C8,52:52)+100</f>
        <v>100</v>
      </c>
      <c r="I8" s="414" t="s">
        <v>3075</v>
      </c>
      <c r="J8" s="411">
        <f>SUMIF(51:51,I8,52:52)-SUMIF(51:51,C8,52:52)+100</f>
        <v>100</v>
      </c>
      <c r="K8" s="611"/>
      <c r="L8" s="1131"/>
      <c r="M8" s="1132"/>
      <c r="N8" s="1132"/>
      <c r="O8" s="1132"/>
      <c r="P8" s="3192" t="s">
        <v>2544</v>
      </c>
      <c r="Q8" s="3193"/>
      <c r="R8" s="770" t="s">
        <v>17</v>
      </c>
      <c r="S8" s="771">
        <f t="shared" si="0"/>
        <v>100</v>
      </c>
      <c r="T8" s="770" t="s">
        <v>17</v>
      </c>
      <c r="U8" s="771">
        <f t="shared" si="1"/>
        <v>100</v>
      </c>
      <c r="V8" s="770" t="s">
        <v>17</v>
      </c>
      <c r="W8" s="771">
        <f t="shared" si="2"/>
        <v>100</v>
      </c>
      <c r="X8" s="772"/>
      <c r="Y8" s="3192" t="s">
        <v>2544</v>
      </c>
      <c r="Z8" s="3193"/>
      <c r="AA8" s="773">
        <f t="shared" ref="AA8:AA36" si="3">D8/F8</f>
        <v>1</v>
      </c>
      <c r="AB8" s="773">
        <f t="shared" ref="AB8:AB36" si="4">D8/H8</f>
        <v>1</v>
      </c>
      <c r="AC8" s="773">
        <f t="shared" ref="AC8:AC36" si="5">D8/J8</f>
        <v>1</v>
      </c>
    </row>
    <row r="9" spans="1:29" s="117" customFormat="1">
      <c r="A9" s="68" t="s">
        <v>2545</v>
      </c>
      <c r="B9" s="640" t="s">
        <v>2546</v>
      </c>
      <c r="C9" s="2945" t="s">
        <v>3112</v>
      </c>
      <c r="D9" s="135">
        <v>100</v>
      </c>
      <c r="E9" s="419" t="s">
        <v>3059</v>
      </c>
      <c r="F9" s="135">
        <f>SUMIF(53:53,E9,54:54)-SUMIF(53:53,C9,54:54)+100</f>
        <v>100</v>
      </c>
      <c r="G9" s="417" t="s">
        <v>3059</v>
      </c>
      <c r="H9" s="135">
        <f>SUMIF(53:53,G9,54:54)-SUMIF(53:53,C9,54:54)+100</f>
        <v>100</v>
      </c>
      <c r="I9" s="417" t="s">
        <v>3059</v>
      </c>
      <c r="J9" s="135">
        <f>SUMIF(53:53,I9,54:54)-SUMIF(53:53,C9,54:54)+100</f>
        <v>100</v>
      </c>
      <c r="K9" s="611"/>
      <c r="L9" s="1131"/>
      <c r="M9" s="1132"/>
      <c r="N9" s="1132"/>
      <c r="O9" s="1132"/>
      <c r="P9" s="3163" t="s">
        <v>2547</v>
      </c>
      <c r="Q9" s="1794" t="str">
        <f t="shared" ref="Q9:Q14" si="6">B9</f>
        <v>用途</v>
      </c>
      <c r="R9" s="770" t="s">
        <v>17</v>
      </c>
      <c r="S9" s="771">
        <f t="shared" si="0"/>
        <v>100</v>
      </c>
      <c r="T9" s="770" t="s">
        <v>17</v>
      </c>
      <c r="U9" s="771">
        <f t="shared" si="1"/>
        <v>100</v>
      </c>
      <c r="V9" s="770" t="s">
        <v>17</v>
      </c>
      <c r="W9" s="771">
        <f t="shared" si="2"/>
        <v>100</v>
      </c>
      <c r="X9" s="772"/>
      <c r="Y9" s="3011" t="s">
        <v>2548</v>
      </c>
      <c r="Z9" s="55" t="str">
        <f t="shared" ref="Z9:Z14" si="7">Q9</f>
        <v>用途</v>
      </c>
      <c r="AA9" s="773">
        <f t="shared" si="3"/>
        <v>1</v>
      </c>
      <c r="AB9" s="773">
        <f t="shared" si="4"/>
        <v>1</v>
      </c>
      <c r="AC9" s="773">
        <f t="shared" si="5"/>
        <v>1</v>
      </c>
    </row>
    <row r="10" spans="1:29" s="427" customFormat="1" ht="27.75" thickBot="1">
      <c r="A10" s="641"/>
      <c r="B10" s="642" t="s">
        <v>2549</v>
      </c>
      <c r="C10" s="423" t="s">
        <v>3077</v>
      </c>
      <c r="D10" s="136">
        <v>100</v>
      </c>
      <c r="E10" s="423" t="s">
        <v>3077</v>
      </c>
      <c r="F10" s="136">
        <f>SUMIF(55:55,E10,56:56)-SUMIF(55:55,C10,56:56)+100</f>
        <v>100</v>
      </c>
      <c r="G10" s="424" t="s">
        <v>3077</v>
      </c>
      <c r="H10" s="136">
        <f>SUMIF(55:55,G10,56:56)-SUMIF(55:55,C10,56:56)+100</f>
        <v>100</v>
      </c>
      <c r="I10" s="423" t="s">
        <v>3077</v>
      </c>
      <c r="J10" s="136">
        <f>SUMIF(55:55,I10,56:56)-SUMIF(55:55,C10,56:56)+100</f>
        <v>100</v>
      </c>
      <c r="K10" s="612"/>
      <c r="L10" s="1134"/>
      <c r="M10" s="1135"/>
      <c r="N10" s="1135"/>
      <c r="O10" s="1135"/>
      <c r="P10" s="3163"/>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3"/>
      <c r="Q11" s="1794">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3"/>
      <c r="Q12" s="1794">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3"/>
      <c r="Q13" s="1794">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2551</v>
      </c>
      <c r="B14" s="629" t="s">
        <v>2701</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102</v>
      </c>
      <c r="G14" s="444"/>
      <c r="H14" s="441">
        <f>SUMIF(63:63,G15,64:64)-SUMIF(63:63,C15,64:64)+100</f>
        <v>100</v>
      </c>
      <c r="I14" s="442"/>
      <c r="J14" s="441">
        <f>SUMIF(63:63,I15,64:64)-SUMIF(63:63,C15,64:64)+100</f>
        <v>98</v>
      </c>
      <c r="K14" s="614">
        <v>2</v>
      </c>
      <c r="L14" s="1139"/>
      <c r="M14" s="1130"/>
      <c r="N14" s="1130"/>
      <c r="O14" s="1130"/>
      <c r="P14" s="3165" t="s">
        <v>2552</v>
      </c>
      <c r="Q14" s="1809" t="str">
        <f t="shared" si="6"/>
        <v>交通便捷度</v>
      </c>
      <c r="R14" s="774" t="s">
        <v>17</v>
      </c>
      <c r="S14" s="775">
        <f t="shared" si="0"/>
        <v>102</v>
      </c>
      <c r="T14" s="774" t="s">
        <v>17</v>
      </c>
      <c r="U14" s="775">
        <f t="shared" si="1"/>
        <v>100</v>
      </c>
      <c r="V14" s="774" t="s">
        <v>17</v>
      </c>
      <c r="W14" s="775">
        <f t="shared" si="2"/>
        <v>98</v>
      </c>
      <c r="X14" s="1812"/>
      <c r="Y14" s="3165" t="s">
        <v>2552</v>
      </c>
      <c r="Z14" s="1813" t="str">
        <f t="shared" si="7"/>
        <v>交通便捷度</v>
      </c>
      <c r="AA14" s="1810">
        <f t="shared" si="3"/>
        <v>0.98039215686274506</v>
      </c>
      <c r="AB14" s="1810">
        <f t="shared" si="4"/>
        <v>1</v>
      </c>
      <c r="AC14" s="1810">
        <f t="shared" si="5"/>
        <v>1.0204081632653061</v>
      </c>
    </row>
    <row r="15" spans="1:29" ht="15">
      <c r="A15" s="404"/>
      <c r="B15" s="647"/>
      <c r="C15" s="447" t="s">
        <v>3078</v>
      </c>
      <c r="D15" s="448"/>
      <c r="E15" s="447" t="s">
        <v>3096</v>
      </c>
      <c r="F15" s="449"/>
      <c r="G15" s="447" t="s">
        <v>3078</v>
      </c>
      <c r="H15" s="450"/>
      <c r="I15" s="447" t="s">
        <v>3079</v>
      </c>
      <c r="J15" s="448"/>
      <c r="K15" s="615"/>
      <c r="L15" s="1139"/>
      <c r="M15" s="1130"/>
      <c r="N15" s="1130"/>
      <c r="O15" s="1130"/>
      <c r="P15" s="3166"/>
      <c r="Q15" s="1809"/>
      <c r="R15" s="774"/>
      <c r="S15" s="775"/>
      <c r="T15" s="774"/>
      <c r="U15" s="775"/>
      <c r="V15" s="774"/>
      <c r="W15" s="775"/>
      <c r="X15" s="1812"/>
      <c r="Y15" s="3166"/>
      <c r="Z15" s="1813"/>
      <c r="AA15" s="1810">
        <v>1</v>
      </c>
      <c r="AB15" s="1810">
        <v>1</v>
      </c>
      <c r="AC15" s="1810">
        <v>1</v>
      </c>
    </row>
    <row r="16" spans="1:29" ht="42.75">
      <c r="A16" s="404"/>
      <c r="B16" s="631" t="s">
        <v>2680</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39"/>
      <c r="M16" s="1130"/>
      <c r="N16" s="1130"/>
      <c r="O16" s="1130"/>
      <c r="P16" s="3166"/>
      <c r="Q16" s="1809" t="str">
        <f>B16</f>
        <v>公共配套设施</v>
      </c>
      <c r="R16" s="774" t="s">
        <v>17</v>
      </c>
      <c r="S16" s="775">
        <f>F16</f>
        <v>100</v>
      </c>
      <c r="T16" s="774" t="s">
        <v>17</v>
      </c>
      <c r="U16" s="775">
        <f>H16</f>
        <v>100</v>
      </c>
      <c r="V16" s="774" t="s">
        <v>17</v>
      </c>
      <c r="W16" s="775">
        <f>J16</f>
        <v>100</v>
      </c>
      <c r="X16" s="1812"/>
      <c r="Y16" s="3166"/>
      <c r="Z16" s="1813" t="str">
        <f>Q16</f>
        <v>公共配套设施</v>
      </c>
      <c r="AA16" s="1810">
        <f t="shared" si="3"/>
        <v>1</v>
      </c>
      <c r="AB16" s="1810">
        <f t="shared" si="4"/>
        <v>1</v>
      </c>
      <c r="AC16" s="1810">
        <f t="shared" si="5"/>
        <v>1</v>
      </c>
    </row>
    <row r="17" spans="1:29" ht="15">
      <c r="A17" s="404"/>
      <c r="B17" s="632"/>
      <c r="C17" s="2607" t="s">
        <v>3078</v>
      </c>
      <c r="D17" s="448"/>
      <c r="E17" s="447" t="s">
        <v>3078</v>
      </c>
      <c r="F17" s="449"/>
      <c r="G17" s="447" t="s">
        <v>3078</v>
      </c>
      <c r="H17" s="448"/>
      <c r="I17" s="447" t="s">
        <v>3078</v>
      </c>
      <c r="J17" s="448"/>
      <c r="K17" s="615"/>
      <c r="L17" s="1139"/>
      <c r="M17" s="1130"/>
      <c r="N17" s="1130"/>
      <c r="O17" s="1130"/>
      <c r="P17" s="3166"/>
      <c r="Q17" s="1809"/>
      <c r="R17" s="774"/>
      <c r="S17" s="775"/>
      <c r="T17" s="774"/>
      <c r="U17" s="775"/>
      <c r="V17" s="774"/>
      <c r="W17" s="775"/>
      <c r="X17" s="1812"/>
      <c r="Y17" s="3166"/>
      <c r="Z17" s="1813"/>
      <c r="AA17" s="1810">
        <v>1</v>
      </c>
      <c r="AB17" s="1810">
        <v>1</v>
      </c>
      <c r="AC17" s="1810">
        <v>1</v>
      </c>
    </row>
    <row r="18" spans="1:29" ht="28.5">
      <c r="A18" s="404"/>
      <c r="B18" s="633" t="s">
        <v>2681</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39"/>
      <c r="M18" s="1130"/>
      <c r="N18" s="1130"/>
      <c r="O18" s="1130"/>
      <c r="P18" s="3166"/>
      <c r="Q18" s="1809" t="str">
        <f>B18</f>
        <v>基础设施水平</v>
      </c>
      <c r="R18" s="774" t="s">
        <v>17</v>
      </c>
      <c r="S18" s="775">
        <f>F18</f>
        <v>100</v>
      </c>
      <c r="T18" s="774" t="s">
        <v>17</v>
      </c>
      <c r="U18" s="775">
        <f>H18</f>
        <v>100</v>
      </c>
      <c r="V18" s="774" t="s">
        <v>17</v>
      </c>
      <c r="W18" s="775">
        <f>J18</f>
        <v>100</v>
      </c>
      <c r="X18" s="1812"/>
      <c r="Y18" s="3166"/>
      <c r="Z18" s="1813" t="str">
        <f>Q18</f>
        <v>基础设施水平</v>
      </c>
      <c r="AA18" s="1810">
        <f t="shared" ref="AA18" si="8">D18/F18</f>
        <v>1</v>
      </c>
      <c r="AB18" s="1810">
        <f t="shared" ref="AB18" si="9">D18/H18</f>
        <v>1</v>
      </c>
      <c r="AC18" s="1810">
        <f t="shared" ref="AC18" si="10">D18/J18</f>
        <v>1</v>
      </c>
    </row>
    <row r="19" spans="1:29" ht="15">
      <c r="A19" s="404"/>
      <c r="B19" s="633"/>
      <c r="C19" s="2607" t="s">
        <v>3162</v>
      </c>
      <c r="D19" s="450"/>
      <c r="E19" s="2607" t="s">
        <v>3162</v>
      </c>
      <c r="F19" s="453"/>
      <c r="G19" s="2607" t="s">
        <v>3162</v>
      </c>
      <c r="H19" s="448"/>
      <c r="I19" s="447" t="s">
        <v>3162</v>
      </c>
      <c r="J19" s="448"/>
      <c r="K19" s="1382"/>
      <c r="L19" s="1139"/>
      <c r="M19" s="1130"/>
      <c r="N19" s="1130"/>
      <c r="O19" s="1130"/>
      <c r="P19" s="3166"/>
      <c r="Q19" s="1809"/>
      <c r="R19" s="774"/>
      <c r="S19" s="775"/>
      <c r="T19" s="774"/>
      <c r="U19" s="775"/>
      <c r="V19" s="774"/>
      <c r="W19" s="775"/>
      <c r="X19" s="1812"/>
      <c r="Y19" s="3166"/>
      <c r="Z19" s="1813"/>
      <c r="AA19" s="1810">
        <v>1</v>
      </c>
      <c r="AB19" s="1810">
        <v>1</v>
      </c>
      <c r="AC19" s="1810">
        <v>1</v>
      </c>
    </row>
    <row r="20" spans="1:29" ht="57">
      <c r="A20" s="404"/>
      <c r="B20" s="631" t="s">
        <v>2702</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1.5</v>
      </c>
      <c r="L20" s="1139"/>
      <c r="M20" s="1130"/>
      <c r="N20" s="1130"/>
      <c r="O20" s="1130"/>
      <c r="P20" s="3166"/>
      <c r="Q20" s="1809" t="str">
        <f>B20</f>
        <v>自然及人文环境</v>
      </c>
      <c r="R20" s="774" t="s">
        <v>17</v>
      </c>
      <c r="S20" s="775">
        <f>F20</f>
        <v>100</v>
      </c>
      <c r="T20" s="774" t="s">
        <v>17</v>
      </c>
      <c r="U20" s="775">
        <f>H20</f>
        <v>100</v>
      </c>
      <c r="V20" s="774" t="s">
        <v>17</v>
      </c>
      <c r="W20" s="775">
        <f>J20</f>
        <v>100</v>
      </c>
      <c r="X20" s="1812"/>
      <c r="Y20" s="3166"/>
      <c r="Z20" s="1813" t="str">
        <f>Q20</f>
        <v>自然及人文环境</v>
      </c>
      <c r="AA20" s="1810">
        <f t="shared" si="3"/>
        <v>1</v>
      </c>
      <c r="AB20" s="1810">
        <f t="shared" si="4"/>
        <v>1</v>
      </c>
      <c r="AC20" s="1810">
        <f t="shared" si="5"/>
        <v>1</v>
      </c>
    </row>
    <row r="21" spans="1:29" ht="15.75" thickBot="1">
      <c r="A21" s="404"/>
      <c r="B21" s="632"/>
      <c r="C21" s="447" t="s">
        <v>3078</v>
      </c>
      <c r="D21" s="448"/>
      <c r="E21" s="447" t="s">
        <v>3078</v>
      </c>
      <c r="F21" s="449"/>
      <c r="G21" s="447" t="s">
        <v>3078</v>
      </c>
      <c r="H21" s="448"/>
      <c r="I21" s="447" t="s">
        <v>3078</v>
      </c>
      <c r="J21" s="448"/>
      <c r="K21" s="615"/>
      <c r="L21" s="1139"/>
      <c r="M21" s="1130"/>
      <c r="N21" s="1130"/>
      <c r="O21" s="1130"/>
      <c r="P21" s="3166"/>
      <c r="Q21" s="1809"/>
      <c r="R21" s="774"/>
      <c r="S21" s="775"/>
      <c r="T21" s="774"/>
      <c r="U21" s="775"/>
      <c r="V21" s="774"/>
      <c r="W21" s="775"/>
      <c r="X21" s="1812"/>
      <c r="Y21" s="3166"/>
      <c r="Z21" s="1813"/>
      <c r="AA21" s="1810">
        <v>1</v>
      </c>
      <c r="AB21" s="1810">
        <v>1</v>
      </c>
      <c r="AC21" s="1810">
        <v>1</v>
      </c>
    </row>
    <row r="22" spans="1:29" ht="15.75" hidden="1" thickBot="1">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66"/>
      <c r="Q22" s="1809" t="str">
        <f>B22</f>
        <v>楼层</v>
      </c>
      <c r="R22" s="774" t="s">
        <v>17</v>
      </c>
      <c r="S22" s="775">
        <f>F22</f>
        <v>100</v>
      </c>
      <c r="T22" s="774" t="s">
        <v>17</v>
      </c>
      <c r="U22" s="775">
        <f>H22</f>
        <v>100</v>
      </c>
      <c r="V22" s="774" t="s">
        <v>17</v>
      </c>
      <c r="W22" s="775">
        <f>J22</f>
        <v>100</v>
      </c>
      <c r="X22" s="1812"/>
      <c r="Y22" s="3166"/>
      <c r="Z22" s="1813" t="str">
        <f>Q22</f>
        <v>楼层</v>
      </c>
      <c r="AA22" s="1810">
        <f t="shared" si="3"/>
        <v>1</v>
      </c>
      <c r="AB22" s="1810">
        <f t="shared" si="4"/>
        <v>1</v>
      </c>
      <c r="AC22" s="1810">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66"/>
      <c r="Q23" s="1809">
        <f>B23</f>
        <v>111</v>
      </c>
      <c r="R23" s="774" t="s">
        <v>17</v>
      </c>
      <c r="S23" s="775">
        <f>F23</f>
        <v>100</v>
      </c>
      <c r="T23" s="774" t="s">
        <v>17</v>
      </c>
      <c r="U23" s="775">
        <f>H23</f>
        <v>100</v>
      </c>
      <c r="V23" s="774" t="s">
        <v>17</v>
      </c>
      <c r="W23" s="775">
        <f>J23</f>
        <v>100</v>
      </c>
      <c r="X23" s="1812"/>
      <c r="Y23" s="3166"/>
      <c r="Z23" s="1813">
        <f>Q23</f>
        <v>111</v>
      </c>
      <c r="AA23" s="1810">
        <f t="shared" si="3"/>
        <v>1</v>
      </c>
      <c r="AB23" s="1810">
        <f t="shared" si="4"/>
        <v>1</v>
      </c>
      <c r="AC23" s="1810">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66"/>
      <c r="Q24" s="1809">
        <f t="shared" ref="Q24:Q36" si="11">B24</f>
        <v>111</v>
      </c>
      <c r="R24" s="774" t="s">
        <v>17</v>
      </c>
      <c r="S24" s="775">
        <f>F24</f>
        <v>100</v>
      </c>
      <c r="T24" s="774" t="s">
        <v>17</v>
      </c>
      <c r="U24" s="775">
        <f>H24</f>
        <v>100</v>
      </c>
      <c r="V24" s="774" t="s">
        <v>17</v>
      </c>
      <c r="W24" s="775">
        <f>J24</f>
        <v>100</v>
      </c>
      <c r="X24" s="1812"/>
      <c r="Y24" s="3166"/>
      <c r="Z24" s="1813">
        <f>Q24</f>
        <v>111</v>
      </c>
      <c r="AA24" s="1810">
        <f t="shared" si="3"/>
        <v>1</v>
      </c>
      <c r="AB24" s="1810">
        <f t="shared" si="4"/>
        <v>1</v>
      </c>
      <c r="AC24" s="1810">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66"/>
      <c r="Q25" s="1794">
        <f t="shared" si="11"/>
        <v>111</v>
      </c>
      <c r="R25" s="770" t="s">
        <v>17</v>
      </c>
      <c r="S25" s="771">
        <f>F25</f>
        <v>100</v>
      </c>
      <c r="T25" s="770" t="s">
        <v>17</v>
      </c>
      <c r="U25" s="771">
        <f>H25</f>
        <v>100</v>
      </c>
      <c r="V25" s="770" t="s">
        <v>17</v>
      </c>
      <c r="W25" s="771">
        <f>J25</f>
        <v>100</v>
      </c>
      <c r="X25" s="772"/>
      <c r="Y25" s="3166"/>
      <c r="Z25" s="55">
        <f>Q25</f>
        <v>111</v>
      </c>
      <c r="AA25" s="1810">
        <f>D25/F25</f>
        <v>1</v>
      </c>
      <c r="AB25" s="1810">
        <f>D25/H25</f>
        <v>1</v>
      </c>
      <c r="AC25" s="1810">
        <f>D25/J25</f>
        <v>1</v>
      </c>
    </row>
    <row r="26" spans="1:29" ht="15">
      <c r="A26" s="652" t="s">
        <v>2555</v>
      </c>
      <c r="B26" s="70" t="s">
        <v>2704</v>
      </c>
      <c r="C26" s="2693" t="str">
        <f>B1</f>
        <v>车库</v>
      </c>
      <c r="D26" s="448">
        <v>100</v>
      </c>
      <c r="E26" s="447" t="s">
        <v>3062</v>
      </c>
      <c r="F26" s="449">
        <f>SUMIF(79:79,E26,80:80)-SUMIF(79:79,C26,80:80)+100</f>
        <v>100</v>
      </c>
      <c r="G26" s="447" t="s">
        <v>3062</v>
      </c>
      <c r="H26" s="448">
        <f>SUMIF(79:79,G26,80:80)-SUMIF(79:79,C26,80:80)+100</f>
        <v>100</v>
      </c>
      <c r="I26" s="447" t="s">
        <v>3062</v>
      </c>
      <c r="J26" s="448">
        <f>SUMIF(79:79,I26,80:80)-SUMIF(79:79,C26,80:80)+100</f>
        <v>100</v>
      </c>
      <c r="K26" s="612"/>
      <c r="L26" s="1139"/>
      <c r="M26" s="1130"/>
      <c r="N26" s="1130"/>
      <c r="O26" s="1130"/>
      <c r="P26" s="3167" t="s">
        <v>2557</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68" t="s">
        <v>2557</v>
      </c>
      <c r="Z26" s="1813" t="str">
        <f t="shared" ref="Z26:Z36" si="15">Q26</f>
        <v>配套类型</v>
      </c>
      <c r="AA26" s="1810">
        <f t="shared" si="3"/>
        <v>1</v>
      </c>
      <c r="AB26" s="1810">
        <f t="shared" si="4"/>
        <v>1</v>
      </c>
      <c r="AC26" s="1810">
        <f t="shared" si="5"/>
        <v>1</v>
      </c>
    </row>
    <row r="27" spans="1:29" s="471" customFormat="1" ht="15" hidden="1">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10">
        <f t="shared" si="3"/>
        <v>1</v>
      </c>
      <c r="AB27" s="1810">
        <f t="shared" si="4"/>
        <v>1</v>
      </c>
      <c r="AC27" s="1810">
        <f t="shared" si="5"/>
        <v>1</v>
      </c>
    </row>
    <row r="28" spans="1:29" ht="15">
      <c r="A28" s="656"/>
      <c r="B28" s="654" t="s">
        <v>2706</v>
      </c>
      <c r="C28" s="460" t="s">
        <v>3094</v>
      </c>
      <c r="D28" s="435">
        <v>100</v>
      </c>
      <c r="E28" s="460" t="s">
        <v>3094</v>
      </c>
      <c r="F28" s="461">
        <f>SUMIF(83:83,E28,84:84)-SUMIF(83:83,C28,84:84)+100</f>
        <v>100</v>
      </c>
      <c r="G28" s="460" t="s">
        <v>3094</v>
      </c>
      <c r="H28" s="435">
        <f>SUMIF(83:83,G28,84:84)-SUMIF(83:83,C28,84:84)+100</f>
        <v>100</v>
      </c>
      <c r="I28" s="460" t="s">
        <v>3094</v>
      </c>
      <c r="J28" s="435">
        <f>SUMIF(83:83,I28,84:84)-SUMIF(83:83,C28,84:84)+100</f>
        <v>100</v>
      </c>
      <c r="K28" s="612">
        <v>3</v>
      </c>
      <c r="L28" s="1139"/>
      <c r="M28" s="1130"/>
      <c r="N28" s="1130"/>
      <c r="O28" s="1130"/>
      <c r="P28" s="3168"/>
      <c r="Q28" s="1809" t="str">
        <f t="shared" si="11"/>
        <v>公共部分装修</v>
      </c>
      <c r="R28" s="774" t="s">
        <v>17</v>
      </c>
      <c r="S28" s="775">
        <f t="shared" si="12"/>
        <v>100</v>
      </c>
      <c r="T28" s="774" t="s">
        <v>17</v>
      </c>
      <c r="U28" s="775">
        <f t="shared" si="13"/>
        <v>100</v>
      </c>
      <c r="V28" s="774" t="s">
        <v>17</v>
      </c>
      <c r="W28" s="775">
        <f t="shared" si="14"/>
        <v>100</v>
      </c>
      <c r="X28" s="1812"/>
      <c r="Y28" s="3168"/>
      <c r="Z28" s="1813" t="str">
        <f t="shared" si="15"/>
        <v>公共部分装修</v>
      </c>
      <c r="AA28" s="1810">
        <f t="shared" si="3"/>
        <v>1</v>
      </c>
      <c r="AB28" s="1810">
        <f t="shared" si="4"/>
        <v>1</v>
      </c>
      <c r="AC28" s="1810">
        <f t="shared" si="5"/>
        <v>1</v>
      </c>
    </row>
    <row r="29" spans="1:29" ht="15">
      <c r="A29" s="656"/>
      <c r="B29" s="654" t="s">
        <v>2707</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39"/>
      <c r="M29" s="1130"/>
      <c r="N29" s="1130"/>
      <c r="O29" s="1130"/>
      <c r="P29" s="3168"/>
      <c r="Q29" s="1809" t="str">
        <f t="shared" si="11"/>
        <v>成新率</v>
      </c>
      <c r="R29" s="774" t="s">
        <v>17</v>
      </c>
      <c r="S29" s="775">
        <f t="shared" si="12"/>
        <v>100</v>
      </c>
      <c r="T29" s="774" t="s">
        <v>17</v>
      </c>
      <c r="U29" s="775">
        <f t="shared" si="13"/>
        <v>100</v>
      </c>
      <c r="V29" s="774" t="s">
        <v>17</v>
      </c>
      <c r="W29" s="775">
        <f t="shared" si="14"/>
        <v>100</v>
      </c>
      <c r="X29" s="1812"/>
      <c r="Y29" s="3168"/>
      <c r="Z29" s="1813" t="str">
        <f t="shared" si="15"/>
        <v>成新率</v>
      </c>
      <c r="AA29" s="1810">
        <f t="shared" si="3"/>
        <v>1</v>
      </c>
      <c r="AB29" s="1810">
        <f t="shared" si="4"/>
        <v>1</v>
      </c>
      <c r="AC29" s="1810">
        <f t="shared" si="5"/>
        <v>1</v>
      </c>
    </row>
    <row r="30" spans="1:29" ht="15" hidden="1">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68"/>
      <c r="Q30" s="1809" t="str">
        <f t="shared" si="11"/>
        <v>物业等级</v>
      </c>
      <c r="R30" s="774" t="s">
        <v>17</v>
      </c>
      <c r="S30" s="775">
        <f t="shared" si="12"/>
        <v>100</v>
      </c>
      <c r="T30" s="774" t="s">
        <v>17</v>
      </c>
      <c r="U30" s="775">
        <f t="shared" si="13"/>
        <v>100</v>
      </c>
      <c r="V30" s="774" t="s">
        <v>17</v>
      </c>
      <c r="W30" s="775">
        <f t="shared" si="14"/>
        <v>100</v>
      </c>
      <c r="X30" s="1812"/>
      <c r="Y30" s="3168"/>
      <c r="Z30" s="1813" t="str">
        <f t="shared" si="15"/>
        <v>物业等级</v>
      </c>
      <c r="AA30" s="1810">
        <f t="shared" si="3"/>
        <v>1</v>
      </c>
      <c r="AB30" s="1810">
        <f t="shared" si="4"/>
        <v>1</v>
      </c>
      <c r="AC30" s="1810">
        <f t="shared" si="5"/>
        <v>1</v>
      </c>
    </row>
    <row r="31" spans="1:29" s="117" customFormat="1" ht="15.75" thickBot="1">
      <c r="A31" s="658"/>
      <c r="B31" s="654" t="s">
        <v>2709</v>
      </c>
      <c r="C31" s="469">
        <v>35</v>
      </c>
      <c r="D31" s="136">
        <v>100</v>
      </c>
      <c r="E31" s="469">
        <v>35</v>
      </c>
      <c r="F31" s="461">
        <f>LOOKUP(E31,91:91,92:92)-LOOKUP(C31,91:91,92:92)+100</f>
        <v>100</v>
      </c>
      <c r="G31" s="469">
        <v>35</v>
      </c>
      <c r="H31" s="435">
        <f>LOOKUP(G31,91:91,92:92)-LOOKUP(C31,91:91,92:92)+100</f>
        <v>100</v>
      </c>
      <c r="I31" s="469">
        <v>35</v>
      </c>
      <c r="J31" s="435">
        <f>LOOKUP(I31,91:91,92:92)-LOOKUP(C31,91:91,92:92)+100</f>
        <v>100</v>
      </c>
      <c r="K31" s="612"/>
      <c r="L31" s="1131"/>
      <c r="M31" s="1132"/>
      <c r="N31" s="1132"/>
      <c r="O31" s="1132"/>
      <c r="P31" s="3168"/>
      <c r="Q31" s="1794" t="str">
        <f t="shared" si="11"/>
        <v>停车位面积</v>
      </c>
      <c r="R31" s="770" t="s">
        <v>17</v>
      </c>
      <c r="S31" s="771">
        <f t="shared" si="12"/>
        <v>100</v>
      </c>
      <c r="T31" s="770" t="s">
        <v>17</v>
      </c>
      <c r="U31" s="771">
        <f t="shared" si="13"/>
        <v>100</v>
      </c>
      <c r="V31" s="770" t="s">
        <v>17</v>
      </c>
      <c r="W31" s="771">
        <f t="shared" si="14"/>
        <v>100</v>
      </c>
      <c r="X31" s="772"/>
      <c r="Y31" s="3168"/>
      <c r="Z31" s="55" t="str">
        <f t="shared" si="15"/>
        <v>停车位面积</v>
      </c>
      <c r="AA31" s="773">
        <f t="shared" si="3"/>
        <v>1</v>
      </c>
      <c r="AB31" s="773">
        <f t="shared" si="4"/>
        <v>1</v>
      </c>
      <c r="AC31" s="773">
        <f t="shared" si="5"/>
        <v>1</v>
      </c>
    </row>
    <row r="32" spans="1:29" ht="15" hidden="1">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68" t="s">
        <v>2557</v>
      </c>
      <c r="Q32" s="1809" t="str">
        <f t="shared" si="11"/>
        <v>车位类型</v>
      </c>
      <c r="R32" s="774" t="s">
        <v>17</v>
      </c>
      <c r="S32" s="775">
        <f t="shared" si="12"/>
        <v>100</v>
      </c>
      <c r="T32" s="774" t="s">
        <v>17</v>
      </c>
      <c r="U32" s="775">
        <f t="shared" si="13"/>
        <v>100</v>
      </c>
      <c r="V32" s="774" t="s">
        <v>17</v>
      </c>
      <c r="W32" s="775">
        <f t="shared" si="14"/>
        <v>100</v>
      </c>
      <c r="X32" s="1812"/>
      <c r="Y32" s="3168" t="s">
        <v>2557</v>
      </c>
      <c r="Z32" s="1813" t="str">
        <f t="shared" si="15"/>
        <v>车位类型</v>
      </c>
      <c r="AA32" s="1810">
        <f t="shared" si="3"/>
        <v>1</v>
      </c>
      <c r="AB32" s="1810">
        <f t="shared" si="4"/>
        <v>1</v>
      </c>
      <c r="AC32" s="1810">
        <f t="shared" si="5"/>
        <v>1</v>
      </c>
    </row>
    <row r="33" spans="1:29" ht="15" hidden="1">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68"/>
      <c r="Q33" s="1809" t="str">
        <f t="shared" si="11"/>
        <v>是否直接入户</v>
      </c>
      <c r="R33" s="774" t="s">
        <v>17</v>
      </c>
      <c r="S33" s="775">
        <f t="shared" si="12"/>
        <v>100</v>
      </c>
      <c r="T33" s="774" t="s">
        <v>17</v>
      </c>
      <c r="U33" s="775">
        <f t="shared" si="13"/>
        <v>100</v>
      </c>
      <c r="V33" s="774" t="s">
        <v>17</v>
      </c>
      <c r="W33" s="775">
        <f t="shared" si="14"/>
        <v>100</v>
      </c>
      <c r="X33" s="1812"/>
      <c r="Y33" s="3168"/>
      <c r="Z33" s="1813" t="str">
        <f t="shared" si="15"/>
        <v>是否直接入户</v>
      </c>
      <c r="AA33" s="1810">
        <f t="shared" si="3"/>
        <v>1</v>
      </c>
      <c r="AB33" s="1810">
        <f t="shared" si="4"/>
        <v>1</v>
      </c>
      <c r="AC33" s="1810">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68"/>
      <c r="Q34" s="1809">
        <f t="shared" si="11"/>
        <v>111</v>
      </c>
      <c r="R34" s="774" t="s">
        <v>17</v>
      </c>
      <c r="S34" s="775">
        <f t="shared" si="12"/>
        <v>100</v>
      </c>
      <c r="T34" s="774" t="s">
        <v>17</v>
      </c>
      <c r="U34" s="775">
        <f t="shared" si="13"/>
        <v>100</v>
      </c>
      <c r="V34" s="774" t="s">
        <v>17</v>
      </c>
      <c r="W34" s="775">
        <f t="shared" si="14"/>
        <v>100</v>
      </c>
      <c r="X34" s="1812"/>
      <c r="Y34" s="3168"/>
      <c r="Z34" s="1813">
        <f t="shared" si="15"/>
        <v>111</v>
      </c>
      <c r="AA34" s="1810">
        <f t="shared" si="3"/>
        <v>1</v>
      </c>
      <c r="AB34" s="1810">
        <f t="shared" si="4"/>
        <v>1</v>
      </c>
      <c r="AC34" s="1810">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10">
        <f t="shared" si="3"/>
        <v>1</v>
      </c>
      <c r="AB35" s="1810">
        <f t="shared" si="4"/>
        <v>1</v>
      </c>
      <c r="AC35" s="1810">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68"/>
      <c r="Q36" s="1809">
        <f t="shared" si="11"/>
        <v>111</v>
      </c>
      <c r="R36" s="774" t="s">
        <v>17</v>
      </c>
      <c r="S36" s="775">
        <f t="shared" si="12"/>
        <v>100</v>
      </c>
      <c r="T36" s="774" t="s">
        <v>17</v>
      </c>
      <c r="U36" s="775">
        <f t="shared" si="13"/>
        <v>100</v>
      </c>
      <c r="V36" s="774" t="s">
        <v>17</v>
      </c>
      <c r="W36" s="775">
        <f t="shared" si="14"/>
        <v>100</v>
      </c>
      <c r="X36" s="1812"/>
      <c r="Y36" s="3168"/>
      <c r="Z36" s="1813">
        <f t="shared" si="15"/>
        <v>111</v>
      </c>
      <c r="AA36" s="1810">
        <f t="shared" si="3"/>
        <v>1</v>
      </c>
      <c r="AB36" s="1810">
        <f t="shared" si="4"/>
        <v>1</v>
      </c>
      <c r="AC36" s="1810">
        <f t="shared" si="5"/>
        <v>1</v>
      </c>
    </row>
    <row r="37" spans="1:29" ht="15">
      <c r="A37" s="479" t="s">
        <v>2712</v>
      </c>
      <c r="B37" s="2694" t="s">
        <v>3113</v>
      </c>
      <c r="C37" s="1406" t="s">
        <v>1</v>
      </c>
      <c r="D37" s="1407"/>
      <c r="E37" s="1408">
        <v>130000</v>
      </c>
      <c r="F37" s="1409"/>
      <c r="G37" s="1410">
        <v>120000</v>
      </c>
      <c r="H37" s="1411"/>
      <c r="I37" s="1408">
        <v>120000</v>
      </c>
      <c r="J37" s="1411"/>
      <c r="K37" s="619"/>
      <c r="L37" s="1142"/>
      <c r="M37" s="1143"/>
      <c r="N37" s="1130"/>
      <c r="O37" s="1143"/>
      <c r="P37" s="3163" t="str">
        <f>A37</f>
        <v>成交单价</v>
      </c>
      <c r="Q37" s="3163"/>
      <c r="R37" s="3228">
        <f>E37</f>
        <v>130000</v>
      </c>
      <c r="S37" s="3228"/>
      <c r="T37" s="3228">
        <f>G37</f>
        <v>120000</v>
      </c>
      <c r="U37" s="3228"/>
      <c r="V37" s="3228">
        <f>I37</f>
        <v>120000</v>
      </c>
      <c r="W37" s="3228"/>
      <c r="X37" s="759"/>
      <c r="Y37" s="781"/>
      <c r="Z37" s="759"/>
      <c r="AA37" s="759"/>
      <c r="AB37" s="759"/>
      <c r="AC37" s="759"/>
    </row>
    <row r="38" spans="1:29" ht="15.75" thickBot="1">
      <c r="A38" s="486" t="s">
        <v>2713</v>
      </c>
      <c r="B38" s="487" t="str">
        <f>B37</f>
        <v>元/车位</v>
      </c>
      <c r="C38" s="1412">
        <f>R39</f>
        <v>123300</v>
      </c>
      <c r="D38" s="1413"/>
      <c r="E38" s="1414">
        <f>R38</f>
        <v>127451</v>
      </c>
      <c r="F38" s="1414"/>
      <c r="G38" s="1412">
        <f>T38</f>
        <v>120000</v>
      </c>
      <c r="H38" s="1413"/>
      <c r="I38" s="1414">
        <f>V38</f>
        <v>122449</v>
      </c>
      <c r="J38" s="1413"/>
      <c r="K38" s="620"/>
      <c r="L38" s="1142"/>
      <c r="M38" s="1143"/>
      <c r="N38" s="1143"/>
      <c r="O38" s="1143"/>
      <c r="P38" s="3163" t="str">
        <f>A38</f>
        <v>比较价值（元/平方米）</v>
      </c>
      <c r="Q38" s="3163"/>
      <c r="R38" s="3228">
        <f>IF(F1="售价",ROUND(PRODUCT(R37,AA7:AA36),0),ROUND(PRODUCT(R37,AA7:AA36),1))</f>
        <v>127451</v>
      </c>
      <c r="S38" s="3228"/>
      <c r="T38" s="3228">
        <f>IF(F1="售价",ROUND(PRODUCT(T37,AB7:AB36),0),ROUND(PRODUCT(T37,AB7:AB36),1))</f>
        <v>120000</v>
      </c>
      <c r="U38" s="3228"/>
      <c r="V38" s="3228">
        <f>IF(F1="售价",ROUND(PRODUCT(V37,AC7:AC36),0),ROUND(PRODUCT(V37,AC7:AC36),1))</f>
        <v>122449</v>
      </c>
      <c r="W38" s="3228"/>
      <c r="X38" s="759"/>
      <c r="Y38" s="759"/>
      <c r="Z38" s="759"/>
      <c r="AA38" s="759"/>
      <c r="AB38" s="759"/>
      <c r="AC38" s="759"/>
    </row>
    <row r="39" spans="1:29" ht="15.75" thickBot="1">
      <c r="A39" s="492" t="s">
        <v>2714</v>
      </c>
      <c r="B39" s="493"/>
      <c r="C39" s="1416">
        <f>R39</f>
        <v>123300</v>
      </c>
      <c r="D39" s="1416"/>
      <c r="E39" s="1416"/>
      <c r="F39" s="1416"/>
      <c r="G39" s="1416"/>
      <c r="H39" s="1416"/>
      <c r="I39" s="1416"/>
      <c r="J39" s="1416"/>
      <c r="K39" s="621"/>
      <c r="L39" s="1142"/>
      <c r="M39" s="1143"/>
      <c r="N39" s="1143"/>
      <c r="O39" s="1143"/>
      <c r="P39" s="3157" t="str">
        <f>A39</f>
        <v>估价对象XX用房的比较价值（楼面单价，元/平方米）</v>
      </c>
      <c r="Q39" s="3158"/>
      <c r="R39" s="3227">
        <f>IF(F1="售价",ROUND(AVERAGE(R38:V38),0),ROUND(AVERAGE(R38:V38),1))</f>
        <v>123300</v>
      </c>
      <c r="S39" s="3227"/>
      <c r="T39" s="3227"/>
      <c r="U39" s="3227"/>
      <c r="V39" s="3227"/>
      <c r="W39" s="3227"/>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f>IF(E37&lt;E38,E38/E37-1,E37/E38-1)</f>
        <v>1.9999843076947244E-2</v>
      </c>
      <c r="F42" s="500" t="str">
        <f>IF(OR(E42&gt;=0.3,E42&lt;=-0.3),"超过30%","")</f>
        <v/>
      </c>
      <c r="G42" s="499">
        <f>IF(G37&lt;G38,G38/G37-1,G37/G38-1)</f>
        <v>0</v>
      </c>
      <c r="H42" s="500" t="str">
        <f>IF(OR(G42&gt;=0.3,G42&lt;=-0.3),"超过30%","")</f>
        <v/>
      </c>
      <c r="I42" s="499">
        <f>IF(I37&lt;I38,I38/I37-1,I37/I38-1)</f>
        <v>2.0408333333333362E-2</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f>IF(E38&lt;G38,G38/E38-1,E38/G38-1)</f>
        <v>6.2091666666666656E-2</v>
      </c>
      <c r="F43" s="500" t="str">
        <f>IF(OR(E43&gt;=0.2,E43&lt;=-0.2),"超过20%","")</f>
        <v/>
      </c>
      <c r="G43" s="499">
        <f>IF(G38&lt;I38,I38/G38-1,G38/I38-1)</f>
        <v>2.0408333333333362E-2</v>
      </c>
      <c r="H43" s="500" t="str">
        <f>IF(OR(G43&gt;=0.2,G43&lt;=-0.2),"超过20%","")</f>
        <v/>
      </c>
      <c r="I43" s="499">
        <f>IF(I38&lt;E38,E38/I38-1,I38/E38-1)</f>
        <v>4.0849659858390064E-2</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f>IF(E37&lt;G37,G37/E37-1,E37/G37-1)</f>
        <v>8.3333333333333259E-2</v>
      </c>
      <c r="F44" s="500" t="str">
        <f>IF(OR(E44&gt;=0.3,E44&lt;=-0.3),"超过30%","")</f>
        <v/>
      </c>
      <c r="G44" s="499">
        <f>IF(G37&lt;I37,I37/G37-1,G37/I37-1)</f>
        <v>0</v>
      </c>
      <c r="H44" s="500" t="str">
        <f>IF(OR(G44&gt;=0.3,G44&lt;=-0.3),"超过30%","")</f>
        <v/>
      </c>
      <c r="I44" s="499">
        <f>IF(I37&lt;E37,E37/I37-1,I37/E37-1)</f>
        <v>8.3333333333333259E-2</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2018-9</v>
      </c>
      <c r="D48" s="1574">
        <f>EDATE(C48,-1)</f>
        <v>43313</v>
      </c>
      <c r="E48" s="1574">
        <f t="shared" ref="E48:O48" si="16">EDATE(D48,-1)</f>
        <v>43282</v>
      </c>
      <c r="F48" s="1574">
        <f t="shared" si="16"/>
        <v>43252</v>
      </c>
      <c r="G48" s="1574">
        <f t="shared" si="16"/>
        <v>43221</v>
      </c>
      <c r="H48" s="1574">
        <f t="shared" si="16"/>
        <v>43191</v>
      </c>
      <c r="I48" s="1574">
        <f t="shared" si="16"/>
        <v>43160</v>
      </c>
      <c r="J48" s="1574">
        <f t="shared" si="16"/>
        <v>43132</v>
      </c>
      <c r="K48" s="1574">
        <f t="shared" si="16"/>
        <v>43101</v>
      </c>
      <c r="L48" s="1574">
        <f t="shared" si="16"/>
        <v>43070</v>
      </c>
      <c r="M48" s="1574">
        <f t="shared" si="16"/>
        <v>43040</v>
      </c>
      <c r="N48" s="1574">
        <f t="shared" si="16"/>
        <v>43009</v>
      </c>
      <c r="O48" s="1574">
        <f t="shared" si="16"/>
        <v>42979</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t="str">
        <f>C9</f>
        <v>住宅</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98</v>
      </c>
      <c r="E64" s="544">
        <f>D64-$K14</f>
        <v>96</v>
      </c>
      <c r="F64" s="544">
        <f>E64-$K14</f>
        <v>94</v>
      </c>
      <c r="G64" s="544">
        <f>F64-$K14</f>
        <v>92</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98</v>
      </c>
      <c r="E66" s="544">
        <f>D66-$K16</f>
        <v>96</v>
      </c>
      <c r="F66" s="544">
        <f>E66-$K16</f>
        <v>94</v>
      </c>
      <c r="G66" s="544">
        <f>F66-$K16</f>
        <v>92</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99</v>
      </c>
      <c r="E68" s="544">
        <f>D68-$K18</f>
        <v>98</v>
      </c>
      <c r="F68" s="544">
        <f>E68-$K18</f>
        <v>97</v>
      </c>
      <c r="G68" s="544">
        <f>F68-$K18</f>
        <v>96</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98.5</v>
      </c>
      <c r="E70" s="544">
        <f>D70-$K20</f>
        <v>97</v>
      </c>
      <c r="F70" s="544">
        <f>E70-$K20</f>
        <v>95.5</v>
      </c>
      <c r="G70" s="544">
        <f>F70-$K20</f>
        <v>94</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2721</v>
      </c>
      <c r="C79" s="529" t="str">
        <f>C26</f>
        <v>车库</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2947" t="s">
        <v>3088</v>
      </c>
      <c r="D83" s="2947" t="s">
        <v>3089</v>
      </c>
      <c r="E83" s="2947" t="s">
        <v>3090</v>
      </c>
      <c r="F83" s="2948" t="s">
        <v>3091</v>
      </c>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0(含)-10</v>
      </c>
      <c r="D90" s="578" t="str">
        <f t="shared" ref="D90:L90" si="21">D91&amp;"(含)"&amp;"-"&amp;E91</f>
        <v>10(含)-20</v>
      </c>
      <c r="E90" s="578" t="str">
        <f t="shared" si="21"/>
        <v>20(含)-30</v>
      </c>
      <c r="F90" s="578" t="str">
        <f t="shared" si="21"/>
        <v>30(含)-40</v>
      </c>
      <c r="G90" s="578" t="str">
        <f t="shared" si="21"/>
        <v>40(含)-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10</v>
      </c>
      <c r="E91" s="595">
        <v>20</v>
      </c>
      <c r="F91" s="595">
        <v>30</v>
      </c>
      <c r="G91" s="595">
        <v>40</v>
      </c>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100</v>
      </c>
      <c r="D92" s="536">
        <v>101</v>
      </c>
      <c r="E92" s="536">
        <v>102</v>
      </c>
      <c r="F92" s="536">
        <v>103</v>
      </c>
      <c r="G92" s="536">
        <v>104</v>
      </c>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3"/>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IF(C2="——",ROUND(C37*D3/10000,0),ROUND(C37*D3/10000,0)-D2)</f>
        <v>#DIV/0!</v>
      </c>
      <c r="C2" s="2585"/>
      <c r="D2" s="1123" t="e">
        <f ca="1">SUMIF(INDIRECT("'"&amp;F2&amp;"'"&amp;"!A:A"),"承租人权益价值",INDIRECT("'"&amp;F2&amp;"'"&amp;"!c:c"))</f>
        <v>#REF!</v>
      </c>
      <c r="E2" s="2586" t="s">
        <v>2323</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2637</v>
      </c>
      <c r="B4" s="402"/>
      <c r="C4" s="3160" t="s">
        <v>2638</v>
      </c>
      <c r="D4" s="3173"/>
      <c r="E4" s="3174" t="s">
        <v>2639</v>
      </c>
      <c r="F4" s="3175"/>
      <c r="G4" s="3160" t="s">
        <v>2640</v>
      </c>
      <c r="H4" s="3173"/>
      <c r="I4" s="3160" t="s">
        <v>2641</v>
      </c>
      <c r="J4" s="3173"/>
      <c r="K4" s="610" t="s">
        <v>2642</v>
      </c>
      <c r="L4" s="1129"/>
      <c r="M4" s="1130"/>
      <c r="N4" s="1130"/>
      <c r="O4" s="1130"/>
      <c r="P4" s="3176" t="s">
        <v>2643</v>
      </c>
      <c r="Q4" s="3177"/>
      <c r="R4" s="3182" t="s">
        <v>2639</v>
      </c>
      <c r="S4" s="3183"/>
      <c r="T4" s="3182" t="s">
        <v>2640</v>
      </c>
      <c r="U4" s="3183"/>
      <c r="V4" s="3169" t="s">
        <v>2641</v>
      </c>
      <c r="W4" s="3169"/>
      <c r="X4" s="1812"/>
      <c r="Y4" s="3182" t="s">
        <v>2643</v>
      </c>
      <c r="Z4" s="3183"/>
      <c r="AA4" s="3170" t="s">
        <v>2639</v>
      </c>
      <c r="AB4" s="3171" t="s">
        <v>2640</v>
      </c>
      <c r="AC4" s="3170" t="s">
        <v>2641</v>
      </c>
    </row>
    <row r="5" spans="1:29" ht="15">
      <c r="A5" s="404"/>
      <c r="B5" s="405"/>
      <c r="C5" s="3190" t="s">
        <v>2534</v>
      </c>
      <c r="D5" s="3191"/>
      <c r="E5" s="3198" t="s">
        <v>2535</v>
      </c>
      <c r="F5" s="3199"/>
      <c r="G5" s="3190" t="s">
        <v>2536</v>
      </c>
      <c r="H5" s="3191"/>
      <c r="I5" s="3190" t="s">
        <v>2537</v>
      </c>
      <c r="J5" s="3191"/>
      <c r="K5" s="610"/>
      <c r="L5" s="1129"/>
      <c r="M5" s="1130"/>
      <c r="N5" s="1130"/>
      <c r="O5" s="1130"/>
      <c r="P5" s="3178"/>
      <c r="Q5" s="3179"/>
      <c r="R5" s="3184"/>
      <c r="S5" s="3185"/>
      <c r="T5" s="3184"/>
      <c r="U5" s="3185"/>
      <c r="V5" s="3169"/>
      <c r="W5" s="3169"/>
      <c r="X5" s="1812"/>
      <c r="Y5" s="3184"/>
      <c r="Z5" s="3185"/>
      <c r="AA5" s="3171"/>
      <c r="AB5" s="3171"/>
      <c r="AC5" s="3171"/>
    </row>
    <row r="6" spans="1:29" ht="15.75" thickBot="1">
      <c r="A6" s="406"/>
      <c r="B6" s="407"/>
      <c r="C6" s="3195" t="s">
        <v>2538</v>
      </c>
      <c r="D6" s="3189"/>
      <c r="E6" s="3251" t="s">
        <v>2538</v>
      </c>
      <c r="F6" s="3197"/>
      <c r="G6" s="3195" t="s">
        <v>2538</v>
      </c>
      <c r="H6" s="3189"/>
      <c r="I6" s="3195" t="s">
        <v>2538</v>
      </c>
      <c r="J6" s="3189"/>
      <c r="K6" s="610" t="s">
        <v>2539</v>
      </c>
      <c r="L6" s="1129"/>
      <c r="M6" s="1130"/>
      <c r="N6" s="1130"/>
      <c r="O6" s="1130"/>
      <c r="P6" s="3180"/>
      <c r="Q6" s="3181"/>
      <c r="R6" s="3184"/>
      <c r="S6" s="3185"/>
      <c r="T6" s="3186"/>
      <c r="U6" s="3187"/>
      <c r="V6" s="3169"/>
      <c r="W6" s="3169"/>
      <c r="X6" s="1812"/>
      <c r="Y6" s="3186"/>
      <c r="Z6" s="3187"/>
      <c r="AA6" s="3172"/>
      <c r="AB6" s="3172"/>
      <c r="AC6" s="3172"/>
    </row>
    <row r="7" spans="1:29" s="117" customFormat="1" ht="15.75" thickBot="1">
      <c r="A7" s="408" t="s">
        <v>2540</v>
      </c>
      <c r="B7" s="409"/>
      <c r="C7" s="410">
        <f>'数据-取费表'!B2</f>
        <v>43371</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192" t="s">
        <v>2541</v>
      </c>
      <c r="Q7" s="3194"/>
      <c r="R7" s="770" t="s">
        <v>17</v>
      </c>
      <c r="S7" s="771">
        <f t="shared" ref="S7:S14" si="0">F7</f>
        <v>0</v>
      </c>
      <c r="T7" s="770" t="s">
        <v>17</v>
      </c>
      <c r="U7" s="771">
        <f t="shared" ref="U7:U14" si="1">H7</f>
        <v>0</v>
      </c>
      <c r="V7" s="770" t="s">
        <v>17</v>
      </c>
      <c r="W7" s="771">
        <f t="shared" ref="W7:W14" si="2">J7</f>
        <v>0</v>
      </c>
      <c r="X7" s="772"/>
      <c r="Y7" s="3192" t="s">
        <v>2541</v>
      </c>
      <c r="Z7" s="3193"/>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2" t="s">
        <v>2544</v>
      </c>
      <c r="Q8" s="3193"/>
      <c r="R8" s="770" t="s">
        <v>17</v>
      </c>
      <c r="S8" s="771">
        <f t="shared" si="0"/>
        <v>0</v>
      </c>
      <c r="T8" s="770" t="s">
        <v>17</v>
      </c>
      <c r="U8" s="771">
        <f t="shared" si="1"/>
        <v>0</v>
      </c>
      <c r="V8" s="770" t="s">
        <v>17</v>
      </c>
      <c r="W8" s="771">
        <f t="shared" si="2"/>
        <v>0</v>
      </c>
      <c r="X8" s="772"/>
      <c r="Y8" s="3192" t="s">
        <v>2544</v>
      </c>
      <c r="Z8" s="3193"/>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3" t="s">
        <v>2547</v>
      </c>
      <c r="Q9" s="1794" t="str">
        <f t="shared" ref="Q9:Q14" si="6">B9</f>
        <v>用途</v>
      </c>
      <c r="R9" s="770" t="s">
        <v>17</v>
      </c>
      <c r="S9" s="771">
        <f t="shared" si="0"/>
        <v>100</v>
      </c>
      <c r="T9" s="770" t="s">
        <v>17</v>
      </c>
      <c r="U9" s="771">
        <f t="shared" si="1"/>
        <v>100</v>
      </c>
      <c r="V9" s="770" t="s">
        <v>17</v>
      </c>
      <c r="W9" s="771">
        <f t="shared" si="2"/>
        <v>100</v>
      </c>
      <c r="X9" s="772"/>
      <c r="Y9" s="3011"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3"/>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3"/>
      <c r="Q11" s="1794">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3"/>
      <c r="Q12" s="1794">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2551</v>
      </c>
      <c r="B14" s="69" t="s">
        <v>2701</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65" t="s">
        <v>2552</v>
      </c>
      <c r="Q14" s="1809" t="str">
        <f t="shared" si="6"/>
        <v>交通便捷度</v>
      </c>
      <c r="R14" s="774" t="s">
        <v>17</v>
      </c>
      <c r="S14" s="775">
        <f t="shared" si="0"/>
        <v>100</v>
      </c>
      <c r="T14" s="774" t="s">
        <v>17</v>
      </c>
      <c r="U14" s="775">
        <f t="shared" si="1"/>
        <v>100</v>
      </c>
      <c r="V14" s="774" t="s">
        <v>17</v>
      </c>
      <c r="W14" s="775">
        <f t="shared" si="2"/>
        <v>100</v>
      </c>
      <c r="X14" s="1812"/>
      <c r="Y14" s="3165" t="s">
        <v>2552</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66"/>
      <c r="Q15" s="1809"/>
      <c r="R15" s="774"/>
      <c r="S15" s="775"/>
      <c r="T15" s="774"/>
      <c r="U15" s="775"/>
      <c r="V15" s="774"/>
      <c r="W15" s="775"/>
      <c r="X15" s="1812"/>
      <c r="Y15" s="3166"/>
      <c r="Z15" s="1813"/>
      <c r="AA15" s="1810">
        <v>1</v>
      </c>
      <c r="AB15" s="1810">
        <v>1</v>
      </c>
      <c r="AC15" s="1810">
        <v>1</v>
      </c>
    </row>
    <row r="16" spans="1:29" ht="42.75">
      <c r="A16" s="428"/>
      <c r="B16" s="451" t="s">
        <v>2680</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66"/>
      <c r="Q16" s="1809" t="str">
        <f>B16</f>
        <v>公共配套设施</v>
      </c>
      <c r="R16" s="774" t="s">
        <v>17</v>
      </c>
      <c r="S16" s="775">
        <f>F16</f>
        <v>100</v>
      </c>
      <c r="T16" s="774" t="s">
        <v>17</v>
      </c>
      <c r="U16" s="775">
        <f>H16</f>
        <v>100</v>
      </c>
      <c r="V16" s="774" t="s">
        <v>17</v>
      </c>
      <c r="W16" s="775">
        <f>J16</f>
        <v>100</v>
      </c>
      <c r="X16" s="1812"/>
      <c r="Y16" s="3166"/>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9"/>
      <c r="M17" s="1130"/>
      <c r="N17" s="1130"/>
      <c r="O17" s="1138"/>
      <c r="P17" s="3166"/>
      <c r="Q17" s="1809"/>
      <c r="R17" s="774"/>
      <c r="S17" s="775"/>
      <c r="T17" s="774"/>
      <c r="U17" s="775"/>
      <c r="V17" s="774"/>
      <c r="W17" s="775"/>
      <c r="X17" s="1812"/>
      <c r="Y17" s="3166"/>
      <c r="Z17" s="1813"/>
      <c r="AA17" s="1810">
        <v>1</v>
      </c>
      <c r="AB17" s="1810">
        <v>1</v>
      </c>
      <c r="AC17" s="1810">
        <v>1</v>
      </c>
    </row>
    <row r="18" spans="1:29" ht="28.5">
      <c r="A18" s="428"/>
      <c r="B18" s="1383" t="s">
        <v>2681</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66"/>
      <c r="Q18" s="1809" t="str">
        <f>B18</f>
        <v>基础设施水平</v>
      </c>
      <c r="R18" s="774" t="s">
        <v>17</v>
      </c>
      <c r="S18" s="775">
        <f>F18</f>
        <v>100</v>
      </c>
      <c r="T18" s="774" t="s">
        <v>17</v>
      </c>
      <c r="U18" s="775">
        <f>H18</f>
        <v>100</v>
      </c>
      <c r="V18" s="774" t="s">
        <v>17</v>
      </c>
      <c r="W18" s="775">
        <f>J18</f>
        <v>100</v>
      </c>
      <c r="X18" s="1812"/>
      <c r="Y18" s="3166"/>
      <c r="Z18" s="1813" t="str">
        <f>Q18</f>
        <v>基础设施水平</v>
      </c>
      <c r="AA18" s="1810">
        <f t="shared" ref="AA18" si="8">D18/F18</f>
        <v>1</v>
      </c>
      <c r="AB18" s="1810">
        <f t="shared" ref="AB18" si="9">D18/H18</f>
        <v>1</v>
      </c>
      <c r="AC18" s="1810">
        <f t="shared" ref="AC18" si="10">D18/J18</f>
        <v>1</v>
      </c>
    </row>
    <row r="19" spans="1:29" ht="15">
      <c r="A19" s="428"/>
      <c r="B19" s="1383"/>
      <c r="C19" s="2607"/>
      <c r="D19" s="450"/>
      <c r="E19" s="2607"/>
      <c r="F19" s="453"/>
      <c r="G19" s="2607"/>
      <c r="H19" s="448"/>
      <c r="I19" s="447"/>
      <c r="J19" s="448"/>
      <c r="K19" s="1382"/>
      <c r="L19" s="1139"/>
      <c r="M19" s="1130"/>
      <c r="N19" s="1130"/>
      <c r="O19" s="1138"/>
      <c r="P19" s="3166"/>
      <c r="Q19" s="1809"/>
      <c r="R19" s="774"/>
      <c r="S19" s="775"/>
      <c r="T19" s="774"/>
      <c r="U19" s="775"/>
      <c r="V19" s="774"/>
      <c r="W19" s="775"/>
      <c r="X19" s="1812"/>
      <c r="Y19" s="3166"/>
      <c r="Z19" s="1813"/>
      <c r="AA19" s="1810">
        <v>1</v>
      </c>
      <c r="AB19" s="1810">
        <v>1</v>
      </c>
      <c r="AC19" s="1810">
        <v>1</v>
      </c>
    </row>
    <row r="20" spans="1:29" ht="57">
      <c r="A20" s="428"/>
      <c r="B20" s="451" t="s">
        <v>2702</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66"/>
      <c r="Q20" s="1809" t="str">
        <f>B20</f>
        <v>自然及人文环境</v>
      </c>
      <c r="R20" s="774" t="s">
        <v>17</v>
      </c>
      <c r="S20" s="775">
        <f>F20</f>
        <v>100</v>
      </c>
      <c r="T20" s="774" t="s">
        <v>17</v>
      </c>
      <c r="U20" s="775">
        <f>H20</f>
        <v>100</v>
      </c>
      <c r="V20" s="774" t="s">
        <v>17</v>
      </c>
      <c r="W20" s="775">
        <f>J20</f>
        <v>100</v>
      </c>
      <c r="X20" s="1812"/>
      <c r="Y20" s="316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66"/>
      <c r="Q21" s="1809"/>
      <c r="R21" s="774"/>
      <c r="S21" s="775"/>
      <c r="T21" s="774"/>
      <c r="U21" s="775"/>
      <c r="V21" s="774"/>
      <c r="W21" s="775"/>
      <c r="X21" s="1812"/>
      <c r="Y21" s="3166"/>
      <c r="Z21" s="1813"/>
      <c r="AA21" s="1810">
        <v>1</v>
      </c>
      <c r="AB21" s="1810">
        <v>1</v>
      </c>
      <c r="AC21" s="1810">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66"/>
      <c r="Q22" s="1809" t="str">
        <f>B22</f>
        <v>楼层</v>
      </c>
      <c r="R22" s="774" t="s">
        <v>17</v>
      </c>
      <c r="S22" s="775">
        <f>F22</f>
        <v>100</v>
      </c>
      <c r="T22" s="774" t="s">
        <v>17</v>
      </c>
      <c r="U22" s="775">
        <f>H22</f>
        <v>100</v>
      </c>
      <c r="V22" s="774" t="s">
        <v>17</v>
      </c>
      <c r="W22" s="775">
        <f>J22</f>
        <v>100</v>
      </c>
      <c r="X22" s="1812"/>
      <c r="Y22" s="3166"/>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66"/>
      <c r="Q23" s="1809">
        <f>B23</f>
        <v>111</v>
      </c>
      <c r="R23" s="774" t="s">
        <v>17</v>
      </c>
      <c r="S23" s="775">
        <f>F23</f>
        <v>100</v>
      </c>
      <c r="T23" s="774" t="s">
        <v>17</v>
      </c>
      <c r="U23" s="775">
        <f>H23</f>
        <v>100</v>
      </c>
      <c r="V23" s="774" t="s">
        <v>17</v>
      </c>
      <c r="W23" s="775">
        <f>J23</f>
        <v>100</v>
      </c>
      <c r="X23" s="1812"/>
      <c r="Y23" s="3166"/>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66"/>
      <c r="Q24" s="1809">
        <f t="shared" ref="Q24:Q34" si="11">B24</f>
        <v>111</v>
      </c>
      <c r="R24" s="774" t="s">
        <v>17</v>
      </c>
      <c r="S24" s="775">
        <f>F24</f>
        <v>100</v>
      </c>
      <c r="T24" s="774" t="s">
        <v>17</v>
      </c>
      <c r="U24" s="775">
        <f>H24</f>
        <v>100</v>
      </c>
      <c r="V24" s="774" t="s">
        <v>17</v>
      </c>
      <c r="W24" s="775">
        <f>J24</f>
        <v>100</v>
      </c>
      <c r="X24" s="1812"/>
      <c r="Y24" s="3166"/>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166"/>
      <c r="Q25" s="1794">
        <f t="shared" si="11"/>
        <v>111</v>
      </c>
      <c r="R25" s="770" t="s">
        <v>17</v>
      </c>
      <c r="S25" s="771">
        <f>F25</f>
        <v>100</v>
      </c>
      <c r="T25" s="770" t="s">
        <v>17</v>
      </c>
      <c r="U25" s="771">
        <f>H25</f>
        <v>100</v>
      </c>
      <c r="V25" s="770" t="s">
        <v>17</v>
      </c>
      <c r="W25" s="771">
        <f>J25</f>
        <v>100</v>
      </c>
      <c r="X25" s="772"/>
      <c r="Y25" s="3166"/>
      <c r="Z25" s="55">
        <f>Q25</f>
        <v>111</v>
      </c>
      <c r="AA25" s="1810">
        <f>D25/F25</f>
        <v>1</v>
      </c>
      <c r="AB25" s="1810">
        <f>D25/H25</f>
        <v>1</v>
      </c>
      <c r="AC25" s="1810">
        <f>D25/J25</f>
        <v>1</v>
      </c>
    </row>
    <row r="26" spans="1:29" ht="15">
      <c r="A26" s="466" t="s">
        <v>2555</v>
      </c>
      <c r="B26" s="71" t="s">
        <v>2706</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3167" t="s">
        <v>2557</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68" t="s">
        <v>2557</v>
      </c>
      <c r="Z26" s="1813" t="str">
        <f t="shared" ref="Z26:Z34" si="15">Q26</f>
        <v>公共部分装修</v>
      </c>
      <c r="AA26" s="1810">
        <f t="shared" si="3"/>
        <v>1</v>
      </c>
      <c r="AB26" s="1810">
        <f t="shared" si="4"/>
        <v>1</v>
      </c>
      <c r="AC26" s="1810">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10" t="e">
        <f t="shared" si="3"/>
        <v>#N/A</v>
      </c>
      <c r="AB27" s="1810" t="e">
        <f t="shared" si="4"/>
        <v>#N/A</v>
      </c>
      <c r="AC27" s="1810"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68"/>
      <c r="Q28" s="1809" t="str">
        <f t="shared" si="11"/>
        <v>物业等级</v>
      </c>
      <c r="R28" s="774" t="s">
        <v>17</v>
      </c>
      <c r="S28" s="775">
        <f t="shared" si="12"/>
        <v>100</v>
      </c>
      <c r="T28" s="774" t="s">
        <v>17</v>
      </c>
      <c r="U28" s="775">
        <f t="shared" si="13"/>
        <v>100</v>
      </c>
      <c r="V28" s="774" t="s">
        <v>17</v>
      </c>
      <c r="W28" s="775">
        <f t="shared" si="14"/>
        <v>100</v>
      </c>
      <c r="X28" s="1812"/>
      <c r="Y28" s="3168"/>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68"/>
      <c r="Q29" s="1809" t="str">
        <f t="shared" si="11"/>
        <v>有无电梯</v>
      </c>
      <c r="R29" s="774" t="s">
        <v>17</v>
      </c>
      <c r="S29" s="775">
        <f t="shared" si="12"/>
        <v>100</v>
      </c>
      <c r="T29" s="774" t="s">
        <v>17</v>
      </c>
      <c r="U29" s="775">
        <f t="shared" si="13"/>
        <v>100</v>
      </c>
      <c r="V29" s="774" t="s">
        <v>17</v>
      </c>
      <c r="W29" s="775">
        <f t="shared" si="14"/>
        <v>100</v>
      </c>
      <c r="X29" s="1812"/>
      <c r="Y29" s="3168"/>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68"/>
      <c r="Q30" s="1809" t="str">
        <f t="shared" si="11"/>
        <v>建筑面积</v>
      </c>
      <c r="R30" s="774" t="s">
        <v>17</v>
      </c>
      <c r="S30" s="775" t="e">
        <f t="shared" si="12"/>
        <v>#N/A</v>
      </c>
      <c r="T30" s="774" t="s">
        <v>17</v>
      </c>
      <c r="U30" s="775" t="e">
        <f t="shared" si="13"/>
        <v>#N/A</v>
      </c>
      <c r="V30" s="774" t="s">
        <v>17</v>
      </c>
      <c r="W30" s="775" t="e">
        <f t="shared" si="14"/>
        <v>#N/A</v>
      </c>
      <c r="X30" s="1812"/>
      <c r="Y30" s="3168"/>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68"/>
      <c r="Q31" s="1794"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68" t="s">
        <v>2557</v>
      </c>
      <c r="Q32" s="1809">
        <f t="shared" si="11"/>
        <v>111</v>
      </c>
      <c r="R32" s="774" t="s">
        <v>17</v>
      </c>
      <c r="S32" s="775">
        <f t="shared" si="12"/>
        <v>100</v>
      </c>
      <c r="T32" s="774" t="s">
        <v>17</v>
      </c>
      <c r="U32" s="775">
        <f t="shared" si="13"/>
        <v>100</v>
      </c>
      <c r="V32" s="774" t="s">
        <v>17</v>
      </c>
      <c r="W32" s="775">
        <f t="shared" si="14"/>
        <v>100</v>
      </c>
      <c r="X32" s="1812"/>
      <c r="Y32" s="3168" t="s">
        <v>2557</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68"/>
      <c r="Q33" s="1809">
        <f t="shared" si="11"/>
        <v>111</v>
      </c>
      <c r="R33" s="774" t="s">
        <v>17</v>
      </c>
      <c r="S33" s="775">
        <f t="shared" si="12"/>
        <v>100</v>
      </c>
      <c r="T33" s="774" t="s">
        <v>17</v>
      </c>
      <c r="U33" s="775">
        <f t="shared" si="13"/>
        <v>100</v>
      </c>
      <c r="V33" s="774" t="s">
        <v>17</v>
      </c>
      <c r="W33" s="775">
        <f t="shared" si="14"/>
        <v>100</v>
      </c>
      <c r="X33" s="1812"/>
      <c r="Y33" s="3168"/>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168"/>
      <c r="Q34" s="1809">
        <f t="shared" si="11"/>
        <v>111</v>
      </c>
      <c r="R34" s="774" t="s">
        <v>17</v>
      </c>
      <c r="S34" s="775">
        <f t="shared" si="12"/>
        <v>100</v>
      </c>
      <c r="T34" s="774" t="s">
        <v>17</v>
      </c>
      <c r="U34" s="775">
        <f t="shared" si="13"/>
        <v>100</v>
      </c>
      <c r="V34" s="774" t="s">
        <v>17</v>
      </c>
      <c r="W34" s="775">
        <f t="shared" si="14"/>
        <v>100</v>
      </c>
      <c r="X34" s="1812"/>
      <c r="Y34" s="3168"/>
      <c r="Z34" s="1813">
        <f t="shared" si="15"/>
        <v>111</v>
      </c>
      <c r="AA34" s="1810">
        <f t="shared" si="3"/>
        <v>1</v>
      </c>
      <c r="AB34" s="1810">
        <f t="shared" si="4"/>
        <v>1</v>
      </c>
      <c r="AC34" s="1810">
        <f t="shared" si="5"/>
        <v>1</v>
      </c>
    </row>
    <row r="35" spans="1:29" ht="15">
      <c r="A35" s="479" t="s">
        <v>2569</v>
      </c>
      <c r="B35" s="480"/>
      <c r="C35" s="1406" t="s">
        <v>1</v>
      </c>
      <c r="D35" s="1407"/>
      <c r="E35" s="1408"/>
      <c r="F35" s="1409"/>
      <c r="G35" s="1410"/>
      <c r="H35" s="1411"/>
      <c r="I35" s="1408"/>
      <c r="J35" s="1411"/>
      <c r="K35" s="783"/>
      <c r="L35" s="1142"/>
      <c r="M35" s="1143"/>
      <c r="N35" s="1130"/>
      <c r="O35" s="1143"/>
      <c r="P35" s="3163" t="str">
        <f>A35</f>
        <v>成交单价（元/平方米）</v>
      </c>
      <c r="Q35" s="3163"/>
      <c r="R35" s="3228">
        <f>E35</f>
        <v>0</v>
      </c>
      <c r="S35" s="3228"/>
      <c r="T35" s="3228">
        <f>G35</f>
        <v>0</v>
      </c>
      <c r="U35" s="3228"/>
      <c r="V35" s="3228">
        <f>I35</f>
        <v>0</v>
      </c>
      <c r="W35" s="3228"/>
      <c r="X35" s="759"/>
      <c r="Y35" s="781"/>
      <c r="Z35" s="759"/>
      <c r="AA35" s="759"/>
      <c r="AB35" s="759"/>
      <c r="AC35" s="759"/>
    </row>
    <row r="36" spans="1:29" ht="15.75" thickBot="1">
      <c r="A36" s="486" t="s">
        <v>2661</v>
      </c>
      <c r="B36" s="487"/>
      <c r="C36" s="1412" t="e">
        <f>R37</f>
        <v>#DIV/0!</v>
      </c>
      <c r="D36" s="1413"/>
      <c r="E36" s="1414" t="e">
        <f>R36</f>
        <v>#DIV/0!</v>
      </c>
      <c r="F36" s="1414"/>
      <c r="G36" s="1412" t="e">
        <f>T36</f>
        <v>#DIV/0!</v>
      </c>
      <c r="H36" s="1413"/>
      <c r="I36" s="1414" t="e">
        <f>V36</f>
        <v>#DIV/0!</v>
      </c>
      <c r="J36" s="1413"/>
      <c r="K36" s="784"/>
      <c r="L36" s="1142"/>
      <c r="M36" s="1143"/>
      <c r="N36" s="1130"/>
      <c r="O36" s="1143"/>
      <c r="P36" s="3163" t="str">
        <f>A36</f>
        <v>比较价值（元/平方米）</v>
      </c>
      <c r="Q36" s="3163"/>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2662</v>
      </c>
      <c r="B37" s="493"/>
      <c r="C37" s="1416" t="e">
        <f>R37</f>
        <v>#DIV/0!</v>
      </c>
      <c r="D37" s="1416"/>
      <c r="E37" s="1416"/>
      <c r="F37" s="1416"/>
      <c r="G37" s="1416"/>
      <c r="H37" s="1416"/>
      <c r="I37" s="1416"/>
      <c r="J37" s="1416"/>
      <c r="K37" s="785"/>
      <c r="L37" s="1142"/>
      <c r="M37" s="1143"/>
      <c r="N37" s="1143"/>
      <c r="O37" s="1143"/>
      <c r="P37" s="3157" t="str">
        <f>A37</f>
        <v>估价对象XX用房的比较价值（楼面单价，元/平方米）</v>
      </c>
      <c r="Q37" s="3158"/>
      <c r="R37" s="3227" t="e">
        <f>IF(F1="售价",ROUND(AVERAGE(R36:V36),0),ROUND(AVERAGE(R36:V36),1))</f>
        <v>#DIV/0!</v>
      </c>
      <c r="S37" s="3227"/>
      <c r="T37" s="3227"/>
      <c r="U37" s="3227"/>
      <c r="V37" s="3227"/>
      <c r="W37" s="3227"/>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3" t="str">
        <f>YEAR(C7)&amp;"-"&amp;MONTH(C7)</f>
        <v>2018-9</v>
      </c>
      <c r="D46" s="1574">
        <f>EDATE(C46,-1)</f>
        <v>43313</v>
      </c>
      <c r="E46" s="1574">
        <f t="shared" ref="E46:O46" si="16">EDATE(D46,-1)</f>
        <v>43282</v>
      </c>
      <c r="F46" s="1574">
        <f t="shared" si="16"/>
        <v>43252</v>
      </c>
      <c r="G46" s="1574">
        <f t="shared" si="16"/>
        <v>43221</v>
      </c>
      <c r="H46" s="1574">
        <f t="shared" si="16"/>
        <v>43191</v>
      </c>
      <c r="I46" s="1574">
        <f t="shared" si="16"/>
        <v>43160</v>
      </c>
      <c r="J46" s="1574">
        <f t="shared" si="16"/>
        <v>43132</v>
      </c>
      <c r="K46" s="1574">
        <f t="shared" si="16"/>
        <v>43101</v>
      </c>
      <c r="L46" s="1574">
        <f t="shared" si="16"/>
        <v>43070</v>
      </c>
      <c r="M46" s="1574">
        <f t="shared" si="16"/>
        <v>43040</v>
      </c>
      <c r="N46" s="1574">
        <f t="shared" si="16"/>
        <v>43009</v>
      </c>
      <c r="O46" s="1574">
        <f t="shared" si="16"/>
        <v>42979</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20" sqref="N2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2637</v>
      </c>
      <c r="B4" s="402"/>
      <c r="C4" s="3160" t="s">
        <v>2638</v>
      </c>
      <c r="D4" s="3173"/>
      <c r="E4" s="3174" t="s">
        <v>2639</v>
      </c>
      <c r="F4" s="3175"/>
      <c r="G4" s="3160" t="s">
        <v>2640</v>
      </c>
      <c r="H4" s="3173"/>
      <c r="I4" s="3160" t="s">
        <v>2641</v>
      </c>
      <c r="J4" s="3173"/>
      <c r="K4" s="610" t="s">
        <v>2642</v>
      </c>
      <c r="L4" s="1129"/>
      <c r="M4" s="1130"/>
      <c r="N4" s="1130"/>
      <c r="O4" s="1130"/>
      <c r="P4" s="3176" t="s">
        <v>2643</v>
      </c>
      <c r="Q4" s="3177"/>
      <c r="R4" s="3182" t="s">
        <v>2639</v>
      </c>
      <c r="S4" s="3183"/>
      <c r="T4" s="3182" t="s">
        <v>2640</v>
      </c>
      <c r="U4" s="3183"/>
      <c r="V4" s="3169" t="s">
        <v>2641</v>
      </c>
      <c r="W4" s="3169"/>
      <c r="X4" s="1812"/>
      <c r="Y4" s="3182" t="s">
        <v>2643</v>
      </c>
      <c r="Z4" s="3183"/>
      <c r="AA4" s="3170" t="s">
        <v>2639</v>
      </c>
      <c r="AB4" s="3171" t="s">
        <v>2640</v>
      </c>
      <c r="AC4" s="3170" t="s">
        <v>2641</v>
      </c>
    </row>
    <row r="5" spans="1:29" ht="15">
      <c r="A5" s="404"/>
      <c r="B5" s="405"/>
      <c r="C5" s="3190" t="s">
        <v>2534</v>
      </c>
      <c r="D5" s="3191"/>
      <c r="E5" s="3198" t="s">
        <v>2535</v>
      </c>
      <c r="F5" s="3199"/>
      <c r="G5" s="3190" t="s">
        <v>2536</v>
      </c>
      <c r="H5" s="3191"/>
      <c r="I5" s="3190" t="s">
        <v>2537</v>
      </c>
      <c r="J5" s="3191"/>
      <c r="K5" s="610"/>
      <c r="L5" s="1129"/>
      <c r="M5" s="1130"/>
      <c r="N5" s="1130"/>
      <c r="O5" s="1130"/>
      <c r="P5" s="3178"/>
      <c r="Q5" s="3179"/>
      <c r="R5" s="3184"/>
      <c r="S5" s="3185"/>
      <c r="T5" s="3184"/>
      <c r="U5" s="3185"/>
      <c r="V5" s="3169"/>
      <c r="W5" s="3169"/>
      <c r="X5" s="1812"/>
      <c r="Y5" s="3184"/>
      <c r="Z5" s="3185"/>
      <c r="AA5" s="3171"/>
      <c r="AB5" s="3171"/>
      <c r="AC5" s="3171"/>
    </row>
    <row r="6" spans="1:29" ht="15.75" thickBot="1">
      <c r="A6" s="406"/>
      <c r="B6" s="407"/>
      <c r="C6" s="3253" t="s">
        <v>2788</v>
      </c>
      <c r="D6" s="3254"/>
      <c r="E6" s="3255" t="s">
        <v>2788</v>
      </c>
      <c r="F6" s="3256"/>
      <c r="G6" s="3253" t="s">
        <v>2788</v>
      </c>
      <c r="H6" s="3254"/>
      <c r="I6" s="3253" t="s">
        <v>2788</v>
      </c>
      <c r="J6" s="3254"/>
      <c r="K6" s="610" t="s">
        <v>2539</v>
      </c>
      <c r="L6" s="1129"/>
      <c r="M6" s="1130"/>
      <c r="N6" s="1130"/>
      <c r="O6" s="1130"/>
      <c r="P6" s="3180"/>
      <c r="Q6" s="3181"/>
      <c r="R6" s="3184"/>
      <c r="S6" s="3185"/>
      <c r="T6" s="3186"/>
      <c r="U6" s="3187"/>
      <c r="V6" s="3169"/>
      <c r="W6" s="3169"/>
      <c r="X6" s="1812"/>
      <c r="Y6" s="3186"/>
      <c r="Z6" s="3187"/>
      <c r="AA6" s="3172"/>
      <c r="AB6" s="3172"/>
      <c r="AC6" s="3172"/>
    </row>
    <row r="7" spans="1:29" s="117" customFormat="1" ht="15.75" thickBot="1">
      <c r="A7" s="408" t="s">
        <v>2540</v>
      </c>
      <c r="B7" s="409"/>
      <c r="C7" s="410">
        <f>'数据-取费表'!B2</f>
        <v>43371</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192" t="s">
        <v>2541</v>
      </c>
      <c r="Q7" s="3194"/>
      <c r="R7" s="770" t="s">
        <v>17</v>
      </c>
      <c r="S7" s="771">
        <f t="shared" ref="S7:S15" si="0">F7</f>
        <v>0</v>
      </c>
      <c r="T7" s="770" t="s">
        <v>17</v>
      </c>
      <c r="U7" s="771">
        <f t="shared" ref="U7:U15" si="1">H7</f>
        <v>0</v>
      </c>
      <c r="V7" s="770" t="s">
        <v>17</v>
      </c>
      <c r="W7" s="771">
        <f t="shared" ref="W7:W15" si="2">J7</f>
        <v>0</v>
      </c>
      <c r="X7" s="772"/>
      <c r="Y7" s="3192" t="s">
        <v>2541</v>
      </c>
      <c r="Z7" s="3193"/>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2" t="s">
        <v>2544</v>
      </c>
      <c r="Q8" s="3193"/>
      <c r="R8" s="770" t="s">
        <v>17</v>
      </c>
      <c r="S8" s="771">
        <f t="shared" si="0"/>
        <v>0</v>
      </c>
      <c r="T8" s="770" t="s">
        <v>17</v>
      </c>
      <c r="U8" s="771">
        <f t="shared" si="1"/>
        <v>0</v>
      </c>
      <c r="V8" s="770" t="s">
        <v>17</v>
      </c>
      <c r="W8" s="771">
        <f t="shared" si="2"/>
        <v>0</v>
      </c>
      <c r="X8" s="772"/>
      <c r="Y8" s="3192" t="s">
        <v>2544</v>
      </c>
      <c r="Z8" s="3193"/>
      <c r="AA8" s="773" t="e">
        <f t="shared" ref="AA8:AA40" si="3">D8/F8</f>
        <v>#DIV/0!</v>
      </c>
      <c r="AB8" s="773" t="e">
        <f t="shared" ref="AB8:AB40" si="4">D8/H8</f>
        <v>#DIV/0!</v>
      </c>
      <c r="AC8" s="773" t="e">
        <f t="shared" ref="AC8:AC40" si="5">D8/J8</f>
        <v>#DIV/0!</v>
      </c>
    </row>
    <row r="9" spans="1:29" s="117" customFormat="1">
      <c r="A9" s="415" t="s">
        <v>2545</v>
      </c>
      <c r="B9" s="71" t="s">
        <v>2546</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163" t="s">
        <v>2547</v>
      </c>
      <c r="Q9" s="1794" t="str">
        <f t="shared" ref="Q9:Q15" si="6">B9</f>
        <v>用途</v>
      </c>
      <c r="R9" s="770" t="s">
        <v>17</v>
      </c>
      <c r="S9" s="771">
        <f t="shared" si="0"/>
        <v>100</v>
      </c>
      <c r="T9" s="770" t="s">
        <v>17</v>
      </c>
      <c r="U9" s="771">
        <f t="shared" si="1"/>
        <v>100</v>
      </c>
      <c r="V9" s="770" t="s">
        <v>17</v>
      </c>
      <c r="W9" s="771">
        <f t="shared" si="2"/>
        <v>100</v>
      </c>
      <c r="X9" s="772"/>
      <c r="Y9" s="3011"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100</v>
      </c>
      <c r="G10" s="432"/>
      <c r="H10" s="136">
        <f>ROUND(100/'数据-取费表'!G16,0)</f>
        <v>100</v>
      </c>
      <c r="I10" s="432"/>
      <c r="J10" s="136">
        <f>ROUND(100/'数据-取费表'!G16,0)</f>
        <v>100</v>
      </c>
      <c r="K10" s="672"/>
      <c r="L10" s="1134"/>
      <c r="M10" s="1135"/>
      <c r="N10" s="1135"/>
      <c r="O10" s="1136"/>
      <c r="P10" s="3163"/>
      <c r="Q10" s="1794"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3"/>
      <c r="Q11" s="1794"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3"/>
      <c r="Q12" s="1794">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3"/>
      <c r="Q14" s="1794">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2551</v>
      </c>
      <c r="B15" s="629" t="s">
        <v>2789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65" t="s">
        <v>2552</v>
      </c>
      <c r="Q15" s="1809" t="str">
        <f t="shared" si="6"/>
        <v>产业集聚程度</v>
      </c>
      <c r="R15" s="774" t="s">
        <v>17</v>
      </c>
      <c r="S15" s="775">
        <f t="shared" si="0"/>
        <v>100</v>
      </c>
      <c r="T15" s="774" t="s">
        <v>17</v>
      </c>
      <c r="U15" s="775">
        <f t="shared" si="1"/>
        <v>100</v>
      </c>
      <c r="V15" s="774" t="s">
        <v>17</v>
      </c>
      <c r="W15" s="775">
        <f t="shared" si="2"/>
        <v>100</v>
      </c>
      <c r="X15" s="1812"/>
      <c r="Y15" s="3165" t="s">
        <v>2552</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9"/>
      <c r="M16" s="1130"/>
      <c r="N16" s="1130"/>
      <c r="O16" s="1138"/>
      <c r="P16" s="3166"/>
      <c r="Q16" s="1809"/>
      <c r="R16" s="774"/>
      <c r="S16" s="775"/>
      <c r="T16" s="774"/>
      <c r="U16" s="775"/>
      <c r="V16" s="774"/>
      <c r="W16" s="775"/>
      <c r="X16" s="1812"/>
      <c r="Y16" s="3166"/>
      <c r="Z16" s="1813"/>
      <c r="AA16" s="1810">
        <v>1</v>
      </c>
      <c r="AB16" s="1810">
        <v>1</v>
      </c>
      <c r="AC16" s="1810">
        <v>1</v>
      </c>
    </row>
    <row r="17" spans="1:29" ht="85.5">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66"/>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9"/>
      <c r="M18" s="1130"/>
      <c r="N18" s="1130"/>
      <c r="O18" s="1138"/>
      <c r="P18" s="3166"/>
      <c r="Q18" s="1809"/>
      <c r="R18" s="774"/>
      <c r="S18" s="775"/>
      <c r="T18" s="774"/>
      <c r="U18" s="775"/>
      <c r="V18" s="774"/>
      <c r="W18" s="775"/>
      <c r="X18" s="1812"/>
      <c r="Y18" s="3166"/>
      <c r="Z18" s="1813"/>
      <c r="AA18" s="1810">
        <v>1</v>
      </c>
      <c r="AB18" s="1810">
        <v>1</v>
      </c>
      <c r="AC18" s="1810">
        <v>1</v>
      </c>
    </row>
    <row r="19" spans="1:29" ht="15">
      <c r="A19" s="428"/>
      <c r="B19" s="631" t="s">
        <v>2739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66"/>
      <c r="Q19" s="1809" t="str">
        <f t="shared" ref="Q19:Q33" si="8">B19</f>
        <v>区域土地利用方向</v>
      </c>
      <c r="R19" s="774" t="s">
        <v>17</v>
      </c>
      <c r="S19" s="775">
        <f>F19</f>
        <v>100</v>
      </c>
      <c r="T19" s="774" t="s">
        <v>17</v>
      </c>
      <c r="U19" s="775">
        <f>H19</f>
        <v>100</v>
      </c>
      <c r="V19" s="774" t="s">
        <v>17</v>
      </c>
      <c r="W19" s="775">
        <f>J19</f>
        <v>100</v>
      </c>
      <c r="X19" s="1812"/>
      <c r="Y19" s="3166"/>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8"/>
      <c r="L20" s="1139"/>
      <c r="M20" s="1130"/>
      <c r="N20" s="1130"/>
      <c r="O20" s="1138"/>
      <c r="P20" s="3166"/>
      <c r="Q20" s="1809"/>
      <c r="R20" s="774"/>
      <c r="S20" s="775"/>
      <c r="T20" s="774"/>
      <c r="U20" s="775"/>
      <c r="V20" s="774"/>
      <c r="W20" s="775"/>
      <c r="X20" s="1812"/>
      <c r="Y20" s="3166"/>
      <c r="Z20" s="1813"/>
      <c r="AA20" s="1810"/>
      <c r="AB20" s="1810"/>
      <c r="AC20" s="1810"/>
    </row>
    <row r="21" spans="1:29" ht="71.25">
      <c r="A21" s="404"/>
      <c r="B21" s="631" t="s">
        <v>2790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66"/>
      <c r="Q21" s="1809" t="str">
        <f t="shared" si="8"/>
        <v>环境状况</v>
      </c>
      <c r="R21" s="774" t="s">
        <v>17</v>
      </c>
      <c r="S21" s="775">
        <f>F21</f>
        <v>100</v>
      </c>
      <c r="T21" s="774" t="s">
        <v>17</v>
      </c>
      <c r="U21" s="775">
        <f>H21</f>
        <v>100</v>
      </c>
      <c r="V21" s="774" t="s">
        <v>17</v>
      </c>
      <c r="W21" s="775">
        <f>J21</f>
        <v>100</v>
      </c>
      <c r="X21" s="1812"/>
      <c r="Y21" s="3166"/>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9"/>
      <c r="M22" s="1130"/>
      <c r="N22" s="1130"/>
      <c r="O22" s="1138"/>
      <c r="P22" s="3166"/>
      <c r="Q22" s="1809"/>
      <c r="R22" s="774"/>
      <c r="S22" s="775"/>
      <c r="T22" s="774"/>
      <c r="U22" s="775"/>
      <c r="V22" s="774"/>
      <c r="W22" s="775"/>
      <c r="X22" s="1812"/>
      <c r="Y22" s="3166"/>
      <c r="Z22" s="1813"/>
      <c r="AA22" s="1810">
        <v>1</v>
      </c>
      <c r="AB22" s="1810">
        <v>1</v>
      </c>
      <c r="AC22" s="1810">
        <v>1</v>
      </c>
    </row>
    <row r="23" spans="1:29" s="117" customFormat="1" ht="42.75">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66"/>
      <c r="Q23" s="1794" t="str">
        <f t="shared" si="8"/>
        <v>公共配套设施</v>
      </c>
      <c r="R23" s="770" t="s">
        <v>17</v>
      </c>
      <c r="S23" s="771">
        <f>F23</f>
        <v>100</v>
      </c>
      <c r="T23" s="770" t="s">
        <v>17</v>
      </c>
      <c r="U23" s="771">
        <f>H23</f>
        <v>100</v>
      </c>
      <c r="V23" s="770" t="s">
        <v>17</v>
      </c>
      <c r="W23" s="771">
        <f>J23</f>
        <v>100</v>
      </c>
      <c r="X23" s="772"/>
      <c r="Y23" s="3166"/>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1"/>
      <c r="M24" s="1132"/>
      <c r="N24" s="1132"/>
      <c r="O24" s="1133"/>
      <c r="P24" s="3166"/>
      <c r="Q24" s="1794"/>
      <c r="R24" s="770"/>
      <c r="S24" s="771"/>
      <c r="T24" s="770"/>
      <c r="U24" s="771"/>
      <c r="V24" s="770"/>
      <c r="W24" s="771"/>
      <c r="X24" s="772"/>
      <c r="Y24" s="3166"/>
      <c r="Z24" s="55"/>
      <c r="AA24" s="773">
        <v>1</v>
      </c>
      <c r="AB24" s="773">
        <v>1</v>
      </c>
      <c r="AC24" s="773">
        <v>1</v>
      </c>
    </row>
    <row r="25" spans="1:29" s="117" customFormat="1" ht="28.5">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66"/>
      <c r="Q25" s="1794" t="str">
        <f t="shared" ref="Q25" si="9">B25</f>
        <v>基础设施水平</v>
      </c>
      <c r="R25" s="770" t="s">
        <v>17</v>
      </c>
      <c r="S25" s="771">
        <f>F25</f>
        <v>100</v>
      </c>
      <c r="T25" s="770" t="s">
        <v>17</v>
      </c>
      <c r="U25" s="771">
        <f>H25</f>
        <v>100</v>
      </c>
      <c r="V25" s="770" t="s">
        <v>17</v>
      </c>
      <c r="W25" s="771">
        <f>J25</f>
        <v>100</v>
      </c>
      <c r="X25" s="772"/>
      <c r="Y25" s="3166"/>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1"/>
      <c r="M26" s="1132"/>
      <c r="N26" s="1132"/>
      <c r="O26" s="1133"/>
      <c r="P26" s="3166"/>
      <c r="Q26" s="1794"/>
      <c r="R26" s="770"/>
      <c r="S26" s="771"/>
      <c r="T26" s="770"/>
      <c r="U26" s="771"/>
      <c r="V26" s="770"/>
      <c r="W26" s="771"/>
      <c r="X26" s="772"/>
      <c r="Y26" s="3166"/>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6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66"/>
      <c r="Z27" s="1813" t="str">
        <f t="shared" ref="Z27:Z40" si="13">Q27</f>
        <v>临街状况</v>
      </c>
      <c r="AA27" s="1810">
        <f t="shared" si="3"/>
        <v>1</v>
      </c>
      <c r="AB27" s="1810">
        <f t="shared" si="4"/>
        <v>1</v>
      </c>
      <c r="AC27" s="1810">
        <f t="shared" si="5"/>
        <v>1</v>
      </c>
    </row>
    <row r="28" spans="1:29" ht="27">
      <c r="A28" s="428"/>
      <c r="B28" s="633" t="s">
        <v>2683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66"/>
      <c r="Q28" s="1809" t="str">
        <f t="shared" si="8"/>
        <v>毗邻道路的类型与等级</v>
      </c>
      <c r="R28" s="774" t="s">
        <v>17</v>
      </c>
      <c r="S28" s="775">
        <f t="shared" si="10"/>
        <v>100</v>
      </c>
      <c r="T28" s="774" t="s">
        <v>17</v>
      </c>
      <c r="U28" s="775">
        <f t="shared" si="11"/>
        <v>100</v>
      </c>
      <c r="V28" s="774" t="s">
        <v>17</v>
      </c>
      <c r="W28" s="775">
        <f t="shared" si="12"/>
        <v>100</v>
      </c>
      <c r="X28" s="1812"/>
      <c r="Y28" s="3166"/>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9"/>
      <c r="M29" s="1130"/>
      <c r="N29" s="1130"/>
      <c r="O29" s="1138"/>
      <c r="P29" s="3166"/>
      <c r="Q29" s="1809"/>
      <c r="R29" s="774"/>
      <c r="S29" s="775"/>
      <c r="T29" s="774"/>
      <c r="U29" s="775"/>
      <c r="V29" s="774"/>
      <c r="W29" s="775"/>
      <c r="X29" s="1812"/>
      <c r="Y29" s="3166"/>
      <c r="Z29" s="1813"/>
      <c r="AA29" s="1810">
        <v>1</v>
      </c>
      <c r="AB29" s="1810">
        <v>1</v>
      </c>
      <c r="AC29" s="1810">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66"/>
      <c r="Q30" s="1809" t="str">
        <f t="shared" si="8"/>
        <v>土地级别</v>
      </c>
      <c r="R30" s="774" t="s">
        <v>17</v>
      </c>
      <c r="S30" s="775">
        <f t="shared" si="10"/>
        <v>100</v>
      </c>
      <c r="T30" s="774" t="s">
        <v>17</v>
      </c>
      <c r="U30" s="775">
        <f t="shared" si="11"/>
        <v>100</v>
      </c>
      <c r="V30" s="774" t="s">
        <v>17</v>
      </c>
      <c r="W30" s="775">
        <f t="shared" si="12"/>
        <v>100</v>
      </c>
      <c r="X30" s="1812"/>
      <c r="Y30" s="3166"/>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66"/>
      <c r="Q31" s="1809">
        <f t="shared" si="8"/>
        <v>111</v>
      </c>
      <c r="R31" s="774" t="s">
        <v>17</v>
      </c>
      <c r="S31" s="775">
        <f t="shared" si="10"/>
        <v>100</v>
      </c>
      <c r="T31" s="774" t="s">
        <v>17</v>
      </c>
      <c r="U31" s="775">
        <f t="shared" si="11"/>
        <v>100</v>
      </c>
      <c r="V31" s="774" t="s">
        <v>17</v>
      </c>
      <c r="W31" s="775">
        <f t="shared" si="12"/>
        <v>100</v>
      </c>
      <c r="X31" s="1812"/>
      <c r="Y31" s="3166"/>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67" t="s">
        <v>2557</v>
      </c>
      <c r="Q32" s="1809">
        <f t="shared" si="8"/>
        <v>111</v>
      </c>
      <c r="R32" s="774" t="s">
        <v>17</v>
      </c>
      <c r="S32" s="775">
        <f t="shared" si="10"/>
        <v>100</v>
      </c>
      <c r="T32" s="774" t="s">
        <v>17</v>
      </c>
      <c r="U32" s="775">
        <f t="shared" si="11"/>
        <v>100</v>
      </c>
      <c r="V32" s="774" t="s">
        <v>17</v>
      </c>
      <c r="W32" s="775">
        <f t="shared" si="12"/>
        <v>100</v>
      </c>
      <c r="X32" s="1812"/>
      <c r="Y32" s="3168" t="s">
        <v>2557</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68"/>
      <c r="Q33" s="1809">
        <f t="shared" si="8"/>
        <v>111</v>
      </c>
      <c r="R33" s="777" t="s">
        <v>17</v>
      </c>
      <c r="S33" s="778">
        <f t="shared" si="10"/>
        <v>100</v>
      </c>
      <c r="T33" s="777" t="s">
        <v>17</v>
      </c>
      <c r="U33" s="778">
        <f t="shared" si="11"/>
        <v>100</v>
      </c>
      <c r="V33" s="777" t="s">
        <v>17</v>
      </c>
      <c r="W33" s="778">
        <f t="shared" si="12"/>
        <v>100</v>
      </c>
      <c r="X33" s="779"/>
      <c r="Y33" s="3168"/>
      <c r="Z33" s="780">
        <f t="shared" si="13"/>
        <v>111</v>
      </c>
      <c r="AA33" s="1810">
        <f t="shared" si="3"/>
        <v>1</v>
      </c>
      <c r="AB33" s="1810">
        <f t="shared" si="4"/>
        <v>1</v>
      </c>
      <c r="AC33" s="1810">
        <f t="shared" si="5"/>
        <v>1</v>
      </c>
    </row>
    <row r="34" spans="1:29" ht="15">
      <c r="A34" s="440" t="s">
        <v>2555</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68"/>
      <c r="Q34" s="1809" t="str">
        <f>B34</f>
        <v>宗地面积</v>
      </c>
      <c r="R34" s="774" t="s">
        <v>17</v>
      </c>
      <c r="S34" s="775" t="e">
        <f t="shared" si="10"/>
        <v>#N/A</v>
      </c>
      <c r="T34" s="774" t="s">
        <v>17</v>
      </c>
      <c r="U34" s="775" t="e">
        <f t="shared" si="11"/>
        <v>#N/A</v>
      </c>
      <c r="V34" s="774" t="s">
        <v>17</v>
      </c>
      <c r="W34" s="775" t="e">
        <f t="shared" si="12"/>
        <v>#N/A</v>
      </c>
      <c r="X34" s="1812"/>
      <c r="Y34" s="3168"/>
      <c r="Z34" s="1813" t="str">
        <f t="shared" si="13"/>
        <v>宗地面积</v>
      </c>
      <c r="AA34" s="1810" t="e">
        <f t="shared" si="3"/>
        <v>#N/A</v>
      </c>
      <c r="AB34" s="1810" t="e">
        <f t="shared" si="4"/>
        <v>#N/A</v>
      </c>
      <c r="AC34" s="1810" t="e">
        <f t="shared" si="5"/>
        <v>#N/A</v>
      </c>
    </row>
    <row r="35" spans="1:29" ht="15">
      <c r="A35" s="472"/>
      <c r="B35" s="422" t="s">
        <v>2743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168"/>
      <c r="Q35" s="1809" t="str">
        <f t="shared" ref="Q35:Q40" si="14">B35</f>
        <v>宗地形状</v>
      </c>
      <c r="R35" s="774" t="s">
        <v>17</v>
      </c>
      <c r="S35" s="775">
        <f t="shared" si="10"/>
        <v>100</v>
      </c>
      <c r="T35" s="774" t="s">
        <v>17</v>
      </c>
      <c r="U35" s="775">
        <f t="shared" si="11"/>
        <v>100</v>
      </c>
      <c r="V35" s="774" t="s">
        <v>17</v>
      </c>
      <c r="W35" s="775">
        <f t="shared" si="12"/>
        <v>100</v>
      </c>
      <c r="X35" s="1812"/>
      <c r="Y35" s="3168"/>
      <c r="Z35" s="1813" t="str">
        <f t="shared" si="13"/>
        <v>宗地形状</v>
      </c>
      <c r="AA35" s="1810">
        <f t="shared" si="3"/>
        <v>1</v>
      </c>
      <c r="AB35" s="1810">
        <f t="shared" si="4"/>
        <v>1</v>
      </c>
      <c r="AC35" s="1810">
        <f t="shared" si="5"/>
        <v>1</v>
      </c>
    </row>
    <row r="36" spans="1:29" s="117" customFormat="1" ht="15">
      <c r="A36" s="473"/>
      <c r="B36" s="422" t="s">
        <v>2745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168"/>
      <c r="Q36" s="1809"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2746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168" t="s">
        <v>2557</v>
      </c>
      <c r="Q37" s="1809" t="str">
        <f t="shared" si="14"/>
        <v>工程地质条件</v>
      </c>
      <c r="R37" s="774" t="s">
        <v>17</v>
      </c>
      <c r="S37" s="775">
        <f t="shared" si="10"/>
        <v>100</v>
      </c>
      <c r="T37" s="774" t="s">
        <v>17</v>
      </c>
      <c r="U37" s="775">
        <f t="shared" si="11"/>
        <v>100</v>
      </c>
      <c r="V37" s="774" t="s">
        <v>17</v>
      </c>
      <c r="W37" s="775">
        <f t="shared" si="12"/>
        <v>100</v>
      </c>
      <c r="X37" s="1812"/>
      <c r="Y37" s="3168" t="s">
        <v>2557</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68"/>
      <c r="Q38" s="1809">
        <f t="shared" si="14"/>
        <v>111</v>
      </c>
      <c r="R38" s="774" t="s">
        <v>17</v>
      </c>
      <c r="S38" s="775">
        <f t="shared" si="10"/>
        <v>100</v>
      </c>
      <c r="T38" s="774" t="s">
        <v>17</v>
      </c>
      <c r="U38" s="775">
        <f t="shared" si="11"/>
        <v>100</v>
      </c>
      <c r="V38" s="774" t="s">
        <v>17</v>
      </c>
      <c r="W38" s="775">
        <f t="shared" si="12"/>
        <v>100</v>
      </c>
      <c r="X38" s="1812"/>
      <c r="Y38" s="316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68"/>
      <c r="Q39" s="1809">
        <f t="shared" si="14"/>
        <v>111</v>
      </c>
      <c r="R39" s="774" t="s">
        <v>17</v>
      </c>
      <c r="S39" s="775">
        <f t="shared" si="10"/>
        <v>100</v>
      </c>
      <c r="T39" s="774" t="s">
        <v>17</v>
      </c>
      <c r="U39" s="775">
        <f t="shared" si="11"/>
        <v>100</v>
      </c>
      <c r="V39" s="774" t="s">
        <v>17</v>
      </c>
      <c r="W39" s="775">
        <f t="shared" si="12"/>
        <v>100</v>
      </c>
      <c r="X39" s="1812"/>
      <c r="Y39" s="3168"/>
      <c r="Z39" s="1813">
        <f t="shared" si="13"/>
        <v>111</v>
      </c>
      <c r="AA39" s="1810">
        <f t="shared" si="3"/>
        <v>1</v>
      </c>
      <c r="AB39" s="1810">
        <f t="shared" si="4"/>
        <v>1</v>
      </c>
      <c r="AC39" s="1810">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68"/>
      <c r="Q40" s="1809">
        <f t="shared" si="14"/>
        <v>111</v>
      </c>
      <c r="R40" s="777" t="s">
        <v>17</v>
      </c>
      <c r="S40" s="778">
        <f t="shared" si="10"/>
        <v>100</v>
      </c>
      <c r="T40" s="777" t="s">
        <v>17</v>
      </c>
      <c r="U40" s="778">
        <f t="shared" si="11"/>
        <v>100</v>
      </c>
      <c r="V40" s="777" t="s">
        <v>17</v>
      </c>
      <c r="W40" s="778">
        <f t="shared" si="12"/>
        <v>100</v>
      </c>
      <c r="X40" s="779"/>
      <c r="Y40" s="3168"/>
      <c r="Z40" s="780">
        <f t="shared" si="13"/>
        <v>111</v>
      </c>
      <c r="AA40" s="1810">
        <f t="shared" si="3"/>
        <v>1</v>
      </c>
      <c r="AB40" s="1810">
        <f t="shared" si="4"/>
        <v>1</v>
      </c>
      <c r="AC40" s="1810">
        <f t="shared" si="5"/>
        <v>1</v>
      </c>
    </row>
    <row r="41" spans="1:29" ht="15">
      <c r="A41" s="479" t="s">
        <v>2712</v>
      </c>
      <c r="B41" s="2703" t="s">
        <v>2791</v>
      </c>
      <c r="C41" s="682" t="s">
        <v>1</v>
      </c>
      <c r="D41" s="481"/>
      <c r="E41" s="482"/>
      <c r="F41" s="483"/>
      <c r="G41" s="484"/>
      <c r="H41" s="485"/>
      <c r="I41" s="482"/>
      <c r="J41" s="485"/>
      <c r="K41" s="783"/>
      <c r="L41" s="1142"/>
      <c r="M41" s="1130"/>
      <c r="N41" s="1130"/>
      <c r="O41" s="1143"/>
      <c r="P41" s="3163" t="str">
        <f>A41</f>
        <v>成交单价</v>
      </c>
      <c r="Q41" s="3163"/>
      <c r="R41" s="3169">
        <f>E41</f>
        <v>0</v>
      </c>
      <c r="S41" s="3169"/>
      <c r="T41" s="3169">
        <f>G41</f>
        <v>0</v>
      </c>
      <c r="U41" s="3169"/>
      <c r="V41" s="3169">
        <f>I41</f>
        <v>0</v>
      </c>
      <c r="W41" s="3169"/>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2"/>
      <c r="M42" s="1130"/>
      <c r="N42" s="1130"/>
      <c r="O42" s="1143"/>
      <c r="P42" s="3163" t="str">
        <f>A42</f>
        <v>比较价值（元/平方米）</v>
      </c>
      <c r="Q42" s="3163"/>
      <c r="R42" s="3156" t="e">
        <f>ROUND(PRODUCT(R41,AA7:AA40),0)</f>
        <v>#DIV/0!</v>
      </c>
      <c r="S42" s="3156"/>
      <c r="T42" s="3156" t="e">
        <f>ROUND(PRODUCT(T41,AB7:AB40),0)</f>
        <v>#DIV/0!</v>
      </c>
      <c r="U42" s="3156"/>
      <c r="V42" s="3156" t="e">
        <f>ROUND(PRODUCT(V41,AC7:AC40),0)</f>
        <v>#DIV/0!</v>
      </c>
      <c r="W42" s="3156"/>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2"/>
      <c r="M43" s="1130"/>
      <c r="N43" s="1130"/>
      <c r="O43" s="1143"/>
      <c r="P43" s="3157" t="str">
        <f>A43</f>
        <v>估价对象XX用房的比较价值（楼面单价，元/平方米）</v>
      </c>
      <c r="Q43" s="3158"/>
      <c r="R43" s="3159" t="e">
        <f>ROUND(AVERAGE(R42:V42),0)</f>
        <v>#DIV/0!</v>
      </c>
      <c r="S43" s="3159"/>
      <c r="T43" s="3159"/>
      <c r="U43" s="3159"/>
      <c r="V43" s="3159"/>
      <c r="W43" s="315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2749</v>
      </c>
      <c r="B50" s="685" t="s">
        <v>2750</v>
      </c>
      <c r="C50" s="2704" t="s">
        <v>2751</v>
      </c>
      <c r="D50" s="2705" t="s">
        <v>2752</v>
      </c>
      <c r="E50" s="686" t="s">
        <v>2753</v>
      </c>
      <c r="F50" s="687" t="s">
        <v>2754</v>
      </c>
      <c r="G50" s="3160" t="s">
        <v>2755</v>
      </c>
      <c r="H50" s="3161"/>
      <c r="I50" s="1813" t="s">
        <v>2792</v>
      </c>
      <c r="J50" s="1813" t="str">
        <f>项目基本情况!F35</f>
        <v>武汉</v>
      </c>
      <c r="K50" s="2707" t="s">
        <v>2757</v>
      </c>
      <c r="L50" s="1105"/>
      <c r="M50" s="1143"/>
      <c r="N50" s="1143"/>
      <c r="O50" s="1143"/>
    </row>
    <row r="51" spans="1:17" s="692" customFormat="1">
      <c r="A51" s="688" t="s">
        <v>2758</v>
      </c>
      <c r="B51" s="689" t="e">
        <f>C43</f>
        <v>#DIV/0!</v>
      </c>
      <c r="C51" s="690">
        <v>1</v>
      </c>
      <c r="D51" s="1162">
        <v>1</v>
      </c>
      <c r="E51" s="690">
        <f>'数据-汇总表'!E8+'数据-汇总表'!E9</f>
        <v>485091.66000000003</v>
      </c>
      <c r="F51" s="691" t="e">
        <f t="shared" ref="F51:F60" si="15">ROUND(B51*E51/10000,0)</f>
        <v>#DIV/0!</v>
      </c>
      <c r="G51" s="3162"/>
      <c r="H51" s="3163"/>
      <c r="I51" s="941">
        <v>1</v>
      </c>
      <c r="J51" s="941">
        <v>1</v>
      </c>
      <c r="K51" s="1144"/>
      <c r="L51" s="940"/>
      <c r="M51" s="940"/>
      <c r="N51" s="940"/>
      <c r="O51" s="940"/>
    </row>
    <row r="52" spans="1:17" s="692" customFormat="1">
      <c r="A52" s="693" t="s">
        <v>2759</v>
      </c>
      <c r="B52" s="262" t="e">
        <f>ROUND($C$43*C52*D52,0)</f>
        <v>#DIV/0!</v>
      </c>
      <c r="C52" s="200">
        <f t="shared" ref="C52:C60" si="16">IF($C$50="北京市系数",I52,J52)</f>
        <v>0</v>
      </c>
      <c r="D52" s="1163">
        <v>0.25</v>
      </c>
      <c r="E52" s="694"/>
      <c r="F52" s="691" t="e">
        <f t="shared" si="15"/>
        <v>#DIV/0!</v>
      </c>
      <c r="G52" s="3164" t="s">
        <v>2760</v>
      </c>
      <c r="H52" s="1103">
        <f>项目基本情况!B37</f>
        <v>0</v>
      </c>
      <c r="I52" s="941">
        <f>SUMIF(修正!A45:A56,H52,修正!B45:B56)</f>
        <v>0</v>
      </c>
      <c r="J52" s="942"/>
      <c r="K52" s="1143"/>
      <c r="L52" s="940"/>
      <c r="M52" s="940"/>
      <c r="N52" s="940"/>
      <c r="O52" s="940"/>
    </row>
    <row r="53" spans="1:17" s="692" customFormat="1">
      <c r="A53" s="693" t="s">
        <v>2761</v>
      </c>
      <c r="B53" s="262" t="e">
        <f t="shared" ref="B53:B60" si="17">ROUND($C$43*C53*D53,0)</f>
        <v>#DIV/0!</v>
      </c>
      <c r="C53" s="200">
        <f t="shared" si="16"/>
        <v>0</v>
      </c>
      <c r="D53" s="1163">
        <v>0.25</v>
      </c>
      <c r="E53" s="694"/>
      <c r="F53" s="691" t="e">
        <f t="shared" si="15"/>
        <v>#DIV/0!</v>
      </c>
      <c r="G53" s="3164"/>
      <c r="H53" s="1103">
        <f>项目基本情况!B37</f>
        <v>0</v>
      </c>
      <c r="I53" s="941">
        <f>SUMIF(修正!A45:A56,H53,修正!C45:C56)</f>
        <v>0</v>
      </c>
      <c r="J53" s="942"/>
      <c r="K53" s="1144"/>
      <c r="L53" s="940"/>
      <c r="M53" s="940"/>
      <c r="N53" s="940"/>
      <c r="O53" s="940"/>
    </row>
    <row r="54" spans="1:17" s="692" customFormat="1">
      <c r="A54" s="693" t="s">
        <v>2762</v>
      </c>
      <c r="B54" s="262" t="e">
        <f t="shared" si="17"/>
        <v>#DIV/0!</v>
      </c>
      <c r="C54" s="200">
        <f t="shared" si="16"/>
        <v>0</v>
      </c>
      <c r="D54" s="1163">
        <v>0.25</v>
      </c>
      <c r="E54" s="694"/>
      <c r="F54" s="691" t="e">
        <f t="shared" si="15"/>
        <v>#DIV/0!</v>
      </c>
      <c r="G54" s="3164"/>
      <c r="H54" s="1103">
        <f>项目基本情况!B37</f>
        <v>0</v>
      </c>
      <c r="I54" s="941">
        <f>SUMIF(修正!A45:A56,H54,修正!D45:D56)</f>
        <v>0</v>
      </c>
      <c r="J54" s="942"/>
      <c r="K54" s="1143"/>
      <c r="L54" s="940"/>
      <c r="M54" s="940"/>
      <c r="N54" s="940"/>
      <c r="O54" s="940"/>
    </row>
    <row r="55" spans="1:17" s="692" customFormat="1">
      <c r="A55" s="693" t="s">
        <v>2763</v>
      </c>
      <c r="B55" s="262" t="e">
        <f t="shared" si="17"/>
        <v>#DIV/0!</v>
      </c>
      <c r="C55" s="200">
        <f t="shared" si="16"/>
        <v>0</v>
      </c>
      <c r="D55" s="1163">
        <v>0.25</v>
      </c>
      <c r="E55" s="694"/>
      <c r="F55" s="691" t="e">
        <f t="shared" si="15"/>
        <v>#DIV/0!</v>
      </c>
      <c r="G55" s="3164"/>
      <c r="H55" s="1103">
        <f>项目基本情况!B37</f>
        <v>0</v>
      </c>
      <c r="I55" s="941">
        <f>SUMIF(修正!A45:A56,H55,修正!E45:E56)</f>
        <v>0</v>
      </c>
      <c r="J55" s="942"/>
      <c r="K55" s="1144"/>
      <c r="L55" s="940"/>
      <c r="M55" s="940"/>
      <c r="N55" s="940"/>
      <c r="O55" s="940"/>
    </row>
    <row r="56" spans="1:17" s="692" customFormat="1">
      <c r="A56" s="693" t="s">
        <v>2764</v>
      </c>
      <c r="B56" s="262" t="e">
        <f t="shared" si="17"/>
        <v>#DIV/0!</v>
      </c>
      <c r="C56" s="200">
        <f t="shared" si="16"/>
        <v>0</v>
      </c>
      <c r="D56" s="1163">
        <v>0.25</v>
      </c>
      <c r="E56" s="261">
        <f>'数据-汇总表'!E11</f>
        <v>0</v>
      </c>
      <c r="F56" s="691" t="e">
        <f t="shared" si="15"/>
        <v>#DIV/0!</v>
      </c>
      <c r="G56" s="2708" t="s">
        <v>2765</v>
      </c>
      <c r="H56" s="1103">
        <f>项目基本情况!C37</f>
        <v>0</v>
      </c>
      <c r="I56" s="941">
        <f>SUMIF(修正!A45:A56,H56,修正!F45:F56)</f>
        <v>0</v>
      </c>
      <c r="J56" s="942"/>
      <c r="K56" s="1143"/>
      <c r="L56" s="940"/>
      <c r="M56" s="940"/>
      <c r="N56" s="940"/>
      <c r="O56" s="940"/>
    </row>
    <row r="57" spans="1:17" s="692" customFormat="1">
      <c r="A57" s="693" t="s">
        <v>2766</v>
      </c>
      <c r="B57" s="262" t="e">
        <f t="shared" si="17"/>
        <v>#DIV/0!</v>
      </c>
      <c r="C57" s="200">
        <f t="shared" si="16"/>
        <v>0</v>
      </c>
      <c r="D57" s="1163">
        <v>0.25</v>
      </c>
      <c r="E57" s="261">
        <f>'数据-汇总表'!E12</f>
        <v>0</v>
      </c>
      <c r="F57" s="691" t="e">
        <f t="shared" si="15"/>
        <v>#DIV/0!</v>
      </c>
      <c r="G57" s="1108" t="s">
        <v>2767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2768</v>
      </c>
      <c r="B58" s="262" t="e">
        <f t="shared" si="17"/>
        <v>#DIV/0!</v>
      </c>
      <c r="C58" s="200">
        <f t="shared" si="16"/>
        <v>0</v>
      </c>
      <c r="D58" s="1163">
        <v>0.25</v>
      </c>
      <c r="E58" s="261">
        <f>'数据-汇总表'!E13</f>
        <v>124699.67</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v>
      </c>
      <c r="D59" s="1163">
        <v>0.25</v>
      </c>
      <c r="E59" s="261">
        <f>'数据-汇总表'!E14</f>
        <v>0</v>
      </c>
      <c r="F59" s="691" t="e">
        <f t="shared" si="15"/>
        <v>#DIV/0!</v>
      </c>
      <c r="G59" s="2708" t="s">
        <v>2760</v>
      </c>
      <c r="H59" s="1103">
        <f>项目基本情况!B37</f>
        <v>0</v>
      </c>
      <c r="I59" s="941">
        <f>SUMIF(修正!A45:A56,H59,修正!H45:H56)</f>
        <v>0</v>
      </c>
      <c r="J59" s="942"/>
      <c r="K59" s="1144"/>
      <c r="L59" s="940"/>
      <c r="M59" s="940"/>
      <c r="N59" s="940"/>
      <c r="O59" s="940"/>
    </row>
    <row r="60" spans="1:17" s="692" customFormat="1" ht="15" thickBot="1">
      <c r="A60" s="693" t="s">
        <v>2771</v>
      </c>
      <c r="B60" s="262" t="e">
        <f t="shared" si="17"/>
        <v>#DIV/0!</v>
      </c>
      <c r="C60" s="200">
        <f t="shared" si="16"/>
        <v>0</v>
      </c>
      <c r="D60" s="1163">
        <v>0.25</v>
      </c>
      <c r="E60" s="261">
        <f>'数据-汇总表'!E15</f>
        <v>0</v>
      </c>
      <c r="F60" s="691" t="e">
        <f t="shared" si="15"/>
        <v>#DIV/0!</v>
      </c>
      <c r="G60" s="2709" t="s">
        <v>2765</v>
      </c>
      <c r="H60" s="1113">
        <f>项目基本情况!C37</f>
        <v>0</v>
      </c>
      <c r="I60" s="941">
        <f>SUMIF(修正!A45:A56,H60,修正!H45:H56)</f>
        <v>0</v>
      </c>
      <c r="J60" s="942"/>
      <c r="K60" s="1143"/>
      <c r="L60" s="940"/>
      <c r="M60" s="940"/>
      <c r="N60" s="940"/>
      <c r="O60" s="940"/>
    </row>
    <row r="61" spans="1:17" s="692" customFormat="1" ht="15" thickBot="1">
      <c r="A61" s="695" t="s">
        <v>2772</v>
      </c>
      <c r="B61" s="696" t="s">
        <v>28</v>
      </c>
      <c r="C61" s="696" t="s">
        <v>29</v>
      </c>
      <c r="D61" s="696" t="s">
        <v>1029</v>
      </c>
      <c r="E61" s="696">
        <f>IF(B41="楼面地价",SUM(E51:E60),'数据-汇总表'!D3)</f>
        <v>103644.78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2666</v>
      </c>
      <c r="B64" s="759"/>
      <c r="C64" s="764"/>
      <c r="D64" s="764"/>
      <c r="E64" s="764"/>
      <c r="F64" s="765"/>
      <c r="G64" s="765"/>
      <c r="H64" s="764"/>
      <c r="I64" s="764"/>
      <c r="J64" s="764"/>
      <c r="K64" s="766"/>
      <c r="L64" s="767"/>
      <c r="M64" s="764"/>
      <c r="N64" s="764"/>
      <c r="O64" s="1158"/>
      <c r="P64" s="503"/>
      <c r="Q64" s="504"/>
    </row>
    <row r="65" spans="1:17" s="508" customFormat="1" ht="15">
      <c r="A65" s="2710" t="s">
        <v>2773</v>
      </c>
      <c r="B65" s="1358"/>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5" t="s">
        <v>2793</v>
      </c>
      <c r="B66" s="332" t="str">
        <f>"北京市平均增长率"&amp;TEXT(基准地价修正!P24,"0.00%")</f>
        <v>北京市平均增长率1.41%</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20" sqref="N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2795</v>
      </c>
      <c r="B1" s="241"/>
      <c r="C1" s="245" t="s">
        <v>2796</v>
      </c>
      <c r="D1" s="388">
        <f>SUM(D29:D30,D33:D39)</f>
        <v>0</v>
      </c>
      <c r="E1" s="2716"/>
      <c r="F1" s="2716"/>
      <c r="G1" s="2716"/>
      <c r="H1" s="2716"/>
      <c r="I1" s="2716"/>
      <c r="J1" s="2716"/>
      <c r="K1" s="1369"/>
      <c r="L1" s="2717" t="s">
        <v>2797</v>
      </c>
      <c r="M1" s="1079">
        <f>SUMPRODUCT((区片价!B5:B9=I2)*(区片价!C3:F3=E2)*(区片价!C5:F9))</f>
        <v>0</v>
      </c>
      <c r="N1" s="1082">
        <f>SUMPRODUCT((因素修正幅度!B5:B9=I2)*(因素修正幅度!C3:F3=E2)*(因素修正幅度!C5:F9))</f>
        <v>0</v>
      </c>
      <c r="O1" s="2718"/>
      <c r="P1" s="2718"/>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t="e">
        <f>C26</f>
        <v>#DIV/0!</v>
      </c>
      <c r="C2" s="2720" t="s">
        <v>2804</v>
      </c>
      <c r="D2" s="2721" t="s">
        <v>2805</v>
      </c>
      <c r="E2" s="2722"/>
      <c r="F2" s="2721" t="s">
        <v>2806</v>
      </c>
      <c r="G2" s="2723">
        <f>IF(E2="商业",项目基本情况!B37,IF(E2="办公",项目基本情况!C37,IF(E2="住宅",项目基本情况!D37,项目基本情况!E37)))</f>
        <v>0</v>
      </c>
      <c r="H2" s="2721" t="s">
        <v>2807</v>
      </c>
      <c r="I2" s="2723">
        <f>IF(E2="商业",项目基本情况!B38,IF(E2="办公",项目基本情况!C38,IF(E2="住宅",项目基本情况!D38,项目基本情况!E38)))</f>
        <v>0</v>
      </c>
      <c r="J2" s="2724"/>
      <c r="K2" s="1369"/>
      <c r="L2" s="2725"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2809</v>
      </c>
      <c r="B3" s="248" t="e">
        <f>ROUND(B2*10000/D1,0)</f>
        <v>#DIV/0!</v>
      </c>
      <c r="C3" s="2720" t="s">
        <v>2810</v>
      </c>
      <c r="D3" s="2721" t="s">
        <v>2811</v>
      </c>
      <c r="E3" s="2726"/>
      <c r="F3" s="2727" t="s">
        <v>2812</v>
      </c>
      <c r="G3" s="912">
        <f>IF(F3="宗地容积率",'数据-汇总表'!I4,IF(F3="估价对象容积率",'数据-汇总表'!I6,'数据-汇总表'!I7))</f>
        <v>4.95</v>
      </c>
      <c r="H3" s="198" t="s">
        <v>2813</v>
      </c>
      <c r="I3" s="943"/>
      <c r="J3" s="2724" t="s">
        <v>2814</v>
      </c>
      <c r="K3" s="1369"/>
      <c r="L3" s="2725" t="s">
        <v>2815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0"/>
      <c r="B4" s="3261"/>
      <c r="C4" s="3261"/>
      <c r="D4" s="3262"/>
      <c r="E4" s="3262"/>
      <c r="F4" s="3262"/>
      <c r="G4" s="3262"/>
      <c r="H4" s="3262"/>
      <c r="I4" s="3262"/>
      <c r="J4" s="3263"/>
      <c r="K4" s="1369"/>
      <c r="L4" s="2725" t="s">
        <v>2816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2817</v>
      </c>
      <c r="C5" s="913" t="e">
        <f>ROUND(IF(E2="商业",IF(F16="增加",C6*C7+C16,C6*C7-C16),IF(E2="住宅",IF(F16="增加",C6*C12+C16,C6*C12-C16),IF(F16="增加",C6+C16,C6-C16))),0)</f>
        <v>#DIV/0!</v>
      </c>
      <c r="D5" s="1786">
        <f>ROUND(IF(E2="商业",IF(F16="增加",C6+C16,C6-C16)),0)</f>
        <v>0</v>
      </c>
      <c r="E5" s="2730"/>
      <c r="F5" s="2730"/>
      <c r="G5" s="2731"/>
      <c r="H5" s="2731"/>
      <c r="I5" s="2731"/>
      <c r="J5" s="2732"/>
      <c r="K5" s="2733"/>
      <c r="L5" s="2725" t="s">
        <v>2818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2819</v>
      </c>
      <c r="B6" s="2739" t="s">
        <v>2820</v>
      </c>
      <c r="C6" s="914">
        <f>SUMIF(L1:L12,G2,M1:M12)</f>
        <v>0</v>
      </c>
      <c r="D6" s="2740" t="s">
        <v>2821</v>
      </c>
      <c r="E6" s="2741"/>
      <c r="F6" s="2741"/>
      <c r="G6" s="2742"/>
      <c r="H6" s="2742"/>
      <c r="I6" s="2742"/>
      <c r="J6" s="2743"/>
      <c r="K6" s="1841"/>
      <c r="L6" s="2725" t="s">
        <v>2822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64" t="str">
        <f>IF(E2="商业",IF(C8="不临58条商业街","",2),"")</f>
        <v/>
      </c>
      <c r="B7" s="2744" t="s">
        <v>2823</v>
      </c>
      <c r="C7" s="915" t="e">
        <f>IF(C8="不临58条商业街",1,ROUND(1+(1.6*E8+1.2*E9+0.8*E10+0.4*E11)*C9,4))</f>
        <v>#DIV/0!</v>
      </c>
      <c r="D7" s="2745" t="s">
        <v>2824</v>
      </c>
      <c r="E7" s="944"/>
      <c r="F7" s="2746"/>
      <c r="G7" s="2747"/>
      <c r="H7" s="2747"/>
      <c r="I7" s="2747"/>
      <c r="J7" s="2748"/>
      <c r="K7" s="1841"/>
      <c r="L7" s="2725" t="s">
        <v>2825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2826</v>
      </c>
      <c r="X7" s="1603">
        <f>G2</f>
        <v>0</v>
      </c>
      <c r="Y7" s="1603" t="s">
        <v>2827</v>
      </c>
      <c r="Z7" s="1604">
        <f>G3</f>
        <v>4.95</v>
      </c>
      <c r="AA7" s="1605"/>
      <c r="AB7" s="1605"/>
      <c r="AC7" s="1606"/>
      <c r="AD7" s="1607"/>
      <c r="AE7" s="1607"/>
      <c r="AF7" s="1607"/>
      <c r="AG7" s="1607"/>
      <c r="AH7" s="1607"/>
      <c r="AI7" s="1607"/>
      <c r="AJ7" s="1608"/>
    </row>
    <row r="8" spans="1:36" ht="15">
      <c r="A8" s="3265"/>
      <c r="B8" s="198" t="s">
        <v>2828</v>
      </c>
      <c r="C8" s="2749"/>
      <c r="D8" s="916" t="s">
        <v>139</v>
      </c>
      <c r="E8" s="917" t="e">
        <f>ROUND(C11/E7,4)</f>
        <v>#DIV/0!</v>
      </c>
      <c r="F8" s="2750" t="s">
        <v>2829</v>
      </c>
      <c r="G8" s="2751"/>
      <c r="H8" s="2751"/>
      <c r="I8" s="2751"/>
      <c r="J8" s="2752"/>
      <c r="K8" s="1369"/>
      <c r="L8" s="2725" t="s">
        <v>2830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57" t="s">
        <v>2831</v>
      </c>
      <c r="X8" s="3258"/>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265"/>
      <c r="B9" s="198" t="s">
        <v>2844</v>
      </c>
      <c r="C9" s="918">
        <f>SUMIF(修正!C59:C119,C8,修正!E59:E119)</f>
        <v>0</v>
      </c>
      <c r="D9" s="200" t="s">
        <v>140</v>
      </c>
      <c r="E9" s="200" t="e">
        <f>ROUND(C11/E7,4)</f>
        <v>#DIV/0!</v>
      </c>
      <c r="F9" s="2750" t="s">
        <v>2845</v>
      </c>
      <c r="G9" s="2751"/>
      <c r="H9" s="2751"/>
      <c r="I9" s="2751"/>
      <c r="J9" s="2752"/>
      <c r="K9" s="1369"/>
      <c r="L9" s="2725" t="s">
        <v>2846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59"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5"/>
      <c r="B10" s="198" t="s">
        <v>2849</v>
      </c>
      <c r="C10" s="200">
        <f>SUMIF(修正!C59:C119,C8,修正!F59:F119)</f>
        <v>0</v>
      </c>
      <c r="D10" s="200" t="s">
        <v>141</v>
      </c>
      <c r="E10" s="200" t="e">
        <f>ROUND(C11/E7,4)</f>
        <v>#DIV/0!</v>
      </c>
      <c r="F10" s="2750" t="s">
        <v>2850</v>
      </c>
      <c r="G10" s="2751"/>
      <c r="H10" s="2751"/>
      <c r="I10" s="2751"/>
      <c r="J10" s="2752"/>
      <c r="K10" s="1369"/>
      <c r="L10" s="2725" t="s">
        <v>2851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5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5"/>
      <c r="B11" s="2753" t="s">
        <v>2852</v>
      </c>
      <c r="C11" s="919">
        <f>C10/4</f>
        <v>0</v>
      </c>
      <c r="D11" s="919" t="s">
        <v>142</v>
      </c>
      <c r="E11" s="919" t="e">
        <f>ROUND(C11/E7,4)</f>
        <v>#DIV/0!</v>
      </c>
      <c r="F11" s="2754" t="s">
        <v>2853</v>
      </c>
      <c r="G11" s="2755"/>
      <c r="H11" s="2755"/>
      <c r="I11" s="2755"/>
      <c r="J11" s="2756"/>
      <c r="K11" s="1369"/>
      <c r="L11" s="2725" t="s">
        <v>2854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59" t="s">
        <v>2855</v>
      </c>
      <c r="X11" s="1613" t="s">
        <v>2856</v>
      </c>
      <c r="Y11" s="1614">
        <f>$G$3</f>
        <v>4.95</v>
      </c>
      <c r="Z11" s="1614">
        <f t="shared" ref="Z11:AJ11" si="3">$G$3</f>
        <v>4.95</v>
      </c>
      <c r="AA11" s="1614">
        <f t="shared" si="3"/>
        <v>4.95</v>
      </c>
      <c r="AB11" s="1614">
        <f t="shared" si="3"/>
        <v>4.95</v>
      </c>
      <c r="AC11" s="1614">
        <f t="shared" si="3"/>
        <v>4.95</v>
      </c>
      <c r="AD11" s="1614">
        <f t="shared" si="3"/>
        <v>4.95</v>
      </c>
      <c r="AE11" s="1614">
        <f t="shared" si="3"/>
        <v>4.95</v>
      </c>
      <c r="AF11" s="1614">
        <f t="shared" si="3"/>
        <v>4.95</v>
      </c>
      <c r="AG11" s="1614">
        <f t="shared" si="3"/>
        <v>4.95</v>
      </c>
      <c r="AH11" s="1614">
        <f t="shared" si="3"/>
        <v>4.95</v>
      </c>
      <c r="AI11" s="1614">
        <f t="shared" si="3"/>
        <v>4.95</v>
      </c>
      <c r="AJ11" s="1614">
        <f t="shared" si="3"/>
        <v>4.95</v>
      </c>
    </row>
    <row r="12" spans="1:36" ht="25.5" thickBot="1">
      <c r="A12" s="3264" t="s">
        <v>2857</v>
      </c>
      <c r="B12" s="2757" t="s">
        <v>2858</v>
      </c>
      <c r="C12" s="915">
        <f>ROUND(C15*D15*E15*F15*G15*H15*I15*J15,4)</f>
        <v>1</v>
      </c>
      <c r="D12" s="2758" t="s">
        <v>2859</v>
      </c>
      <c r="E12" s="2759"/>
      <c r="F12" s="2759"/>
      <c r="G12" s="2760"/>
      <c r="H12" s="2760"/>
      <c r="I12" s="2760"/>
      <c r="J12" s="2761"/>
      <c r="K12" s="1369"/>
      <c r="L12" s="2762" t="s">
        <v>2860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59"/>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6"/>
      <c r="B13" s="2763" t="s">
        <v>2862</v>
      </c>
      <c r="C13" s="2764" t="s">
        <v>2863</v>
      </c>
      <c r="D13" s="1807" t="s">
        <v>2864</v>
      </c>
      <c r="E13" s="1807" t="s">
        <v>2865</v>
      </c>
      <c r="F13" s="30" t="s">
        <v>2866</v>
      </c>
      <c r="G13" s="2765" t="s">
        <v>2867</v>
      </c>
      <c r="H13" s="2765" t="s">
        <v>2867</v>
      </c>
      <c r="I13" s="2765" t="s">
        <v>2867</v>
      </c>
      <c r="J13" s="2766" t="s">
        <v>2867</v>
      </c>
      <c r="K13" s="1369"/>
      <c r="L13" s="1369"/>
      <c r="M13" s="1369"/>
      <c r="N13" s="1369"/>
      <c r="O13" s="1369"/>
      <c r="P13" s="1369"/>
      <c r="Q13" s="1369"/>
      <c r="R13" s="1601">
        <v>12</v>
      </c>
      <c r="S13" s="1602"/>
      <c r="T13" s="1601" t="e">
        <f t="shared" si="0"/>
        <v>#DIV/0!</v>
      </c>
      <c r="U13" s="1602"/>
      <c r="V13" s="1601" t="e">
        <f t="shared" si="1"/>
        <v>#DIV/0!</v>
      </c>
      <c r="W13" s="3259"/>
      <c r="X13" s="1615"/>
      <c r="Y13" s="1612">
        <f>(-0.163*(Y12^2)-0.59*Y12+7617)*(10^(-4))/Y11</f>
        <v>0.15387878787878789</v>
      </c>
      <c r="Z13" s="1612">
        <f t="shared" ref="Z13:AJ13" si="5">(-0.163*(Z12^2)-0.59*Z12+7617)*(10^(-4))/Z11</f>
        <v>0.15387878787878789</v>
      </c>
      <c r="AA13" s="1612">
        <f t="shared" si="5"/>
        <v>0.15387878787878789</v>
      </c>
      <c r="AB13" s="1612">
        <f t="shared" si="5"/>
        <v>0.15387878787878789</v>
      </c>
      <c r="AC13" s="1612">
        <f t="shared" si="5"/>
        <v>0.15387878787878789</v>
      </c>
      <c r="AD13" s="1612">
        <f t="shared" si="5"/>
        <v>0.15387878787878789</v>
      </c>
      <c r="AE13" s="1612">
        <f t="shared" si="5"/>
        <v>0.15387878787878789</v>
      </c>
      <c r="AF13" s="1612">
        <f t="shared" si="5"/>
        <v>0.15387878787878789</v>
      </c>
      <c r="AG13" s="1612">
        <f t="shared" si="5"/>
        <v>0.15387878787878789</v>
      </c>
      <c r="AH13" s="1612">
        <f t="shared" si="5"/>
        <v>0.15387878787878789</v>
      </c>
      <c r="AI13" s="1612">
        <f t="shared" si="5"/>
        <v>0.15387878787878789</v>
      </c>
      <c r="AJ13" s="1612">
        <f t="shared" si="5"/>
        <v>0.15387878787878789</v>
      </c>
    </row>
    <row r="14" spans="1:36" ht="15">
      <c r="A14" s="3266"/>
      <c r="B14" s="2767"/>
      <c r="C14" s="2768"/>
      <c r="D14" s="2769"/>
      <c r="E14" s="2769"/>
      <c r="F14" s="2770"/>
      <c r="G14" s="2771" t="s">
        <v>2868</v>
      </c>
      <c r="H14" s="2772"/>
      <c r="I14" s="2773"/>
      <c r="J14" s="2774"/>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7"/>
      <c r="B15" s="2775" t="s">
        <v>2869</v>
      </c>
      <c r="C15" s="229">
        <f>IF(C14="有",1.1,1)</f>
        <v>1</v>
      </c>
      <c r="D15" s="229">
        <f>IF(D14="有",1.1,1)</f>
        <v>1</v>
      </c>
      <c r="E15" s="229">
        <f>IF(E14="有",1.1,1)</f>
        <v>1</v>
      </c>
      <c r="F15" s="229">
        <f>IF(F14="500米范围内",1.2,IF(F14="500-1000米",1.1,1))</f>
        <v>1</v>
      </c>
      <c r="G15" s="945">
        <v>1</v>
      </c>
      <c r="H15" s="945">
        <v>1</v>
      </c>
      <c r="I15" s="945">
        <v>1</v>
      </c>
      <c r="J15" s="946">
        <v>1</v>
      </c>
      <c r="K15" s="1369"/>
      <c r="L15" s="2776" t="s">
        <v>2805</v>
      </c>
      <c r="M15" s="916" t="s">
        <v>2870</v>
      </c>
      <c r="N15" s="916" t="s">
        <v>2871</v>
      </c>
      <c r="O15" s="916" t="s">
        <v>2872</v>
      </c>
      <c r="P15" s="2777" t="s">
        <v>2873</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4" t="s">
        <v>2874</v>
      </c>
      <c r="B16" s="2744" t="s">
        <v>2875</v>
      </c>
      <c r="C16" s="1800" t="e">
        <f>ROUND(SUM(G17:J17)/C17,0)</f>
        <v>#DIV/0!</v>
      </c>
      <c r="D16" s="2778" t="s">
        <v>2876</v>
      </c>
      <c r="E16" s="2779"/>
      <c r="F16" s="2780"/>
      <c r="G16" s="2781"/>
      <c r="H16" s="2781"/>
      <c r="I16" s="2781"/>
      <c r="J16" s="2782"/>
      <c r="K16" s="1369"/>
      <c r="L16" s="2783" t="s">
        <v>2877</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5"/>
      <c r="B17" s="2784" t="s">
        <v>2878</v>
      </c>
      <c r="C17" s="920">
        <f>SUMPRODUCT((修正!A2:A5=E2)*(修正!B1:M1=G2)*(修正!B2:M5))</f>
        <v>0</v>
      </c>
      <c r="D17" s="2785" t="s">
        <v>2879</v>
      </c>
      <c r="E17" s="919" t="str">
        <f>IF(OR(G2="八级",G2="九级",G2="十级",G2="十一级",G2="十二级"),"五通一平","七通一平")</f>
        <v>七通一平</v>
      </c>
      <c r="F17" s="920" t="s">
        <v>2880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2882</v>
      </c>
      <c r="C18" s="922">
        <f>SUMIF(修正!C18:C39,E3,修正!E18:E39)</f>
        <v>0</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7.75" thickBot="1">
      <c r="A19" s="2788" t="s">
        <v>809</v>
      </c>
      <c r="B19" s="2789" t="s">
        <v>2883</v>
      </c>
      <c r="C19" s="923" t="e">
        <f>ROUND(IF(H19="按公示增长率计算",SUMPRODUCT((地价!A3:A23=YEAR(G19)&amp;"-"&amp;ROUNDUP(MONTH(G19)/3,0))*(地价!X2:AB2=E2)*(地价!X3:AB23)),IF(H19="地价指数",M20/M19,(1+I19)^O19)),4)</f>
        <v>#DIV/0!</v>
      </c>
      <c r="D19" s="2796" t="s">
        <v>2884</v>
      </c>
      <c r="E19" s="924">
        <v>41640</v>
      </c>
      <c r="F19" s="2796" t="s">
        <v>2885</v>
      </c>
      <c r="G19" s="925">
        <f>'数据-取费表'!B2</f>
        <v>43371</v>
      </c>
      <c r="H19" s="2797" t="s">
        <v>2886</v>
      </c>
      <c r="I19" s="926" t="str">
        <f>IF(H19="季度增幅（自定义）",SUMIF(N21:N24,E2,O21:O24),"")</f>
        <v/>
      </c>
      <c r="J19" s="2794"/>
      <c r="K19" s="1376"/>
      <c r="L19" s="2798" t="s">
        <v>2887</v>
      </c>
      <c r="M19" s="1733">
        <f>ROUND(SUMIF(地价!B2:F2,E2,地价!B23:F23),0)</f>
        <v>0</v>
      </c>
      <c r="N19" s="2799" t="s">
        <v>2888</v>
      </c>
      <c r="O19" s="927">
        <f>ROUNDDOWN(DATEDIF(E19,G19,"M")/3,0)</f>
        <v>18</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2889</v>
      </c>
      <c r="C20" s="928" t="e">
        <f>ROUND(POWER(1+G20,J20-I20)*(POWER(1+G20,I20)-1)/(POWER(1+G20,J20)-1),4)</f>
        <v>#DIV/0!</v>
      </c>
      <c r="D20" s="2805" t="s">
        <v>2890</v>
      </c>
      <c r="E20" s="1767">
        <f ca="1">存贷款利率!D4/100</f>
        <v>4.3499999999999997E-2</v>
      </c>
      <c r="F20" s="2805" t="s">
        <v>2881</v>
      </c>
      <c r="G20" s="933">
        <f>SUMIF(M15:P15,E2,M17:P17)</f>
        <v>0</v>
      </c>
      <c r="H20" s="2805" t="s">
        <v>2891</v>
      </c>
      <c r="I20" s="934" t="e">
        <f>SUMIF('数据-取费表'!C6:C15,E2,'数据-取费表'!F6:F15)/COUNTIF('数据-取费表'!C6:C15,E2)</f>
        <v>#DIV/0!</v>
      </c>
      <c r="J20" s="935">
        <f>IF(E2="住宅",70,IF(E2="商业",40,50))</f>
        <v>50</v>
      </c>
      <c r="K20" s="1376"/>
      <c r="L20" s="2806" t="s">
        <v>2892</v>
      </c>
      <c r="M20" s="1734">
        <f>ROUND(SUMPRODUCT((地价!A4:A23=YEAR(G19)&amp;"-"&amp;ROUNDUP(MONTH(G19)/3,0))*(地价!B2:F2=E2)*(地价!B4:F23)),0)</f>
        <v>0</v>
      </c>
      <c r="N20" s="2807" t="s">
        <v>2893</v>
      </c>
      <c r="O20" s="2808" t="s">
        <v>2894</v>
      </c>
      <c r="P20" s="2809" t="s">
        <v>2895</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2896</v>
      </c>
      <c r="C21" s="936">
        <f>IF(B21="容积率修正",IF(G3&lt;=10,D22,J22),C23)</f>
        <v>0</v>
      </c>
      <c r="D21" s="2812"/>
      <c r="E21" s="2812"/>
      <c r="F21" s="2812"/>
      <c r="G21" s="2812"/>
      <c r="H21" s="2812"/>
      <c r="I21" s="2812"/>
      <c r="J21" s="2813"/>
      <c r="K21" s="1376"/>
      <c r="N21" s="2814" t="s">
        <v>2897</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7" customFormat="1" ht="14.25">
      <c r="A22" s="2663" t="s">
        <v>2898</v>
      </c>
      <c r="B22" s="2815" t="s">
        <v>2899</v>
      </c>
      <c r="C22" s="1809" t="s">
        <v>2900</v>
      </c>
      <c r="D22" s="1809">
        <f>IF(E22=G22,F22,IF(G3&lt;=10,ROUND(F22+(H22-F22)*(G3-E22)/(G22-E22),4),"——"))</f>
        <v>0</v>
      </c>
      <c r="E22" s="912">
        <f>ROUNDDOWN(G3,1)</f>
        <v>4.9000000000000004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14" t="s">
        <v>2901</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63" t="s">
        <v>2902</v>
      </c>
      <c r="B23" s="2816" t="s">
        <v>2903</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2904</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2905</v>
      </c>
      <c r="C24" s="923">
        <f>SUMIF(A45:A88,E2,B45:B88)</f>
        <v>0</v>
      </c>
      <c r="D24" s="2792"/>
      <c r="E24" s="2822"/>
      <c r="F24" s="2822"/>
      <c r="G24" s="2822"/>
      <c r="H24" s="2822"/>
      <c r="I24" s="2822"/>
      <c r="J24" s="2823"/>
      <c r="K24" s="1376"/>
      <c r="N24" s="2824" t="s">
        <v>2906</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2907</v>
      </c>
      <c r="C25" s="929"/>
      <c r="D25" s="2747"/>
      <c r="E25" s="2747"/>
      <c r="F25" s="2826"/>
      <c r="G25" s="2747"/>
      <c r="H25" s="2747"/>
      <c r="I25" s="2747"/>
      <c r="J25" s="2748"/>
      <c r="K25" s="1369"/>
      <c r="N25" s="2827" t="s">
        <v>2908</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8"/>
      <c r="B26" s="2815" t="s">
        <v>2909</v>
      </c>
      <c r="C26" s="206" t="e">
        <f>E29+SUM(E33:E39)</f>
        <v>#DIV/0!</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2910</v>
      </c>
      <c r="C27" s="930" t="e">
        <f>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2911</v>
      </c>
      <c r="C28" s="2839" t="s">
        <v>2912</v>
      </c>
      <c r="D28" s="2839" t="s">
        <v>2913</v>
      </c>
      <c r="E28" s="2840" t="s">
        <v>2914</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2915</v>
      </c>
      <c r="C29" s="206" t="e">
        <f>ROUND(C5*C18*C19*C20*C21*C24,0)</f>
        <v>#DIV/0!</v>
      </c>
      <c r="D29" s="2844"/>
      <c r="E29" s="941" t="e">
        <f>ROUND(C29*D29/10000,0)</f>
        <v>#DIV/0!</v>
      </c>
      <c r="F29" s="2845" t="s">
        <v>2916</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2917</v>
      </c>
      <c r="C30" s="229" t="e">
        <f>ROUND(IF(E2="工业",C29*M39,C29*M38),0)</f>
        <v>#DIV/0!</v>
      </c>
      <c r="D30" s="2850"/>
      <c r="E30" s="941" t="e">
        <f>ROUND(C30*D30/10000,0)</f>
        <v>#DIV/0!</v>
      </c>
      <c r="F30" s="2851" t="s">
        <v>2918</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2919</v>
      </c>
      <c r="C31" s="2856" t="s">
        <v>2920</v>
      </c>
      <c r="D31" s="2760"/>
      <c r="E31" s="2856"/>
      <c r="F31" s="2856"/>
      <c r="G31" s="2758" t="s">
        <v>2921</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2912</v>
      </c>
      <c r="D32" s="498" t="s">
        <v>2913</v>
      </c>
      <c r="E32" s="498" t="s">
        <v>2914</v>
      </c>
      <c r="F32" s="388" t="s">
        <v>2922</v>
      </c>
      <c r="G32" s="2859" t="s">
        <v>2912</v>
      </c>
      <c r="H32" s="2859" t="s">
        <v>2913</v>
      </c>
      <c r="I32" s="2859" t="s">
        <v>2914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274" t="s">
        <v>2923</v>
      </c>
      <c r="B33" s="2860" t="s">
        <v>2924</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5"/>
      <c r="B34" s="2764" t="s">
        <v>2925</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5"/>
      <c r="B35" s="2764" t="s">
        <v>2926</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69"/>
      <c r="L35" s="1369"/>
      <c r="M35" s="1369"/>
      <c r="N35" s="1369"/>
      <c r="O35" s="1369"/>
      <c r="P35" s="1369"/>
      <c r="Q35" s="1369"/>
      <c r="R35" s="1369"/>
      <c r="S35" s="1369"/>
      <c r="T35" s="1369"/>
      <c r="U35" s="1369"/>
      <c r="V35" s="1369"/>
      <c r="W35" s="1369"/>
      <c r="X35" s="1369"/>
      <c r="Y35" s="1369"/>
      <c r="Z35" s="1370"/>
    </row>
    <row r="36" spans="1:37" ht="13.5" thickBot="1">
      <c r="A36" s="3276"/>
      <c r="B36" s="2764" t="s">
        <v>2927</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2928</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69"/>
      <c r="L37" s="2863" t="s">
        <v>2929</v>
      </c>
      <c r="M37" s="2864"/>
      <c r="N37" s="1369"/>
      <c r="O37" s="1369"/>
      <c r="P37" s="1369"/>
      <c r="Q37" s="1369"/>
      <c r="R37" s="1369"/>
      <c r="S37" s="1369"/>
      <c r="T37" s="1369"/>
      <c r="U37" s="1369"/>
      <c r="V37" s="1369"/>
      <c r="W37" s="1369"/>
      <c r="X37" s="1369"/>
      <c r="Y37" s="1369"/>
      <c r="Z37" s="1370"/>
    </row>
    <row r="38" spans="1:37">
      <c r="A38" s="2862"/>
      <c r="B38" s="2764" t="s">
        <v>2930</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69"/>
      <c r="L38" s="1886" t="s">
        <v>2931</v>
      </c>
      <c r="M38" s="2865">
        <v>0.25</v>
      </c>
      <c r="N38" s="1369"/>
      <c r="O38" s="1369"/>
      <c r="P38" s="1369"/>
      <c r="Q38" s="1369"/>
      <c r="R38" s="1369"/>
      <c r="S38" s="1369"/>
      <c r="T38" s="1369"/>
      <c r="U38" s="1369"/>
      <c r="V38" s="1369"/>
      <c r="W38" s="1369"/>
      <c r="X38" s="1369"/>
      <c r="Y38" s="1369"/>
      <c r="Z38" s="1370"/>
    </row>
    <row r="39" spans="1:37" ht="13.5" thickBot="1">
      <c r="A39" s="2848"/>
      <c r="B39" s="2866" t="s">
        <v>2932</v>
      </c>
      <c r="C39" s="229" t="e">
        <f>ROUND(C5*C19*C20*C24*F39,0)</f>
        <v>#DIV/0!</v>
      </c>
      <c r="D39" s="2850"/>
      <c r="E39" s="229" t="e">
        <f t="shared" si="7"/>
        <v>#DIV/0!</v>
      </c>
      <c r="F39" s="931">
        <f>SUMIF(修正!A45:A56,G2,修正!H45:H56)</f>
        <v>0</v>
      </c>
      <c r="G39" s="229" t="e">
        <f>ROUND(IF(E2="工业",C39*$M$39,C39*$M$38),0)</f>
        <v>#DIV/0!</v>
      </c>
      <c r="H39" s="229">
        <f t="shared" si="8"/>
        <v>0</v>
      </c>
      <c r="I39" s="229" t="e">
        <f t="shared" si="9"/>
        <v>#DIV/0!</v>
      </c>
      <c r="J39" s="2867"/>
      <c r="K39" s="1369"/>
      <c r="L39" s="2868" t="s">
        <v>2873</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2933</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2934</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2935</v>
      </c>
      <c r="B47" s="1808" t="s">
        <v>2936</v>
      </c>
      <c r="C47" s="1808" t="s">
        <v>2937</v>
      </c>
      <c r="D47" s="1808" t="s">
        <v>2938</v>
      </c>
      <c r="E47" s="815" t="s">
        <v>2939</v>
      </c>
      <c r="F47" s="2878" t="s">
        <v>2940</v>
      </c>
      <c r="G47" s="1808" t="s">
        <v>754</v>
      </c>
      <c r="H47" s="2879" t="s">
        <v>2941</v>
      </c>
      <c r="I47" s="1808" t="s">
        <v>2942</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38.25">
      <c r="A48" s="2877" t="s">
        <v>2943</v>
      </c>
      <c r="B48" s="2880" t="str">
        <f>估价对象房地状况!C4</f>
        <v>估价对象位于XX商圈，周边商业氛围成熟，人流量大，商业繁华度好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2944</v>
      </c>
      <c r="B49" s="2881" t="str">
        <f>估价对象房地状况!C18</f>
        <v>估价对象周边道路状况、公共交通通达情况、停车便捷程度，综合评价交通便捷度较好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2945</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2946</v>
      </c>
      <c r="B51" s="2882" t="s">
        <v>2947</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2948</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2949</v>
      </c>
      <c r="B53" s="2883" t="s">
        <v>2950</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2951</v>
      </c>
      <c r="B54" s="1724" t="str">
        <f>估价对象房地状况!C21</f>
        <v>估价对象所在区域公共配套设施齐备情况</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2952</v>
      </c>
      <c r="B55" s="2881" t="str">
        <f>估价对象房地状况!C22</f>
        <v>估价对象所在区域基础设施水平</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2953</v>
      </c>
      <c r="B56" s="2886" t="str">
        <f>估价对象房地状况!C20</f>
        <v>区域自然环境：；人文环境；综合评价环境状况一般</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2954</v>
      </c>
      <c r="B57" s="2874">
        <f>1+E59</f>
        <v>1</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2935</v>
      </c>
      <c r="B58" s="1808"/>
      <c r="C58" s="1808" t="s">
        <v>2937</v>
      </c>
      <c r="D58" s="1808" t="s">
        <v>2938</v>
      </c>
      <c r="E58" s="815" t="s">
        <v>2939</v>
      </c>
      <c r="F58" s="2878" t="s">
        <v>2955</v>
      </c>
      <c r="G58" s="1808" t="s">
        <v>754</v>
      </c>
      <c r="H58" s="2879" t="s">
        <v>2941</v>
      </c>
      <c r="I58" s="1808" t="s">
        <v>2942</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38.25">
      <c r="A59" s="2877" t="s">
        <v>2956</v>
      </c>
      <c r="B59" s="2880" t="str">
        <f>估价对象房地状况!C17</f>
        <v>估价对象位于XX商圈，周边办公楼项目较多，入驻率高，办公集聚程度较好</v>
      </c>
      <c r="C59" s="2769"/>
      <c r="D59" s="1285">
        <f t="shared" ref="D59:D67" si="15">SUMIF($J$58:$N$58,C59,J59:N59)</f>
        <v>0</v>
      </c>
      <c r="E59" s="817">
        <f>ROUND(SUM(D59:D67),4)</f>
        <v>0</v>
      </c>
      <c r="F59" s="2500"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7" t="s">
        <v>2944</v>
      </c>
      <c r="B60" s="2881" t="str">
        <f>估价对象房地状况!C18</f>
        <v>估价对象周边道路状况、公共交通通达情况、停车便捷程度，综合评价交通便捷度较好</v>
      </c>
      <c r="C60" s="2769"/>
      <c r="D60" s="1285">
        <f t="shared" si="15"/>
        <v>0</v>
      </c>
      <c r="E60" s="818"/>
      <c r="F60" s="2500"/>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7" t="s">
        <v>2945</v>
      </c>
      <c r="B61" s="2881">
        <f>估价对象房地状况!C19</f>
        <v>0</v>
      </c>
      <c r="C61" s="2769"/>
      <c r="D61" s="1285">
        <f t="shared" si="15"/>
        <v>0</v>
      </c>
      <c r="E61" s="818"/>
      <c r="F61" s="2500"/>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7" t="s">
        <v>2946</v>
      </c>
      <c r="B62" s="2882" t="s">
        <v>2947</v>
      </c>
      <c r="C62" s="2769"/>
      <c r="D62" s="1285">
        <f t="shared" si="15"/>
        <v>0</v>
      </c>
      <c r="E62" s="818"/>
      <c r="F62" s="2500"/>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7" t="s">
        <v>2948</v>
      </c>
      <c r="B63" s="2881">
        <f>估价对象房地状况!C24</f>
        <v>0</v>
      </c>
      <c r="C63" s="2769"/>
      <c r="D63" s="1285">
        <f t="shared" si="15"/>
        <v>0</v>
      </c>
      <c r="E63" s="818"/>
      <c r="F63" s="2500"/>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7" t="s">
        <v>2949</v>
      </c>
      <c r="B64" s="2883" t="s">
        <v>2950</v>
      </c>
      <c r="C64" s="2769"/>
      <c r="D64" s="1285">
        <f t="shared" si="15"/>
        <v>0</v>
      </c>
      <c r="E64" s="818"/>
      <c r="F64" s="2500"/>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7" t="s">
        <v>2951</v>
      </c>
      <c r="B65" s="1724" t="str">
        <f>估价对象房地状况!C21</f>
        <v>估价对象所在区域公共配套设施齐备情况</v>
      </c>
      <c r="C65" s="2769"/>
      <c r="D65" s="1285">
        <f t="shared" si="15"/>
        <v>0</v>
      </c>
      <c r="E65" s="818"/>
      <c r="F65" s="2500"/>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7" t="s">
        <v>2952</v>
      </c>
      <c r="B66" s="1724" t="str">
        <f>估价对象房地状况!C22</f>
        <v>估价对象所在区域基础设施水平</v>
      </c>
      <c r="C66" s="2769"/>
      <c r="D66" s="1285">
        <f t="shared" si="15"/>
        <v>0</v>
      </c>
      <c r="E66" s="818"/>
      <c r="F66" s="2500"/>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5" t="s">
        <v>2953</v>
      </c>
      <c r="B67" s="2887" t="str">
        <f>估价对象房地状况!C20</f>
        <v>区域自然环境：；人文环境；综合评价环境状况一般</v>
      </c>
      <c r="C67" s="2769"/>
      <c r="D67" s="1285">
        <f t="shared" si="15"/>
        <v>0</v>
      </c>
      <c r="E67" s="821"/>
      <c r="F67" s="2500"/>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3" t="s">
        <v>2957</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2935</v>
      </c>
      <c r="B69" s="1808"/>
      <c r="C69" s="1808" t="s">
        <v>2937</v>
      </c>
      <c r="D69" s="1808" t="s">
        <v>2938</v>
      </c>
      <c r="E69" s="815" t="s">
        <v>2939</v>
      </c>
      <c r="F69" s="2878" t="s">
        <v>2955</v>
      </c>
      <c r="G69" s="1808" t="s">
        <v>754</v>
      </c>
      <c r="H69" s="2879" t="s">
        <v>2941</v>
      </c>
      <c r="I69" s="1808" t="s">
        <v>2942</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51">
      <c r="A70" s="2877" t="s">
        <v>2958</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2944</v>
      </c>
      <c r="B71" s="2881" t="str">
        <f>估价对象房地状况!C18</f>
        <v>估价对象周边道路状况、公共交通通达情况、停车便捷程度，综合评价交通便捷度较好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2945</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2959</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2951</v>
      </c>
      <c r="B74" s="1724" t="str">
        <f>估价对象房地状况!C21</f>
        <v>估价对象所在区域公共配套设施齐备情况</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2952</v>
      </c>
      <c r="B75" s="1724" t="str">
        <f>估价对象房地状况!C22</f>
        <v>估价对象所在区域基础设施水平</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2949</v>
      </c>
      <c r="B76" s="2883" t="s">
        <v>2950</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2953</v>
      </c>
      <c r="B77" s="2880" t="str">
        <f>估价对象房地状况!C20</f>
        <v>区域自然环境：；人文环境；综合评价环境状况一般</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2960</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2961</v>
      </c>
      <c r="B79" s="2874">
        <f>1+E81</f>
        <v>1</v>
      </c>
      <c r="C79" s="810"/>
      <c r="D79" s="810"/>
      <c r="E79" s="811"/>
      <c r="F79" s="2876"/>
      <c r="G79" s="6"/>
      <c r="H79" s="6"/>
      <c r="I79" s="6"/>
      <c r="J79" s="7"/>
      <c r="K79" s="7"/>
      <c r="L79" s="7"/>
      <c r="M79" s="7"/>
      <c r="N79" s="7"/>
      <c r="Z79" s="2719"/>
      <c r="AA79" s="2795"/>
      <c r="AG79" s="1371"/>
      <c r="AK79" s="2795"/>
    </row>
    <row r="80" spans="1:37" ht="24.75">
      <c r="A80" s="2877" t="s">
        <v>2935</v>
      </c>
      <c r="B80" s="1808"/>
      <c r="C80" s="1808" t="s">
        <v>2937</v>
      </c>
      <c r="D80" s="1808" t="s">
        <v>2938</v>
      </c>
      <c r="E80" s="815" t="s">
        <v>2939</v>
      </c>
      <c r="F80" s="2878" t="s">
        <v>2955</v>
      </c>
      <c r="G80" s="1808" t="s">
        <v>754</v>
      </c>
      <c r="H80" s="2879" t="s">
        <v>2941</v>
      </c>
      <c r="I80" s="1808" t="s">
        <v>2942</v>
      </c>
      <c r="J80" s="603" t="s">
        <v>2589</v>
      </c>
      <c r="K80" s="603" t="s">
        <v>2590</v>
      </c>
      <c r="L80" s="603" t="s">
        <v>2591</v>
      </c>
      <c r="M80" s="603" t="s">
        <v>2592</v>
      </c>
      <c r="N80" s="603" t="s">
        <v>2593</v>
      </c>
      <c r="Z80" s="2719"/>
      <c r="AA80" s="2795"/>
      <c r="AG80" s="1371"/>
      <c r="AK80" s="2795"/>
    </row>
    <row r="81" spans="1:37" ht="38.25">
      <c r="A81" s="2877" t="s">
        <v>2962</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2944</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2945</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2959</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2951</v>
      </c>
      <c r="B85" s="1724"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2952</v>
      </c>
      <c r="B86" s="1724"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2949</v>
      </c>
      <c r="B87" s="2883" t="s">
        <v>2963</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2964</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268" t="s">
        <v>2965</v>
      </c>
      <c r="B90" s="3268"/>
      <c r="C90" s="3268"/>
      <c r="D90" s="3268"/>
      <c r="E90" s="3268"/>
      <c r="F90" s="3268"/>
      <c r="G90" s="3268"/>
      <c r="H90" s="3268"/>
      <c r="I90" s="3268"/>
      <c r="J90" s="3268"/>
      <c r="K90" s="2891"/>
      <c r="L90" s="2891"/>
      <c r="M90" s="2891"/>
      <c r="N90" s="2891"/>
    </row>
    <row r="91" spans="1:37">
      <c r="A91" s="3270" t="s">
        <v>2966</v>
      </c>
      <c r="B91" s="3270" t="s">
        <v>2967</v>
      </c>
      <c r="C91" s="2845" t="s">
        <v>2968</v>
      </c>
      <c r="D91" s="2846"/>
      <c r="E91" s="2846"/>
      <c r="F91" s="2846"/>
      <c r="G91" s="2846"/>
      <c r="H91" s="2846"/>
      <c r="I91" s="2846"/>
      <c r="J91" s="2892"/>
      <c r="K91" s="2893"/>
      <c r="L91" s="2893"/>
      <c r="M91" s="2893"/>
      <c r="N91" s="2893"/>
    </row>
    <row r="92" spans="1:37">
      <c r="A92" s="3270"/>
      <c r="B92" s="3270"/>
      <c r="C92" s="941" t="s">
        <v>2832</v>
      </c>
      <c r="D92" s="941" t="s">
        <v>2833</v>
      </c>
      <c r="E92" s="941" t="s">
        <v>2834</v>
      </c>
      <c r="F92" s="941" t="s">
        <v>2835</v>
      </c>
      <c r="G92" s="941" t="s">
        <v>2836</v>
      </c>
      <c r="H92" s="941" t="s">
        <v>2837</v>
      </c>
      <c r="I92" s="941" t="s">
        <v>2838</v>
      </c>
      <c r="J92" s="941" t="s">
        <v>2839</v>
      </c>
      <c r="K92" s="941" t="s">
        <v>2840</v>
      </c>
      <c r="L92" s="941" t="s">
        <v>2841</v>
      </c>
      <c r="M92" s="941" t="s">
        <v>2842</v>
      </c>
      <c r="N92" s="941" t="s">
        <v>2843</v>
      </c>
    </row>
    <row r="93" spans="1:37">
      <c r="A93" s="3271" t="s">
        <v>2969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2"/>
      <c r="B99" s="2894" t="s">
        <v>2848</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7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71" t="s">
        <v>2970</v>
      </c>
      <c r="B101" s="2898" t="s">
        <v>2971</v>
      </c>
      <c r="C101" s="2899">
        <f>$G$3</f>
        <v>4.95</v>
      </c>
      <c r="D101" s="2899">
        <f t="shared" ref="D101:N101" si="31">$G$3</f>
        <v>4.95</v>
      </c>
      <c r="E101" s="2899">
        <f t="shared" si="31"/>
        <v>4.95</v>
      </c>
      <c r="F101" s="2899">
        <f t="shared" si="31"/>
        <v>4.95</v>
      </c>
      <c r="G101" s="2899">
        <f t="shared" si="31"/>
        <v>4.95</v>
      </c>
      <c r="H101" s="2899">
        <f t="shared" si="31"/>
        <v>4.95</v>
      </c>
      <c r="I101" s="2899">
        <f t="shared" si="31"/>
        <v>4.95</v>
      </c>
      <c r="J101" s="2899">
        <f t="shared" si="31"/>
        <v>4.95</v>
      </c>
      <c r="K101" s="2899">
        <f t="shared" si="31"/>
        <v>4.95</v>
      </c>
      <c r="L101" s="2899">
        <f t="shared" si="31"/>
        <v>4.95</v>
      </c>
      <c r="M101" s="2899">
        <f t="shared" si="31"/>
        <v>4.95</v>
      </c>
      <c r="N101" s="2899">
        <f t="shared" si="31"/>
        <v>4.95</v>
      </c>
    </row>
    <row r="102" spans="1:14">
      <c r="A102" s="3272"/>
      <c r="B102" s="2894">
        <v>1</v>
      </c>
      <c r="C102" s="2895">
        <f>1.9362/C101</f>
        <v>0.39115151515151514</v>
      </c>
      <c r="D102" s="2895">
        <f>1.9362/D101</f>
        <v>0.39115151515151514</v>
      </c>
      <c r="E102" s="2895">
        <f>1.8629/E101</f>
        <v>0.37634343434343431</v>
      </c>
      <c r="F102" s="2895">
        <f>1.8629/F101</f>
        <v>0.37634343434343431</v>
      </c>
      <c r="G102" s="2895">
        <f>1.8629/G101</f>
        <v>0.37634343434343431</v>
      </c>
      <c r="H102" s="2895">
        <f>1.8629/H101</f>
        <v>0.37634343434343431</v>
      </c>
      <c r="I102" s="2895">
        <f>1.8629/I101</f>
        <v>0.37634343434343431</v>
      </c>
      <c r="J102" s="2895">
        <f>1.942/J101</f>
        <v>0.3923232323232323</v>
      </c>
      <c r="K102" s="2895">
        <f>1.942/K101</f>
        <v>0.3923232323232323</v>
      </c>
      <c r="L102" s="2895">
        <f>1.942/L101</f>
        <v>0.3923232323232323</v>
      </c>
      <c r="M102" s="2895">
        <f>1.942/M101</f>
        <v>0.3923232323232323</v>
      </c>
      <c r="N102" s="2895">
        <f>1.942/N101</f>
        <v>0.3923232323232323</v>
      </c>
    </row>
    <row r="103" spans="1:14">
      <c r="A103" s="3272"/>
      <c r="B103" s="2894">
        <v>2</v>
      </c>
      <c r="C103" s="2895">
        <f>1.4198/C101</f>
        <v>0.28682828282828282</v>
      </c>
      <c r="D103" s="2895">
        <f>1.4198/D101</f>
        <v>0.28682828282828282</v>
      </c>
      <c r="E103" s="2895">
        <f>1.3372/E101</f>
        <v>0.27014141414141413</v>
      </c>
      <c r="F103" s="2895">
        <f>1.3372/F101</f>
        <v>0.27014141414141413</v>
      </c>
      <c r="G103" s="2895">
        <f>1.3372/G101</f>
        <v>0.27014141414141413</v>
      </c>
      <c r="H103" s="2895">
        <f>1.3372/H101</f>
        <v>0.27014141414141413</v>
      </c>
      <c r="I103" s="2895">
        <f>1.3372/I101</f>
        <v>0.27014141414141413</v>
      </c>
      <c r="J103" s="2895">
        <f>1.2799/J101</f>
        <v>0.25856565656565655</v>
      </c>
      <c r="K103" s="2895">
        <f>1.2799/K101</f>
        <v>0.25856565656565655</v>
      </c>
      <c r="L103" s="2895">
        <f>1.2799/L101</f>
        <v>0.25856565656565655</v>
      </c>
      <c r="M103" s="2895">
        <f>1.2799/M101</f>
        <v>0.25856565656565655</v>
      </c>
      <c r="N103" s="2895">
        <f>1.2799/N101</f>
        <v>0.25856565656565655</v>
      </c>
    </row>
    <row r="104" spans="1:14">
      <c r="A104" s="3272"/>
      <c r="B104" s="2894">
        <v>3</v>
      </c>
      <c r="C104" s="2895">
        <f>1.1594/C101</f>
        <v>0.23422222222222222</v>
      </c>
      <c r="D104" s="2895">
        <f>1.1594/D101</f>
        <v>0.23422222222222222</v>
      </c>
      <c r="E104" s="2895">
        <f>1.0788/E101</f>
        <v>0.21793939393939393</v>
      </c>
      <c r="F104" s="2895">
        <f>1.0788/F101</f>
        <v>0.21793939393939393</v>
      </c>
      <c r="G104" s="2895">
        <f>1.0788/G101</f>
        <v>0.21793939393939393</v>
      </c>
      <c r="H104" s="2895">
        <f>1.0788/H101</f>
        <v>0.21793939393939393</v>
      </c>
      <c r="I104" s="2895">
        <f>1.0788/I101</f>
        <v>0.21793939393939393</v>
      </c>
      <c r="J104" s="2895">
        <f>1.0072/J101</f>
        <v>0.20347474747474747</v>
      </c>
      <c r="K104" s="2895">
        <f>1.0072/K101</f>
        <v>0.20347474747474747</v>
      </c>
      <c r="L104" s="2895">
        <f>1.0072/L101</f>
        <v>0.20347474747474747</v>
      </c>
      <c r="M104" s="2895">
        <f>1.0072/M101</f>
        <v>0.20347474747474747</v>
      </c>
      <c r="N104" s="2895">
        <f>1.0072/N101</f>
        <v>0.20347474747474747</v>
      </c>
    </row>
    <row r="105" spans="1:14">
      <c r="A105" s="3272"/>
      <c r="B105" s="2894">
        <v>4</v>
      </c>
      <c r="C105" s="2895">
        <f>0.9622/C101</f>
        <v>0.19438383838383838</v>
      </c>
      <c r="D105" s="2895">
        <f>0.9622/D101</f>
        <v>0.19438383838383838</v>
      </c>
      <c r="E105" s="2895">
        <f>0.8656/E101</f>
        <v>0.17486868686868687</v>
      </c>
      <c r="F105" s="2895">
        <f>0.8656/F101</f>
        <v>0.17486868686868687</v>
      </c>
      <c r="G105" s="2895">
        <f>0.8656/G101</f>
        <v>0.17486868686868687</v>
      </c>
      <c r="H105" s="2895">
        <f>0.8656/H101</f>
        <v>0.17486868686868687</v>
      </c>
      <c r="I105" s="2895">
        <f>0.8656/I101</f>
        <v>0.17486868686868687</v>
      </c>
      <c r="J105" s="2895">
        <f>0.7525/J101</f>
        <v>0.152020202020202</v>
      </c>
      <c r="K105" s="2895">
        <f>0.7525/K101</f>
        <v>0.152020202020202</v>
      </c>
      <c r="L105" s="2895">
        <f>0.7525/L101</f>
        <v>0.152020202020202</v>
      </c>
      <c r="M105" s="2895">
        <f>0.7525/M101</f>
        <v>0.152020202020202</v>
      </c>
      <c r="N105" s="2895">
        <f>0.7525/N101</f>
        <v>0.152020202020202</v>
      </c>
    </row>
    <row r="106" spans="1:14">
      <c r="A106" s="3272"/>
      <c r="B106" s="2894">
        <v>5</v>
      </c>
      <c r="C106" s="2895">
        <f>0.8417/C101</f>
        <v>0.17004040404040405</v>
      </c>
      <c r="D106" s="2895">
        <f>0.8417/D101</f>
        <v>0.17004040404040405</v>
      </c>
      <c r="E106" s="2895">
        <f>0.7371/E101</f>
        <v>0.14890909090909091</v>
      </c>
      <c r="F106" s="2895">
        <f>0.7371/F101</f>
        <v>0.14890909090909091</v>
      </c>
      <c r="G106" s="2895">
        <f>0.7371/G101</f>
        <v>0.14890909090909091</v>
      </c>
      <c r="H106" s="2895">
        <f>0.7371/H101</f>
        <v>0.14890909090909091</v>
      </c>
      <c r="I106" s="2895">
        <f>0.7371/I101</f>
        <v>0.14890909090909091</v>
      </c>
      <c r="J106" s="2895">
        <f>0.5659/J101</f>
        <v>0.11432323232323231</v>
      </c>
      <c r="K106" s="2895">
        <f>0.5659/K101</f>
        <v>0.11432323232323231</v>
      </c>
      <c r="L106" s="2895">
        <f>0.5659/L101</f>
        <v>0.11432323232323231</v>
      </c>
      <c r="M106" s="2895">
        <f>0.5659/M101</f>
        <v>0.11432323232323231</v>
      </c>
      <c r="N106" s="2895">
        <f>0.5659/N101</f>
        <v>0.11432323232323231</v>
      </c>
    </row>
    <row r="107" spans="1:14">
      <c r="A107" s="3272"/>
      <c r="B107" s="2894">
        <v>6</v>
      </c>
      <c r="C107" s="2895">
        <f>0.7608/C101</f>
        <v>0.15369696969696969</v>
      </c>
      <c r="D107" s="2895">
        <f>0.7608/D101</f>
        <v>0.15369696969696969</v>
      </c>
      <c r="E107" s="2895">
        <f>0.6482/E101</f>
        <v>0.13094949494949495</v>
      </c>
      <c r="F107" s="2895">
        <f>0.6482/F101</f>
        <v>0.13094949494949495</v>
      </c>
      <c r="G107" s="2895">
        <f>0.6482/G101</f>
        <v>0.13094949494949495</v>
      </c>
      <c r="H107" s="2895">
        <f>0.6482/H101</f>
        <v>0.13094949494949495</v>
      </c>
      <c r="I107" s="2895">
        <f>0.6482/I101</f>
        <v>0.13094949494949495</v>
      </c>
      <c r="J107" s="2895">
        <f>0.4525/J101</f>
        <v>9.141414141414142E-2</v>
      </c>
      <c r="K107" s="2895">
        <f>0.4525/K101</f>
        <v>9.141414141414142E-2</v>
      </c>
      <c r="L107" s="2895">
        <f>0.4525/L101</f>
        <v>9.141414141414142E-2</v>
      </c>
      <c r="M107" s="2895">
        <f>0.4525/M101</f>
        <v>9.141414141414142E-2</v>
      </c>
      <c r="N107" s="2895">
        <f>0.4525/N101</f>
        <v>9.141414141414142E-2</v>
      </c>
    </row>
    <row r="108" spans="1:14">
      <c r="A108" s="3272"/>
      <c r="B108" s="3126" t="s">
        <v>2972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73"/>
      <c r="B109" s="3127"/>
      <c r="C109" s="2897">
        <f>(-0.163*(C108^2)-0.59*C108+7617)*(10^(-4))/C101</f>
        <v>0.15387878787878789</v>
      </c>
      <c r="D109" s="2897">
        <f>(-0.163*(D108^2)-0.59*D108+7617)*(10^(-4))/D101</f>
        <v>0.15387878787878789</v>
      </c>
      <c r="E109" s="2897">
        <f>(-0.161*(E108^2)-7.509*E108+6533)*(10^(-4))/E101</f>
        <v>0.13197979797979797</v>
      </c>
      <c r="F109" s="2897">
        <f>(-0.161*(F108^2)-7.509*F108+6533)*(10^(-4))/F101</f>
        <v>0.13197979797979797</v>
      </c>
      <c r="G109" s="2897">
        <f>(-0.161*(G108^2)-7.509*G108+6533)*(10^(-4))/G101</f>
        <v>0.13197979797979797</v>
      </c>
      <c r="H109" s="2897">
        <f>(-0.161*(H108^2)-7.509*H108+6533)*(10^(-4))/H101</f>
        <v>0.13197979797979797</v>
      </c>
      <c r="I109" s="2897">
        <f>(-0.161*(I108^2)-7.509*I108+6533)*(10^(-4))/I101</f>
        <v>0.13197979797979797</v>
      </c>
      <c r="J109" s="2897">
        <f>(-0.214*(J108^2)-21.991*J108+4665)*(10^(-4))/J101</f>
        <v>9.4242424242424239E-2</v>
      </c>
      <c r="K109" s="2897">
        <f>(-0.214*(K108^2)-21.991*K108+4665)*(10^(-4))/K101</f>
        <v>9.4242424242424239E-2</v>
      </c>
      <c r="L109" s="2897">
        <f>(-0.214*(L108^2)-21.991*L108+4665)*(10^(-4))/L101</f>
        <v>9.4242424242424239E-2</v>
      </c>
      <c r="M109" s="2897">
        <f>(-0.214*(M108^2)-21.991*M108+4665)*(10^(-4))/M101</f>
        <v>9.4242424242424239E-2</v>
      </c>
      <c r="N109" s="2897">
        <f>(-0.214*(N108^2)-21.991*N108+4665)*(10^(-4))/N101</f>
        <v>9.4242424242424239E-2</v>
      </c>
    </row>
    <row r="110" spans="1:14">
      <c r="A110" s="3269" t="s">
        <v>2973</v>
      </c>
      <c r="B110" s="3269"/>
      <c r="C110" s="3269"/>
      <c r="D110" s="3269"/>
      <c r="E110" s="3269"/>
      <c r="F110" s="3269"/>
      <c r="G110" s="3269"/>
      <c r="H110" s="3269"/>
      <c r="I110" s="3269"/>
      <c r="J110" s="3269"/>
      <c r="K110" s="2900"/>
      <c r="L110" s="2900"/>
      <c r="M110" s="2900"/>
      <c r="N110" s="2900"/>
    </row>
    <row r="112" spans="1:14" ht="13.5" thickBot="1"/>
    <row r="113" spans="1:13" ht="25.5" thickBot="1">
      <c r="A113" s="899" t="s">
        <v>2974</v>
      </c>
      <c r="B113" s="1286">
        <f>G3</f>
        <v>4.95</v>
      </c>
      <c r="C113" s="900" t="s">
        <v>2975</v>
      </c>
      <c r="D113" s="901">
        <f>SUMPRODUCT((A115:A118=F113)*(B114:M114=H113)*B115:M118)</f>
        <v>0</v>
      </c>
      <c r="E113" s="2723" t="s">
        <v>2805</v>
      </c>
      <c r="F113" s="2902">
        <f>E2</f>
        <v>0</v>
      </c>
      <c r="G113" s="2723" t="s">
        <v>2806</v>
      </c>
      <c r="H113" s="2902">
        <f>G2</f>
        <v>0</v>
      </c>
      <c r="I113" s="2723"/>
      <c r="J113" s="2903"/>
      <c r="K113" s="2903"/>
      <c r="L113" s="2903"/>
      <c r="M113" s="2903"/>
    </row>
    <row r="114" spans="1:13">
      <c r="A114" s="904"/>
      <c r="B114" s="2904" t="s">
        <v>2976</v>
      </c>
      <c r="C114" s="2904" t="s">
        <v>2977</v>
      </c>
      <c r="D114" s="2904" t="s">
        <v>2978</v>
      </c>
      <c r="E114" s="2905" t="s">
        <v>2979</v>
      </c>
      <c r="F114" s="2905" t="s">
        <v>2980</v>
      </c>
      <c r="G114" s="2905" t="s">
        <v>2981</v>
      </c>
      <c r="H114" s="2906" t="s">
        <v>2982</v>
      </c>
      <c r="I114" s="2906" t="s">
        <v>2983</v>
      </c>
      <c r="J114" s="2907" t="s">
        <v>2984</v>
      </c>
      <c r="K114" s="2907" t="s">
        <v>2985</v>
      </c>
      <c r="L114" s="2907" t="s">
        <v>2986</v>
      </c>
      <c r="M114" s="2908" t="s">
        <v>2987</v>
      </c>
    </row>
    <row r="115" spans="1:13">
      <c r="A115" s="905" t="s">
        <v>2870</v>
      </c>
      <c r="B115" s="906">
        <f>ROUND(0.9335-0.0094*B113,4)</f>
        <v>0.88700000000000001</v>
      </c>
      <c r="C115" s="906">
        <f>B115</f>
        <v>0.88700000000000001</v>
      </c>
      <c r="D115" s="906">
        <f>ROUND(0.8331-0.0109*B113,4)</f>
        <v>0.77910000000000001</v>
      </c>
      <c r="E115" s="906">
        <f>D115</f>
        <v>0.77910000000000001</v>
      </c>
      <c r="F115" s="906">
        <f>E115</f>
        <v>0.77910000000000001</v>
      </c>
      <c r="G115" s="906">
        <f>F115</f>
        <v>0.77910000000000001</v>
      </c>
      <c r="H115" s="906">
        <f>G115</f>
        <v>0.77910000000000001</v>
      </c>
      <c r="I115" s="906">
        <f>ROUND(0.689-0.0155*B113,4)</f>
        <v>0.61229999999999996</v>
      </c>
      <c r="J115" s="906">
        <f t="shared" ref="J115:M118" si="33">I115</f>
        <v>0.61229999999999996</v>
      </c>
      <c r="K115" s="906">
        <f t="shared" si="33"/>
        <v>0.61229999999999996</v>
      </c>
      <c r="L115" s="906">
        <f t="shared" si="33"/>
        <v>0.61229999999999996</v>
      </c>
      <c r="M115" s="907">
        <f t="shared" si="33"/>
        <v>0.61229999999999996</v>
      </c>
    </row>
    <row r="116" spans="1:13">
      <c r="A116" s="905" t="s">
        <v>2871</v>
      </c>
      <c r="B116" s="906">
        <f>ROUND(0.949-0.012*B113,4)</f>
        <v>0.88959999999999995</v>
      </c>
      <c r="C116" s="906">
        <f>B116</f>
        <v>0.88959999999999995</v>
      </c>
      <c r="D116" s="906">
        <f>ROUND(0.8567-0.013*B113,4)</f>
        <v>0.79239999999999999</v>
      </c>
      <c r="E116" s="906">
        <f t="shared" ref="E116:H117" si="34">D116</f>
        <v>0.79239999999999999</v>
      </c>
      <c r="F116" s="906">
        <f t="shared" si="34"/>
        <v>0.79239999999999999</v>
      </c>
      <c r="G116" s="906">
        <f t="shared" si="34"/>
        <v>0.79239999999999999</v>
      </c>
      <c r="H116" s="906">
        <f t="shared" si="34"/>
        <v>0.79239999999999999</v>
      </c>
      <c r="I116" s="906">
        <f>ROUND(0.7694-0.014*B113,4)</f>
        <v>0.70009999999999994</v>
      </c>
      <c r="J116" s="906">
        <f t="shared" si="33"/>
        <v>0.70009999999999994</v>
      </c>
      <c r="K116" s="906">
        <f t="shared" si="33"/>
        <v>0.70009999999999994</v>
      </c>
      <c r="L116" s="906">
        <f t="shared" si="33"/>
        <v>0.70009999999999994</v>
      </c>
      <c r="M116" s="907">
        <f t="shared" si="33"/>
        <v>0.70009999999999994</v>
      </c>
    </row>
    <row r="117" spans="1:13">
      <c r="A117" s="905" t="s">
        <v>2872</v>
      </c>
      <c r="B117" s="906">
        <f>ROUND(0.8808-0.006*B113,4)</f>
        <v>0.85109999999999997</v>
      </c>
      <c r="C117" s="906">
        <f>B117</f>
        <v>0.85109999999999997</v>
      </c>
      <c r="D117" s="906">
        <f>ROUND(0.8748-0.008*B113,4)</f>
        <v>0.83520000000000005</v>
      </c>
      <c r="E117" s="906">
        <f t="shared" si="34"/>
        <v>0.83520000000000005</v>
      </c>
      <c r="F117" s="906">
        <f t="shared" si="34"/>
        <v>0.83520000000000005</v>
      </c>
      <c r="G117" s="906">
        <f t="shared" si="34"/>
        <v>0.83520000000000005</v>
      </c>
      <c r="H117" s="906">
        <f t="shared" si="34"/>
        <v>0.83520000000000005</v>
      </c>
      <c r="I117" s="906">
        <f>ROUND(0.7412-0.0095*B113,4)</f>
        <v>0.69420000000000004</v>
      </c>
      <c r="J117" s="906">
        <f t="shared" si="33"/>
        <v>0.69420000000000004</v>
      </c>
      <c r="K117" s="906">
        <f t="shared" si="33"/>
        <v>0.69420000000000004</v>
      </c>
      <c r="L117" s="906">
        <f t="shared" si="33"/>
        <v>0.69420000000000004</v>
      </c>
      <c r="M117" s="907">
        <f t="shared" si="33"/>
        <v>0.69420000000000004</v>
      </c>
    </row>
    <row r="118" spans="1:13" ht="13.5" thickBot="1">
      <c r="A118" s="714" t="s">
        <v>2873</v>
      </c>
      <c r="B118" s="908">
        <f>ROUND(0.7275-0.01*B113,4)</f>
        <v>0.67800000000000005</v>
      </c>
      <c r="C118" s="908">
        <f>B118</f>
        <v>0.67800000000000005</v>
      </c>
      <c r="D118" s="908">
        <f>ROUND(0.7043-0.012*B113,4)</f>
        <v>0.64490000000000003</v>
      </c>
      <c r="E118" s="908">
        <f>D118</f>
        <v>0.64490000000000003</v>
      </c>
      <c r="F118" s="908">
        <f>E118</f>
        <v>0.64490000000000003</v>
      </c>
      <c r="G118" s="908">
        <f>ROUND(0.6299-0.0122*B113,4)</f>
        <v>0.56950000000000001</v>
      </c>
      <c r="H118" s="908">
        <f>G118</f>
        <v>0.56950000000000001</v>
      </c>
      <c r="I118" s="908">
        <f>ROUND(0.5667-0.0136*B113,4)</f>
        <v>0.49940000000000001</v>
      </c>
      <c r="J118" s="908">
        <f t="shared" si="33"/>
        <v>0.49940000000000001</v>
      </c>
      <c r="K118" s="908">
        <f t="shared" si="33"/>
        <v>0.49940000000000001</v>
      </c>
      <c r="L118" s="908">
        <f t="shared" si="33"/>
        <v>0.49940000000000001</v>
      </c>
      <c r="M118" s="909">
        <f t="shared" si="33"/>
        <v>0.49940000000000001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77" t="s">
        <v>183</v>
      </c>
      <c r="B18" s="878" t="s">
        <v>560</v>
      </c>
      <c r="C18" s="879" t="s">
        <v>561</v>
      </c>
      <c r="D18" s="880"/>
      <c r="E18" s="878">
        <v>1</v>
      </c>
      <c r="F18" s="881" t="s">
        <v>562</v>
      </c>
      <c r="G18" s="882"/>
      <c r="H18" s="874"/>
      <c r="I18" s="874"/>
    </row>
    <row r="19" spans="1:9" s="883" customFormat="1" ht="19.5" customHeight="1">
      <c r="A19" s="3277"/>
      <c r="B19" s="3277" t="s">
        <v>563</v>
      </c>
      <c r="C19" s="879" t="s">
        <v>564</v>
      </c>
      <c r="D19" s="880"/>
      <c r="E19" s="878">
        <v>0.9</v>
      </c>
      <c r="F19" s="881" t="s">
        <v>565</v>
      </c>
      <c r="G19" s="882"/>
      <c r="H19" s="874"/>
      <c r="I19" s="874"/>
    </row>
    <row r="20" spans="1:9" s="883" customFormat="1" ht="19.5" customHeight="1">
      <c r="A20" s="3277"/>
      <c r="B20" s="3277"/>
      <c r="C20" s="879" t="s">
        <v>566</v>
      </c>
      <c r="D20" s="880"/>
      <c r="E20" s="878">
        <v>1.1000000000000001</v>
      </c>
      <c r="F20" s="881" t="s">
        <v>567</v>
      </c>
      <c r="G20" s="882"/>
      <c r="H20" s="874"/>
      <c r="I20" s="874"/>
    </row>
    <row r="21" spans="1:9" s="883" customFormat="1" ht="19.5" customHeight="1">
      <c r="A21" s="3277"/>
      <c r="B21" s="3277"/>
      <c r="C21" s="879" t="s">
        <v>568</v>
      </c>
      <c r="D21" s="880"/>
      <c r="E21" s="878">
        <v>0.8</v>
      </c>
      <c r="F21" s="881" t="s">
        <v>569</v>
      </c>
      <c r="G21" s="882"/>
      <c r="H21" s="874"/>
      <c r="I21" s="874"/>
    </row>
    <row r="22" spans="1:9" s="883" customFormat="1" ht="19.5" customHeight="1">
      <c r="A22" s="3277"/>
      <c r="B22" s="3277"/>
      <c r="C22" s="879" t="s">
        <v>570</v>
      </c>
      <c r="D22" s="880"/>
      <c r="E22" s="878">
        <v>0.5</v>
      </c>
      <c r="F22" s="881"/>
      <c r="G22" s="882"/>
      <c r="H22" s="874"/>
      <c r="I22" s="874"/>
    </row>
    <row r="23" spans="1:9" s="883" customFormat="1" ht="19.5" customHeight="1">
      <c r="A23" s="3277" t="s">
        <v>184</v>
      </c>
      <c r="B23" s="878" t="s">
        <v>560</v>
      </c>
      <c r="C23" s="879" t="s">
        <v>571</v>
      </c>
      <c r="D23" s="880"/>
      <c r="E23" s="878">
        <v>1</v>
      </c>
      <c r="F23" s="881" t="s">
        <v>572</v>
      </c>
      <c r="G23" s="882"/>
      <c r="H23" s="874"/>
      <c r="I23" s="874"/>
    </row>
    <row r="24" spans="1:9" s="883" customFormat="1" ht="19.5" customHeight="1">
      <c r="A24" s="3277"/>
      <c r="B24" s="3277" t="s">
        <v>563</v>
      </c>
      <c r="C24" s="879" t="s">
        <v>573</v>
      </c>
      <c r="D24" s="880"/>
      <c r="E24" s="878">
        <v>0.5</v>
      </c>
      <c r="F24" s="881"/>
      <c r="G24" s="882"/>
      <c r="H24" s="874"/>
      <c r="I24" s="874"/>
    </row>
    <row r="25" spans="1:9" s="883" customFormat="1" ht="19.5" customHeight="1">
      <c r="A25" s="3277"/>
      <c r="B25" s="3277"/>
      <c r="C25" s="879" t="s">
        <v>574</v>
      </c>
      <c r="D25" s="880"/>
      <c r="E25" s="878">
        <v>1.1000000000000001</v>
      </c>
      <c r="F25" s="881"/>
      <c r="G25" s="882"/>
      <c r="H25" s="874"/>
      <c r="I25" s="874"/>
    </row>
    <row r="26" spans="1:9" s="883" customFormat="1" ht="19.5" customHeight="1">
      <c r="A26" s="3277"/>
      <c r="B26" s="3277"/>
      <c r="C26" s="879" t="s">
        <v>575</v>
      </c>
      <c r="D26" s="880"/>
      <c r="E26" s="878">
        <v>1.1000000000000001</v>
      </c>
      <c r="F26" s="881"/>
      <c r="G26" s="882"/>
      <c r="H26" s="874"/>
      <c r="I26" s="874"/>
    </row>
    <row r="27" spans="1:9" s="883" customFormat="1" ht="19.5" customHeight="1">
      <c r="A27" s="3277"/>
      <c r="B27" s="3277"/>
      <c r="C27" s="879" t="s">
        <v>576</v>
      </c>
      <c r="D27" s="880"/>
      <c r="E27" s="878">
        <v>0.9</v>
      </c>
      <c r="F27" s="881" t="s">
        <v>577</v>
      </c>
      <c r="G27" s="882"/>
      <c r="H27" s="874"/>
      <c r="I27" s="874"/>
    </row>
    <row r="28" spans="1:9" s="883" customFormat="1" ht="19.5" customHeight="1">
      <c r="A28" s="3277"/>
      <c r="B28" s="3277"/>
      <c r="C28" s="879" t="s">
        <v>578</v>
      </c>
      <c r="D28" s="880"/>
      <c r="E28" s="878">
        <v>0.9</v>
      </c>
      <c r="F28" s="881" t="s">
        <v>579</v>
      </c>
      <c r="G28" s="882"/>
      <c r="H28" s="874"/>
      <c r="I28" s="874"/>
    </row>
    <row r="29" spans="1:9" s="883" customFormat="1" ht="19.5" customHeight="1">
      <c r="A29" s="3277"/>
      <c r="B29" s="3277"/>
      <c r="C29" s="879" t="s">
        <v>580</v>
      </c>
      <c r="D29" s="880"/>
      <c r="E29" s="878">
        <v>0.9</v>
      </c>
      <c r="F29" s="881" t="s">
        <v>581</v>
      </c>
      <c r="G29" s="882"/>
      <c r="H29" s="874"/>
      <c r="I29" s="874"/>
    </row>
    <row r="30" spans="1:9" s="883" customFormat="1" ht="19.5" customHeight="1">
      <c r="A30" s="3277"/>
      <c r="B30" s="3277"/>
      <c r="C30" s="879" t="s">
        <v>582</v>
      </c>
      <c r="D30" s="880"/>
      <c r="E30" s="878">
        <v>0.9</v>
      </c>
      <c r="F30" s="881" t="s">
        <v>583</v>
      </c>
      <c r="G30" s="882"/>
      <c r="H30" s="874"/>
      <c r="I30" s="874"/>
    </row>
    <row r="31" spans="1:9" s="883" customFormat="1" ht="19.5" customHeight="1">
      <c r="A31" s="3277"/>
      <c r="B31" s="3277"/>
      <c r="C31" s="879" t="s">
        <v>584</v>
      </c>
      <c r="D31" s="880"/>
      <c r="E31" s="878">
        <v>0.8</v>
      </c>
      <c r="F31" s="881" t="s">
        <v>585</v>
      </c>
      <c r="G31" s="882"/>
      <c r="H31" s="874"/>
      <c r="I31" s="874"/>
    </row>
    <row r="32" spans="1:9" s="883" customFormat="1" ht="19.5" customHeight="1">
      <c r="A32" s="3277"/>
      <c r="B32" s="3277"/>
      <c r="C32" s="879" t="s">
        <v>586</v>
      </c>
      <c r="D32" s="880"/>
      <c r="E32" s="878">
        <v>0.8</v>
      </c>
      <c r="F32" s="881" t="s">
        <v>587</v>
      </c>
      <c r="G32" s="882"/>
      <c r="H32" s="874"/>
      <c r="I32" s="874"/>
    </row>
    <row r="33" spans="1:9" s="883" customFormat="1" ht="19.5" customHeight="1">
      <c r="A33" s="3277" t="s">
        <v>185</v>
      </c>
      <c r="B33" s="878" t="s">
        <v>560</v>
      </c>
      <c r="C33" s="879" t="s">
        <v>588</v>
      </c>
      <c r="D33" s="880"/>
      <c r="E33" s="878">
        <v>1</v>
      </c>
      <c r="F33" s="881" t="s">
        <v>589</v>
      </c>
      <c r="G33" s="882"/>
      <c r="H33" s="874"/>
      <c r="I33" s="874"/>
    </row>
    <row r="34" spans="1:9" s="883" customFormat="1" ht="19.5" customHeight="1">
      <c r="A34" s="3277"/>
      <c r="B34" s="878" t="s">
        <v>563</v>
      </c>
      <c r="C34" s="879" t="s">
        <v>590</v>
      </c>
      <c r="D34" s="880"/>
      <c r="E34" s="878">
        <v>1.5</v>
      </c>
      <c r="F34" s="881" t="s">
        <v>591</v>
      </c>
      <c r="G34" s="882"/>
      <c r="H34" s="874"/>
      <c r="I34" s="874"/>
    </row>
    <row r="35" spans="1:9" s="883" customFormat="1" ht="19.5" customHeight="1">
      <c r="A35" s="3277" t="s">
        <v>186</v>
      </c>
      <c r="B35" s="878" t="s">
        <v>560</v>
      </c>
      <c r="C35" s="879" t="s">
        <v>592</v>
      </c>
      <c r="D35" s="880"/>
      <c r="E35" s="878">
        <v>1</v>
      </c>
      <c r="F35" s="881" t="s">
        <v>593</v>
      </c>
      <c r="G35" s="882"/>
      <c r="H35" s="874"/>
      <c r="I35" s="874"/>
    </row>
    <row r="36" spans="1:9" s="883" customFormat="1" ht="19.5" customHeight="1">
      <c r="A36" s="3277"/>
      <c r="B36" s="3277" t="s">
        <v>563</v>
      </c>
      <c r="C36" s="879" t="s">
        <v>594</v>
      </c>
      <c r="D36" s="880"/>
      <c r="E36" s="878">
        <v>1</v>
      </c>
      <c r="F36" s="881" t="s">
        <v>595</v>
      </c>
      <c r="G36" s="882"/>
      <c r="H36" s="874"/>
      <c r="I36" s="874"/>
    </row>
    <row r="37" spans="1:9" s="883" customFormat="1" ht="19.5" customHeight="1">
      <c r="A37" s="3277"/>
      <c r="B37" s="3277"/>
      <c r="C37" s="879" t="s">
        <v>596</v>
      </c>
      <c r="D37" s="880"/>
      <c r="E37" s="878">
        <v>1.5</v>
      </c>
      <c r="F37" s="881" t="s">
        <v>597</v>
      </c>
      <c r="G37" s="882"/>
      <c r="H37" s="874"/>
      <c r="I37" s="874"/>
    </row>
    <row r="38" spans="1:9" s="883" customFormat="1" ht="19.5" customHeight="1">
      <c r="A38" s="3277"/>
      <c r="B38" s="3277"/>
      <c r="C38" s="879" t="s">
        <v>598</v>
      </c>
      <c r="D38" s="880"/>
      <c r="E38" s="878">
        <v>1</v>
      </c>
      <c r="F38" s="881" t="s">
        <v>599</v>
      </c>
      <c r="G38" s="882"/>
      <c r="H38" s="874"/>
      <c r="I38" s="874"/>
    </row>
    <row r="39" spans="1:9" s="883" customFormat="1" ht="19.5" customHeight="1">
      <c r="A39" s="3277"/>
      <c r="B39" s="327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77" t="s">
        <v>614</v>
      </c>
      <c r="C61" s="814" t="s">
        <v>615</v>
      </c>
      <c r="D61" s="814" t="s">
        <v>616</v>
      </c>
      <c r="E61" s="891">
        <v>0.5</v>
      </c>
      <c r="F61" s="878">
        <v>80</v>
      </c>
    </row>
    <row r="62" spans="1:8" s="874" customFormat="1" ht="24">
      <c r="A62" s="878">
        <v>2</v>
      </c>
      <c r="B62" s="3277"/>
      <c r="C62" s="814" t="s">
        <v>617</v>
      </c>
      <c r="D62" s="814" t="s">
        <v>618</v>
      </c>
      <c r="E62" s="891">
        <v>0.5</v>
      </c>
      <c r="F62" s="878">
        <v>80</v>
      </c>
    </row>
    <row r="63" spans="1:8" s="874" customFormat="1" ht="36">
      <c r="A63" s="878">
        <v>3</v>
      </c>
      <c r="B63" s="3277"/>
      <c r="C63" s="814" t="s">
        <v>619</v>
      </c>
      <c r="D63" s="814" t="s">
        <v>620</v>
      </c>
      <c r="E63" s="891">
        <v>0.5</v>
      </c>
      <c r="F63" s="878">
        <v>80</v>
      </c>
    </row>
    <row r="64" spans="1:8" s="874" customFormat="1" ht="36">
      <c r="A64" s="878">
        <v>4</v>
      </c>
      <c r="B64" s="3277"/>
      <c r="C64" s="814" t="s">
        <v>621</v>
      </c>
      <c r="D64" s="814" t="s">
        <v>622</v>
      </c>
      <c r="E64" s="891">
        <v>0.4</v>
      </c>
      <c r="F64" s="878">
        <v>60</v>
      </c>
    </row>
    <row r="65" spans="1:6" s="874" customFormat="1" ht="36">
      <c r="A65" s="878">
        <v>5</v>
      </c>
      <c r="B65" s="3277"/>
      <c r="C65" s="814" t="s">
        <v>623</v>
      </c>
      <c r="D65" s="814" t="s">
        <v>624</v>
      </c>
      <c r="E65" s="891">
        <v>0.2</v>
      </c>
      <c r="F65" s="878">
        <v>30</v>
      </c>
    </row>
    <row r="66" spans="1:6" s="874" customFormat="1" ht="36">
      <c r="A66" s="878">
        <v>6</v>
      </c>
      <c r="B66" s="3277"/>
      <c r="C66" s="814" t="s">
        <v>625</v>
      </c>
      <c r="D66" s="814" t="s">
        <v>626</v>
      </c>
      <c r="E66" s="891">
        <v>0.3</v>
      </c>
      <c r="F66" s="878">
        <v>50</v>
      </c>
    </row>
    <row r="67" spans="1:6" s="874" customFormat="1" ht="36">
      <c r="A67" s="878">
        <v>7</v>
      </c>
      <c r="B67" s="3277"/>
      <c r="C67" s="814" t="s">
        <v>627</v>
      </c>
      <c r="D67" s="814" t="s">
        <v>628</v>
      </c>
      <c r="E67" s="891">
        <v>0.2</v>
      </c>
      <c r="F67" s="878">
        <v>30</v>
      </c>
    </row>
    <row r="68" spans="1:6" s="874" customFormat="1" ht="36">
      <c r="A68" s="878">
        <v>8</v>
      </c>
      <c r="B68" s="3277"/>
      <c r="C68" s="814" t="s">
        <v>629</v>
      </c>
      <c r="D68" s="814" t="s">
        <v>630</v>
      </c>
      <c r="E68" s="891">
        <v>0.2</v>
      </c>
      <c r="F68" s="878">
        <v>30</v>
      </c>
    </row>
    <row r="69" spans="1:6" s="874" customFormat="1" ht="36">
      <c r="A69" s="878">
        <v>9</v>
      </c>
      <c r="B69" s="3277"/>
      <c r="C69" s="814" t="s">
        <v>631</v>
      </c>
      <c r="D69" s="814" t="s">
        <v>632</v>
      </c>
      <c r="E69" s="891">
        <v>0.2</v>
      </c>
      <c r="F69" s="878">
        <v>30</v>
      </c>
    </row>
    <row r="70" spans="1:6" s="874" customFormat="1" ht="48">
      <c r="A70" s="878">
        <v>10</v>
      </c>
      <c r="B70" s="3277"/>
      <c r="C70" s="814" t="s">
        <v>633</v>
      </c>
      <c r="D70" s="814" t="s">
        <v>634</v>
      </c>
      <c r="E70" s="891">
        <v>0.2</v>
      </c>
      <c r="F70" s="878">
        <v>30</v>
      </c>
    </row>
    <row r="71" spans="1:6" s="874" customFormat="1" ht="48">
      <c r="A71" s="878">
        <v>11</v>
      </c>
      <c r="B71" s="3277"/>
      <c r="C71" s="814" t="s">
        <v>635</v>
      </c>
      <c r="D71" s="814" t="s">
        <v>636</v>
      </c>
      <c r="E71" s="891">
        <v>0.2</v>
      </c>
      <c r="F71" s="878">
        <v>30</v>
      </c>
    </row>
    <row r="72" spans="1:6" s="874" customFormat="1" ht="36">
      <c r="A72" s="878">
        <v>12</v>
      </c>
      <c r="B72" s="3277"/>
      <c r="C72" s="814" t="s">
        <v>637</v>
      </c>
      <c r="D72" s="814" t="s">
        <v>638</v>
      </c>
      <c r="E72" s="891">
        <v>0.5</v>
      </c>
      <c r="F72" s="878">
        <v>80</v>
      </c>
    </row>
    <row r="73" spans="1:6" s="874" customFormat="1" ht="24">
      <c r="A73" s="878">
        <v>13</v>
      </c>
      <c r="B73" s="3277"/>
      <c r="C73" s="814" t="s">
        <v>639</v>
      </c>
      <c r="D73" s="814" t="s">
        <v>640</v>
      </c>
      <c r="E73" s="891">
        <v>0.4</v>
      </c>
      <c r="F73" s="878">
        <v>60</v>
      </c>
    </row>
    <row r="74" spans="1:6" s="874" customFormat="1" ht="24">
      <c r="A74" s="878">
        <v>14</v>
      </c>
      <c r="B74" s="3277"/>
      <c r="C74" s="814" t="s">
        <v>641</v>
      </c>
      <c r="D74" s="814" t="s">
        <v>642</v>
      </c>
      <c r="E74" s="891">
        <v>0.2</v>
      </c>
      <c r="F74" s="878">
        <v>30</v>
      </c>
    </row>
    <row r="75" spans="1:6" s="874" customFormat="1" ht="24">
      <c r="A75" s="878">
        <v>15</v>
      </c>
      <c r="B75" s="3277"/>
      <c r="C75" s="814" t="s">
        <v>643</v>
      </c>
      <c r="D75" s="814" t="s">
        <v>644</v>
      </c>
      <c r="E75" s="891">
        <v>0.2</v>
      </c>
      <c r="F75" s="878">
        <v>30</v>
      </c>
    </row>
    <row r="76" spans="1:6" s="874" customFormat="1" ht="24">
      <c r="A76" s="878">
        <v>16</v>
      </c>
      <c r="B76" s="3277" t="s">
        <v>645</v>
      </c>
      <c r="C76" s="814" t="s">
        <v>646</v>
      </c>
      <c r="D76" s="814" t="s">
        <v>647</v>
      </c>
      <c r="E76" s="891">
        <v>0.5</v>
      </c>
      <c r="F76" s="878">
        <v>80</v>
      </c>
    </row>
    <row r="77" spans="1:6" s="874" customFormat="1" ht="24">
      <c r="A77" s="878">
        <v>17</v>
      </c>
      <c r="B77" s="3277"/>
      <c r="C77" s="814" t="s">
        <v>648</v>
      </c>
      <c r="D77" s="814" t="s">
        <v>649</v>
      </c>
      <c r="E77" s="891">
        <v>0.5</v>
      </c>
      <c r="F77" s="878">
        <v>80</v>
      </c>
    </row>
    <row r="78" spans="1:6" s="874" customFormat="1" ht="24">
      <c r="A78" s="878">
        <v>18</v>
      </c>
      <c r="B78" s="3277"/>
      <c r="C78" s="814" t="s">
        <v>650</v>
      </c>
      <c r="D78" s="814" t="s">
        <v>651</v>
      </c>
      <c r="E78" s="891">
        <v>0.2</v>
      </c>
      <c r="F78" s="878">
        <v>30</v>
      </c>
    </row>
    <row r="79" spans="1:6" s="874" customFormat="1" ht="24">
      <c r="A79" s="878">
        <v>19</v>
      </c>
      <c r="B79" s="3277"/>
      <c r="C79" s="814" t="s">
        <v>652</v>
      </c>
      <c r="D79" s="814" t="s">
        <v>653</v>
      </c>
      <c r="E79" s="891">
        <v>0.5</v>
      </c>
      <c r="F79" s="878">
        <v>80</v>
      </c>
    </row>
    <row r="80" spans="1:6" s="874" customFormat="1" ht="36">
      <c r="A80" s="878">
        <v>20</v>
      </c>
      <c r="B80" s="3277"/>
      <c r="C80" s="814" t="s">
        <v>654</v>
      </c>
      <c r="D80" s="814" t="s">
        <v>655</v>
      </c>
      <c r="E80" s="891">
        <v>0.2</v>
      </c>
      <c r="F80" s="878">
        <v>30</v>
      </c>
    </row>
    <row r="81" spans="1:6" s="874" customFormat="1" ht="36">
      <c r="A81" s="878">
        <v>21</v>
      </c>
      <c r="B81" s="3277"/>
      <c r="C81" s="814" t="s">
        <v>656</v>
      </c>
      <c r="D81" s="814" t="s">
        <v>657</v>
      </c>
      <c r="E81" s="891">
        <v>0.2</v>
      </c>
      <c r="F81" s="878">
        <v>30</v>
      </c>
    </row>
    <row r="82" spans="1:6" s="874" customFormat="1" ht="48">
      <c r="A82" s="878">
        <v>22</v>
      </c>
      <c r="B82" s="3277"/>
      <c r="C82" s="814" t="s">
        <v>658</v>
      </c>
      <c r="D82" s="814" t="s">
        <v>659</v>
      </c>
      <c r="E82" s="891">
        <v>0.2</v>
      </c>
      <c r="F82" s="878">
        <v>30</v>
      </c>
    </row>
    <row r="83" spans="1:6" s="874" customFormat="1" ht="48">
      <c r="A83" s="878">
        <v>23</v>
      </c>
      <c r="B83" s="3277"/>
      <c r="C83" s="814" t="s">
        <v>660</v>
      </c>
      <c r="D83" s="814" t="s">
        <v>661</v>
      </c>
      <c r="E83" s="891">
        <v>0.2</v>
      </c>
      <c r="F83" s="878">
        <v>30</v>
      </c>
    </row>
    <row r="84" spans="1:6" s="874" customFormat="1" ht="36">
      <c r="A84" s="878">
        <v>24</v>
      </c>
      <c r="B84" s="3277"/>
      <c r="C84" s="814" t="s">
        <v>662</v>
      </c>
      <c r="D84" s="814" t="s">
        <v>663</v>
      </c>
      <c r="E84" s="891">
        <v>0.2</v>
      </c>
      <c r="F84" s="878">
        <v>30</v>
      </c>
    </row>
    <row r="85" spans="1:6" s="874" customFormat="1" ht="36">
      <c r="A85" s="878">
        <v>25</v>
      </c>
      <c r="B85" s="3277"/>
      <c r="C85" s="814" t="s">
        <v>664</v>
      </c>
      <c r="D85" s="814" t="s">
        <v>665</v>
      </c>
      <c r="E85" s="891">
        <v>0.5</v>
      </c>
      <c r="F85" s="878">
        <v>80</v>
      </c>
    </row>
    <row r="86" spans="1:6" s="874" customFormat="1" ht="36">
      <c r="A86" s="878">
        <v>26</v>
      </c>
      <c r="B86" s="3277"/>
      <c r="C86" s="814" t="s">
        <v>666</v>
      </c>
      <c r="D86" s="814" t="s">
        <v>667</v>
      </c>
      <c r="E86" s="891">
        <v>0.2</v>
      </c>
      <c r="F86" s="878">
        <v>30</v>
      </c>
    </row>
    <row r="87" spans="1:6" s="874" customFormat="1" ht="36">
      <c r="A87" s="878">
        <v>27</v>
      </c>
      <c r="B87" s="3277"/>
      <c r="C87" s="814" t="s">
        <v>668</v>
      </c>
      <c r="D87" s="814" t="s">
        <v>669</v>
      </c>
      <c r="E87" s="891">
        <v>0.2</v>
      </c>
      <c r="F87" s="878">
        <v>30</v>
      </c>
    </row>
    <row r="88" spans="1:6" s="874" customFormat="1" ht="36">
      <c r="A88" s="878">
        <v>28</v>
      </c>
      <c r="B88" s="3277"/>
      <c r="C88" s="814" t="s">
        <v>670</v>
      </c>
      <c r="D88" s="814" t="s">
        <v>671</v>
      </c>
      <c r="E88" s="891">
        <v>0.2</v>
      </c>
      <c r="F88" s="878">
        <v>30</v>
      </c>
    </row>
    <row r="89" spans="1:6" s="874" customFormat="1" ht="24">
      <c r="A89" s="878">
        <v>29</v>
      </c>
      <c r="B89" s="3277"/>
      <c r="C89" s="814" t="s">
        <v>672</v>
      </c>
      <c r="D89" s="814" t="s">
        <v>673</v>
      </c>
      <c r="E89" s="891">
        <v>0.2</v>
      </c>
      <c r="F89" s="878">
        <v>30</v>
      </c>
    </row>
    <row r="90" spans="1:6" s="874" customFormat="1" ht="24">
      <c r="A90" s="878">
        <v>30</v>
      </c>
      <c r="B90" s="3277"/>
      <c r="C90" s="814" t="s">
        <v>674</v>
      </c>
      <c r="D90" s="814" t="s">
        <v>675</v>
      </c>
      <c r="E90" s="891">
        <v>0.2</v>
      </c>
      <c r="F90" s="878">
        <v>30</v>
      </c>
    </row>
    <row r="91" spans="1:6" s="874" customFormat="1" ht="36">
      <c r="A91" s="878">
        <v>31</v>
      </c>
      <c r="B91" s="3277"/>
      <c r="C91" s="814" t="s">
        <v>676</v>
      </c>
      <c r="D91" s="814" t="s">
        <v>677</v>
      </c>
      <c r="E91" s="891">
        <v>0.2</v>
      </c>
      <c r="F91" s="878">
        <v>30</v>
      </c>
    </row>
    <row r="92" spans="1:6" s="874" customFormat="1" ht="24">
      <c r="A92" s="878">
        <v>32</v>
      </c>
      <c r="B92" s="3277" t="s">
        <v>678</v>
      </c>
      <c r="C92" s="878" t="s">
        <v>679</v>
      </c>
      <c r="D92" s="814" t="s">
        <v>680</v>
      </c>
      <c r="E92" s="891">
        <v>0.2</v>
      </c>
      <c r="F92" s="878">
        <v>30</v>
      </c>
    </row>
    <row r="93" spans="1:6" s="874" customFormat="1" ht="36">
      <c r="A93" s="878">
        <v>33</v>
      </c>
      <c r="B93" s="3277"/>
      <c r="C93" s="878" t="s">
        <v>681</v>
      </c>
      <c r="D93" s="814" t="s">
        <v>682</v>
      </c>
      <c r="E93" s="891">
        <v>0.2</v>
      </c>
      <c r="F93" s="878">
        <v>30</v>
      </c>
    </row>
    <row r="94" spans="1:6" s="874" customFormat="1" ht="48">
      <c r="A94" s="878">
        <v>34</v>
      </c>
      <c r="B94" s="3277"/>
      <c r="C94" s="878" t="s">
        <v>683</v>
      </c>
      <c r="D94" s="814" t="s">
        <v>684</v>
      </c>
      <c r="E94" s="891">
        <v>0.2</v>
      </c>
      <c r="F94" s="878">
        <v>30</v>
      </c>
    </row>
    <row r="95" spans="1:6" s="874" customFormat="1" ht="36">
      <c r="A95" s="878">
        <v>35</v>
      </c>
      <c r="B95" s="3277"/>
      <c r="C95" s="878" t="s">
        <v>685</v>
      </c>
      <c r="D95" s="814" t="s">
        <v>686</v>
      </c>
      <c r="E95" s="891">
        <v>0.2</v>
      </c>
      <c r="F95" s="878">
        <v>30</v>
      </c>
    </row>
    <row r="96" spans="1:6" s="874" customFormat="1" ht="48">
      <c r="A96" s="878">
        <v>36</v>
      </c>
      <c r="B96" s="3277"/>
      <c r="C96" s="814" t="s">
        <v>687</v>
      </c>
      <c r="D96" s="814" t="s">
        <v>688</v>
      </c>
      <c r="E96" s="891">
        <v>0.2</v>
      </c>
      <c r="F96" s="878">
        <v>30</v>
      </c>
    </row>
    <row r="97" spans="1:6" s="874" customFormat="1" ht="36">
      <c r="A97" s="878">
        <v>37</v>
      </c>
      <c r="B97" s="3277"/>
      <c r="C97" s="878" t="s">
        <v>689</v>
      </c>
      <c r="D97" s="814" t="s">
        <v>690</v>
      </c>
      <c r="E97" s="891">
        <v>0.2</v>
      </c>
      <c r="F97" s="878">
        <v>30</v>
      </c>
    </row>
    <row r="98" spans="1:6" s="874" customFormat="1" ht="36">
      <c r="A98" s="878">
        <v>38</v>
      </c>
      <c r="B98" s="3277"/>
      <c r="C98" s="878" t="s">
        <v>691</v>
      </c>
      <c r="D98" s="814" t="s">
        <v>692</v>
      </c>
      <c r="E98" s="891">
        <v>0.2</v>
      </c>
      <c r="F98" s="878">
        <v>30</v>
      </c>
    </row>
    <row r="99" spans="1:6" s="874" customFormat="1" ht="36">
      <c r="A99" s="878">
        <v>39</v>
      </c>
      <c r="B99" s="3277" t="s">
        <v>693</v>
      </c>
      <c r="C99" s="878" t="s">
        <v>694</v>
      </c>
      <c r="D99" s="814" t="s">
        <v>695</v>
      </c>
      <c r="E99" s="891">
        <v>0.3</v>
      </c>
      <c r="F99" s="878">
        <v>50</v>
      </c>
    </row>
    <row r="100" spans="1:6" s="874" customFormat="1" ht="24">
      <c r="A100" s="878">
        <v>40</v>
      </c>
      <c r="B100" s="3277"/>
      <c r="C100" s="878" t="s">
        <v>696</v>
      </c>
      <c r="D100" s="814" t="s">
        <v>697</v>
      </c>
      <c r="E100" s="891">
        <v>0.2</v>
      </c>
      <c r="F100" s="878">
        <v>30</v>
      </c>
    </row>
    <row r="101" spans="1:6" s="874" customFormat="1" ht="36">
      <c r="A101" s="878">
        <v>41</v>
      </c>
      <c r="B101" s="327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7" t="s">
        <v>708</v>
      </c>
      <c r="C105" s="878" t="s">
        <v>709</v>
      </c>
      <c r="D105" s="814" t="s">
        <v>710</v>
      </c>
      <c r="E105" s="891">
        <v>0.2</v>
      </c>
      <c r="F105" s="878">
        <v>30</v>
      </c>
    </row>
    <row r="106" spans="1:6" s="874" customFormat="1" ht="36">
      <c r="A106" s="878">
        <v>46</v>
      </c>
      <c r="B106" s="3277"/>
      <c r="C106" s="878" t="s">
        <v>711</v>
      </c>
      <c r="D106" s="814" t="s">
        <v>712</v>
      </c>
      <c r="E106" s="891">
        <v>0.2</v>
      </c>
      <c r="F106" s="878">
        <v>30</v>
      </c>
    </row>
    <row r="107" spans="1:6" s="874" customFormat="1" ht="36">
      <c r="A107" s="878">
        <v>47</v>
      </c>
      <c r="B107" s="3277" t="s">
        <v>713</v>
      </c>
      <c r="C107" s="878" t="s">
        <v>714</v>
      </c>
      <c r="D107" s="814" t="s">
        <v>715</v>
      </c>
      <c r="E107" s="891">
        <v>0.3</v>
      </c>
      <c r="F107" s="878">
        <v>50</v>
      </c>
    </row>
    <row r="108" spans="1:6" s="874" customFormat="1" ht="36">
      <c r="A108" s="878">
        <v>48</v>
      </c>
      <c r="B108" s="327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7" t="s">
        <v>724</v>
      </c>
      <c r="C111" s="878" t="s">
        <v>725</v>
      </c>
      <c r="D111" s="814" t="s">
        <v>726</v>
      </c>
      <c r="E111" s="891">
        <v>0.2</v>
      </c>
      <c r="F111" s="878">
        <v>30</v>
      </c>
    </row>
    <row r="112" spans="1:6" s="874" customFormat="1" ht="24">
      <c r="A112" s="878">
        <v>52</v>
      </c>
      <c r="B112" s="3277"/>
      <c r="C112" s="878" t="s">
        <v>727</v>
      </c>
      <c r="D112" s="814" t="s">
        <v>728</v>
      </c>
      <c r="E112" s="891">
        <v>0.2</v>
      </c>
      <c r="F112" s="878">
        <v>30</v>
      </c>
    </row>
    <row r="113" spans="1:6" s="874" customFormat="1" ht="24">
      <c r="A113" s="878">
        <v>53</v>
      </c>
      <c r="B113" s="327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7" t="s">
        <v>737</v>
      </c>
      <c r="C116" s="878" t="s">
        <v>738</v>
      </c>
      <c r="D116" s="814" t="s">
        <v>739</v>
      </c>
      <c r="E116" s="891">
        <v>0.2</v>
      </c>
      <c r="F116" s="878">
        <v>30</v>
      </c>
    </row>
    <row r="117" spans="1:6" ht="36">
      <c r="A117" s="878">
        <v>57</v>
      </c>
      <c r="B117" s="327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N20" sqref="N20"/>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9" t="s">
        <v>2988</v>
      </c>
      <c r="B2" s="2910" t="e">
        <f ca="1">SUMIF(B6:B13,"&lt;&gt;#ref!",B6:B13)</f>
        <v>#DIV/0!</v>
      </c>
      <c r="C2" s="2909" t="s">
        <v>2989</v>
      </c>
      <c r="D2" s="2909" t="s">
        <v>2990</v>
      </c>
      <c r="E2" s="2910">
        <f ca="1">SUMIF(E6:E13,"&lt;&gt;#ref!",E6:E13)</f>
        <v>0</v>
      </c>
    </row>
    <row r="3" spans="1:5" ht="15.75">
      <c r="A3" s="2909" t="s">
        <v>2991</v>
      </c>
      <c r="B3" s="2910" t="e">
        <f ca="1">ROUND(B2*10000/E2,0)</f>
        <v>#DIV/0!</v>
      </c>
      <c r="C3" s="2909" t="s">
        <v>2997</v>
      </c>
      <c r="D3" s="2911"/>
      <c r="E3" s="2911"/>
    </row>
    <row r="4" spans="1:5" ht="15.75">
      <c r="A4" s="2912"/>
      <c r="B4" s="2911"/>
      <c r="C4" s="2911"/>
      <c r="D4" s="2911"/>
      <c r="E4" s="2911"/>
    </row>
    <row r="5" spans="1:5" ht="28.5">
      <c r="A5" s="2913" t="s">
        <v>2992</v>
      </c>
      <c r="B5" s="2909" t="s">
        <v>2993</v>
      </c>
      <c r="C5" s="2910"/>
      <c r="D5" s="2911"/>
      <c r="E5" s="2909" t="s">
        <v>2994</v>
      </c>
    </row>
    <row r="6" spans="1:5" ht="15.75">
      <c r="A6" s="2914" t="s">
        <v>2995</v>
      </c>
      <c r="B6" s="2910" t="e">
        <f ca="1">SUMIF(INDIRECT("'"&amp;A6&amp;"'"&amp;"!A:A"),"总价",INDIRECT("'"&amp;A6&amp;"'"&amp;"!B:B"))</f>
        <v>#DIV/0!</v>
      </c>
      <c r="C6" s="2909" t="s">
        <v>2989</v>
      </c>
      <c r="D6" s="2911"/>
      <c r="E6" s="2574">
        <f ca="1">SUMIF(INDIRECT("'"&amp;A6&amp;"'"&amp;"!C:C"),"建筑面积",INDIRECT("'"&amp;A6&amp;"'"&amp;"!D:D"))</f>
        <v>0</v>
      </c>
    </row>
    <row r="7" spans="1:5" ht="15.75">
      <c r="A7" s="2914"/>
      <c r="B7" s="2910" t="e">
        <f ca="1">SUMIF(INDIRECT("'"&amp;A7&amp;"'"&amp;"!A:A"),"总价",INDIRECT("'"&amp;A7&amp;"'"&amp;"!B:B"))</f>
        <v>#REF!</v>
      </c>
      <c r="C7" s="2909" t="s">
        <v>2989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2989</v>
      </c>
      <c r="D8" s="2911"/>
      <c r="E8" s="2574" t="e">
        <f t="shared" ca="1" si="0"/>
        <v>#REF!</v>
      </c>
    </row>
    <row r="9" spans="1:5" ht="15.75">
      <c r="A9" s="2914"/>
      <c r="B9" s="2910" t="e">
        <f t="shared" ca="1" si="1"/>
        <v>#REF!</v>
      </c>
      <c r="C9" s="2909" t="s">
        <v>2989</v>
      </c>
      <c r="D9" s="2911"/>
      <c r="E9" s="2574" t="e">
        <f t="shared" ca="1" si="0"/>
        <v>#REF!</v>
      </c>
    </row>
    <row r="10" spans="1:5" ht="15.75">
      <c r="A10" s="2914"/>
      <c r="B10" s="2910" t="e">
        <f t="shared" ca="1" si="1"/>
        <v>#REF!</v>
      </c>
      <c r="C10" s="2909" t="s">
        <v>2989</v>
      </c>
      <c r="D10" s="2911"/>
      <c r="E10" s="2574" t="e">
        <f t="shared" ca="1" si="0"/>
        <v>#REF!</v>
      </c>
    </row>
    <row r="11" spans="1:5" ht="15.75">
      <c r="A11" s="2914"/>
      <c r="B11" s="2910" t="e">
        <f t="shared" ca="1" si="1"/>
        <v>#REF!</v>
      </c>
      <c r="C11" s="2909" t="s">
        <v>2989</v>
      </c>
      <c r="D11" s="2911"/>
      <c r="E11" s="2574" t="e">
        <f t="shared" ca="1" si="0"/>
        <v>#REF!</v>
      </c>
    </row>
    <row r="12" spans="1:5" ht="15.75">
      <c r="A12" s="2914"/>
      <c r="B12" s="2910" t="e">
        <f t="shared" ca="1" si="1"/>
        <v>#REF!</v>
      </c>
      <c r="C12" s="2909" t="s">
        <v>2989</v>
      </c>
      <c r="D12" s="2911"/>
      <c r="E12" s="2574" t="e">
        <f t="shared" ca="1" si="0"/>
        <v>#REF!</v>
      </c>
    </row>
    <row r="13" spans="1:5" ht="15.75">
      <c r="A13" s="2914"/>
      <c r="B13" s="2910" t="e">
        <f t="shared" ca="1" si="1"/>
        <v>#REF!</v>
      </c>
      <c r="C13" s="2909" t="s">
        <v>2989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D24" sqref="D24"/>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1619</v>
      </c>
      <c r="B1" s="1958"/>
      <c r="C1" s="1958"/>
      <c r="D1" s="1958"/>
      <c r="E1" s="195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0"/>
      <c r="B4" s="2971" t="s">
        <v>1628</v>
      </c>
      <c r="C4" s="2971"/>
      <c r="D4" s="2971"/>
      <c r="E4" s="1960"/>
    </row>
    <row r="5" spans="1:5" ht="16.5" thickTop="1">
      <c r="A5" s="1958"/>
      <c r="B5" s="2969" t="s">
        <v>1620</v>
      </c>
      <c r="C5" s="1961" t="s">
        <v>1621</v>
      </c>
      <c r="D5" s="1039">
        <f ca="1">结果表!H101</f>
        <v>686644</v>
      </c>
      <c r="E5" s="1958"/>
    </row>
    <row r="6" spans="1:5" ht="15.75">
      <c r="A6" s="1958"/>
      <c r="B6" s="2969"/>
      <c r="C6" s="1961" t="s">
        <v>1622</v>
      </c>
      <c r="D6" s="1039" t="str">
        <f ca="1">NUMBERSTRING(INT(D5*10000),2)&amp;"元整"</f>
        <v>陆拾捌亿陆仟陆佰肆拾肆万元整</v>
      </c>
      <c r="E6" s="1958"/>
    </row>
    <row r="7" spans="1:5" ht="15.75">
      <c r="A7" s="1958"/>
      <c r="B7" s="2974"/>
      <c r="C7" s="1962" t="s">
        <v>1623</v>
      </c>
      <c r="D7" s="1040">
        <f ca="1">结果表!H102</f>
        <v>10692</v>
      </c>
      <c r="E7" s="1958"/>
    </row>
    <row r="8" spans="1:5" ht="15.75">
      <c r="A8" s="1958"/>
      <c r="B8" s="2975" t="str">
        <f>结果表!E103</f>
        <v>2.估价师知悉的法定优先受偿款</v>
      </c>
      <c r="C8" s="1963" t="s">
        <v>1624</v>
      </c>
      <c r="D8" s="1040">
        <f>结果表!H103</f>
        <v>0</v>
      </c>
      <c r="E8" s="1958"/>
    </row>
    <row r="9" spans="1:5" ht="15.75">
      <c r="A9" s="1958"/>
      <c r="B9" s="2977"/>
      <c r="C9" s="1961" t="s">
        <v>1622</v>
      </c>
      <c r="D9" s="1039" t="str">
        <f>NUMBERSTRING(INT(D8*10000),2)&amp;"元整"</f>
        <v>零元整</v>
      </c>
      <c r="E9" s="1958"/>
    </row>
    <row r="10" spans="1:5" ht="15">
      <c r="A10" s="1958"/>
      <c r="B10" s="1964" t="s">
        <v>1627</v>
      </c>
      <c r="C10" s="1965" t="s">
        <v>1625</v>
      </c>
      <c r="D10" s="1041">
        <f>结果表!H104</f>
        <v>0</v>
      </c>
      <c r="E10" s="1958"/>
    </row>
    <row r="11" spans="1:5" ht="15">
      <c r="A11" s="1958"/>
      <c r="B11" s="1964" t="s">
        <v>1629</v>
      </c>
      <c r="C11" s="1965" t="s">
        <v>1630</v>
      </c>
      <c r="D11" s="1041">
        <f>结果表!H105</f>
        <v>0</v>
      </c>
      <c r="E11" s="1958"/>
    </row>
    <row r="12" spans="1:5" ht="15">
      <c r="A12" s="1958"/>
      <c r="B12" s="1964" t="s">
        <v>1631</v>
      </c>
      <c r="C12" s="1965" t="s">
        <v>1630</v>
      </c>
      <c r="D12" s="1041">
        <f>结果表!H106</f>
        <v>0</v>
      </c>
      <c r="E12" s="1958"/>
    </row>
    <row r="13" spans="1:5" ht="15.75">
      <c r="A13" s="1958"/>
      <c r="B13" s="2968" t="str">
        <f>结果表!E107</f>
        <v>3.房地产抵押价值</v>
      </c>
      <c r="C13" s="1966" t="s">
        <v>1621</v>
      </c>
      <c r="D13" s="1042">
        <f ca="1">结果表!H107</f>
        <v>686644</v>
      </c>
      <c r="E13" s="1958"/>
    </row>
    <row r="14" spans="1:5" ht="15.75">
      <c r="A14" s="1958"/>
      <c r="B14" s="2969"/>
      <c r="C14" s="1961" t="s">
        <v>1622</v>
      </c>
      <c r="D14" s="1039" t="str">
        <f ca="1">NUMBERSTRING(INT(D13*10000),2)&amp;"元整"</f>
        <v>陆拾捌亿陆仟陆佰肆拾肆万元整</v>
      </c>
      <c r="E14" s="1958"/>
    </row>
    <row r="15" spans="1:5" ht="15">
      <c r="A15" s="1958"/>
      <c r="B15" s="2974"/>
      <c r="C15" s="1962" t="s">
        <v>1632</v>
      </c>
      <c r="D15" s="1051">
        <f ca="1">结果表!H108</f>
        <v>10692</v>
      </c>
      <c r="E15" s="1958"/>
    </row>
    <row r="16" spans="1:5" ht="15">
      <c r="A16" s="1958"/>
      <c r="B16" s="2975" t="str">
        <f>结果表!E109</f>
        <v>——</v>
      </c>
      <c r="C16" s="1966" t="s">
        <v>1633</v>
      </c>
      <c r="D16" s="1967" t="str">
        <f>结果表!H109</f>
        <v>——</v>
      </c>
      <c r="E16" s="1958"/>
    </row>
    <row r="17" spans="1:5" ht="15.75">
      <c r="A17" s="1958"/>
      <c r="B17" s="2976"/>
      <c r="C17" s="1961" t="s">
        <v>1634</v>
      </c>
      <c r="D17" s="1039" t="e">
        <f>NUMBERSTRING(INT(D16*10000),2)&amp;"元整"</f>
        <v>#VALUE!</v>
      </c>
      <c r="E17" s="1958"/>
    </row>
    <row r="18" spans="1:5" ht="15">
      <c r="A18" s="1958"/>
      <c r="B18" s="2977"/>
      <c r="C18" s="1962" t="s">
        <v>1623</v>
      </c>
      <c r="D18" s="1051" t="str">
        <f>结果表!H110</f>
        <v>——</v>
      </c>
      <c r="E18" s="1958"/>
    </row>
    <row r="19" spans="1:5" ht="15.75">
      <c r="A19" s="1958"/>
      <c r="B19" s="2968" t="str">
        <f>结果表!E111</f>
        <v>——</v>
      </c>
      <c r="C19" s="1966" t="s">
        <v>1621</v>
      </c>
      <c r="D19" s="1040" t="str">
        <f>结果表!H111</f>
        <v>——</v>
      </c>
      <c r="E19" s="1958"/>
    </row>
    <row r="20" spans="1:5" ht="15.75">
      <c r="A20" s="1958"/>
      <c r="B20" s="2969"/>
      <c r="C20" s="1961" t="s">
        <v>1634</v>
      </c>
      <c r="D20" s="1039" t="e">
        <f>NUMBERSTRING(INT(D19*10000),2)&amp;"元整"</f>
        <v>#VALUE!</v>
      </c>
      <c r="E20" s="1958"/>
    </row>
    <row r="21" spans="1:5" ht="15.75" thickBot="1">
      <c r="A21" s="1958"/>
      <c r="B21" s="2970"/>
      <c r="C21" s="1968" t="s">
        <v>1632</v>
      </c>
      <c r="D21" s="1052" t="str">
        <f>结果表!H112</f>
        <v>——</v>
      </c>
      <c r="E21" s="1958"/>
    </row>
    <row r="22" spans="1:5" ht="15" thickTop="1">
      <c r="A22" s="1958"/>
      <c r="B22" s="1969" t="s">
        <v>1635</v>
      </c>
      <c r="C22" s="1958"/>
      <c r="D22" s="1958"/>
      <c r="E22" s="1958"/>
    </row>
    <row r="23" spans="1:5">
      <c r="A23" s="1958"/>
      <c r="B23" s="1958"/>
      <c r="C23" s="1958"/>
      <c r="D23" s="1958"/>
      <c r="E23" s="1958"/>
    </row>
    <row r="24" spans="1:5" ht="18.75">
      <c r="A24" s="1970"/>
      <c r="B24" s="1971" t="s">
        <v>1626</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20" sqref="N2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3" t="s">
        <v>1150</v>
      </c>
      <c r="C1" s="3283"/>
      <c r="D1" s="3283"/>
      <c r="E1" s="3283"/>
      <c r="F1" s="3283"/>
      <c r="G1" s="3282" t="s">
        <v>1151</v>
      </c>
      <c r="H1" s="3282"/>
      <c r="I1" s="3282"/>
      <c r="J1" s="3282"/>
      <c r="K1" s="3282"/>
      <c r="L1" s="3282"/>
      <c r="N1" s="3282" t="s">
        <v>1152</v>
      </c>
      <c r="O1" s="3282"/>
      <c r="P1" s="3282"/>
      <c r="Q1" s="3282"/>
      <c r="R1" s="1445"/>
      <c r="S1" s="3282" t="s">
        <v>1153</v>
      </c>
      <c r="T1" s="3282"/>
      <c r="U1" s="3282"/>
      <c r="V1" s="3282"/>
      <c r="X1" s="3281" t="s">
        <v>1154</v>
      </c>
      <c r="Y1" s="3282"/>
      <c r="Z1" s="3282"/>
      <c r="AA1" s="3282"/>
      <c r="AB1" s="3282"/>
      <c r="AD1" s="3281" t="s">
        <v>1155</v>
      </c>
      <c r="AE1" s="3282"/>
      <c r="AF1" s="3282"/>
      <c r="AG1" s="3282"/>
      <c r="AH1" s="3282"/>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8" customFormat="1" ht="14.25">
      <c r="A3" s="2937" t="s">
        <v>3031</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2" customFormat="1" ht="14.25">
      <c r="B4" s="1453"/>
      <c r="C4" s="1453"/>
      <c r="D4" s="1454"/>
      <c r="E4" s="1454"/>
      <c r="F4" s="1453"/>
      <c r="G4" s="1455"/>
      <c r="H4" s="1456"/>
      <c r="I4" s="2922"/>
      <c r="J4" s="2922"/>
      <c r="K4" s="2922"/>
      <c r="L4" s="2922"/>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3038</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0">
        <v>2018</v>
      </c>
      <c r="H5" s="1729">
        <v>3</v>
      </c>
      <c r="I5" s="2923">
        <v>0</v>
      </c>
      <c r="J5" s="2923">
        <v>0</v>
      </c>
      <c r="K5" s="2923">
        <v>0</v>
      </c>
      <c r="L5" s="2923">
        <v>0</v>
      </c>
      <c r="N5" s="1466">
        <f>I5/100</f>
        <v>0</v>
      </c>
      <c r="O5" s="1466">
        <f t="shared" ref="O5" si="7">J5/100</f>
        <v>0</v>
      </c>
      <c r="P5" s="1466">
        <f t="shared" ref="P5" si="8">K5/100</f>
        <v>0</v>
      </c>
      <c r="Q5" s="1466">
        <f t="shared" ref="Q5" si="9">L5/100</f>
        <v>0</v>
      </c>
      <c r="R5" s="1731"/>
      <c r="S5" s="1732"/>
      <c r="T5" s="1731"/>
      <c r="U5" s="1731"/>
      <c r="V5" s="1731"/>
      <c r="W5" s="2927" t="s">
        <v>3032</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3039</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38"/>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5" customFormat="1" ht="13.5" thickBot="1">
      <c r="A7" s="1460" t="s">
        <v>3030</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8"/>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0" t="s">
        <v>3027</v>
      </c>
      <c r="B8" s="1468">
        <v>439</v>
      </c>
      <c r="C8" s="1468">
        <v>327</v>
      </c>
      <c r="D8" s="1468">
        <f>C8</f>
        <v>327</v>
      </c>
      <c r="E8" s="1468">
        <v>627</v>
      </c>
      <c r="F8" s="1469">
        <v>283</v>
      </c>
      <c r="G8" s="2925">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3028</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21"/>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20"/>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2"/>
      <c r="AD10" s="1788">
        <f>ROUND(AVERAGE(I10:I$23)/100,4)</f>
        <v>2.46E-2</v>
      </c>
      <c r="AE10" s="1788">
        <f>ROUND(AVERAGE(J10:J$23)/100,4)</f>
        <v>1.6E-2</v>
      </c>
      <c r="AF10" s="1788">
        <f t="shared" si="1"/>
        <v>1.6E-2</v>
      </c>
      <c r="AG10" s="1788">
        <f>ROUND(AVERAGE(K10:K$23)/100,4)</f>
        <v>2.75E-2</v>
      </c>
      <c r="AH10" s="1788">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21"/>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0" t="s">
        <v>154</v>
      </c>
      <c r="B12" s="1468">
        <v>392</v>
      </c>
      <c r="C12" s="1468">
        <v>302</v>
      </c>
      <c r="D12" s="1468">
        <f>C12</f>
        <v>302</v>
      </c>
      <c r="E12" s="1468">
        <v>553</v>
      </c>
      <c r="F12" s="1469">
        <v>266</v>
      </c>
      <c r="G12" s="3284">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279"/>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279"/>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280"/>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278">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279"/>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279"/>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280"/>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278">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279"/>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279"/>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280"/>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285">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286"/>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286"/>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287"/>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278">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279"/>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279"/>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280"/>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278">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279">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279">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280">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278">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279">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279">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280">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278">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279">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279">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280">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278">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279">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279">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280">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278">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279">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279">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280">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278">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279">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279">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280">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278">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279">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279">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280">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278">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279">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279">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280">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278">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279">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279">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280">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278">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279">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279">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280">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2998</v>
      </c>
      <c r="C1" s="3289" t="s">
        <v>2999</v>
      </c>
      <c r="D1" s="3290"/>
      <c r="E1" s="3290"/>
      <c r="F1" s="3290"/>
      <c r="G1" s="3290"/>
      <c r="H1" s="3290"/>
      <c r="I1" s="3290"/>
      <c r="J1" s="3290"/>
      <c r="K1" s="3290"/>
      <c r="L1" s="3290"/>
      <c r="M1" s="3290"/>
      <c r="N1" s="3290"/>
      <c r="O1" s="3290"/>
      <c r="P1" s="3290"/>
      <c r="Q1" s="3290"/>
      <c r="R1" s="3290"/>
      <c r="S1" s="3291"/>
      <c r="T1" s="1203" t="s">
        <v>3000</v>
      </c>
    </row>
    <row r="2" spans="1:45" s="707" customFormat="1">
      <c r="A2" s="1204"/>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3002</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3003</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3004</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3007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3008</v>
      </c>
      <c r="B17" s="2916"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3010</v>
      </c>
      <c r="E19" s="1791"/>
      <c r="F19" s="1791"/>
      <c r="G19" s="1791"/>
      <c r="H19" s="1279"/>
      <c r="I19" s="168"/>
      <c r="J19" s="168"/>
      <c r="K19" s="168"/>
      <c r="L19" s="168"/>
      <c r="M19" s="168"/>
      <c r="N19" s="168"/>
      <c r="O19" s="168"/>
      <c r="P19" s="168"/>
      <c r="Q19" s="168"/>
      <c r="R19" s="788"/>
      <c r="S19" s="138"/>
    </row>
    <row r="20" spans="1:45" ht="16.5" thickBot="1">
      <c r="A20" s="715" t="s">
        <v>3011</v>
      </c>
      <c r="B20" s="338" t="e">
        <f ca="1">IF(D20="——",S22,S22-F20)</f>
        <v>#REF!</v>
      </c>
      <c r="C20" s="168"/>
      <c r="D20" s="2918" t="s">
        <v>3012</v>
      </c>
      <c r="E20" s="1792"/>
      <c r="F20" s="1203" t="e">
        <f ca="1">SUMIF(INDIRECT("'"&amp;H20&amp;"'"&amp;"!A:A"),"承租人权益价值",INDIRECT("'"&amp;H20&amp;"'"&amp;"!c:c"))</f>
        <v>#REF!</v>
      </c>
      <c r="G20" s="1203" t="s">
        <v>3013</v>
      </c>
      <c r="H20" s="2919"/>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48" t="s">
        <v>33</v>
      </c>
      <c r="D22" s="3149"/>
      <c r="E22" s="3149"/>
      <c r="F22" s="3149"/>
      <c r="G22" s="3149"/>
      <c r="H22" s="3149"/>
      <c r="I22" s="3149"/>
      <c r="J22" s="3149"/>
      <c r="K22" s="3149"/>
      <c r="L22" s="3149"/>
      <c r="M22" s="3149"/>
      <c r="N22" s="3149"/>
      <c r="O22" s="3149"/>
      <c r="P22" s="3149"/>
      <c r="Q22" s="3288"/>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95596</v>
      </c>
      <c r="C2" s="2" t="s">
        <v>133</v>
      </c>
      <c r="D2" s="243"/>
      <c r="E2" s="243"/>
      <c r="F2" s="243"/>
      <c r="G2" s="243"/>
    </row>
    <row r="3" spans="1:7" s="244" customFormat="1" ht="18" customHeight="1" thickBot="1">
      <c r="A3" s="247" t="s">
        <v>85</v>
      </c>
      <c r="B3" s="248">
        <f ca="1">ROUND(B2*10000/'数据-汇总表'!E3,0)</f>
        <v>1489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810</v>
      </c>
      <c r="D7" s="264"/>
      <c r="E7" s="262"/>
      <c r="F7" s="265">
        <f>'数据-取费表'!B48+'数据-取费表'!B49</f>
        <v>4.0500000000000001E-2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462528.7</v>
      </c>
      <c r="E9" s="269">
        <f>'数据-取费表'!B27</f>
        <v>0</v>
      </c>
      <c r="F9" s="265"/>
      <c r="G9" s="270"/>
    </row>
    <row r="10" spans="1:7" s="258" customFormat="1" ht="13.5" customHeight="1">
      <c r="A10" s="949" t="s">
        <v>801</v>
      </c>
      <c r="B10" s="268" t="s">
        <v>94</v>
      </c>
      <c r="C10" s="269">
        <f>ROUND(D10*E10/10000,0)</f>
        <v>0</v>
      </c>
      <c r="D10" s="1031">
        <f>'数据-汇总表'!E6</f>
        <v>179687.48999999993</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3211</v>
      </c>
      <c r="D19" s="1035">
        <f>'数据-汇总表'!E3</f>
        <v>642216.18999999994</v>
      </c>
      <c r="E19" s="255">
        <f>'数据-取费表'!B31</f>
        <v>50</v>
      </c>
      <c r="F19" s="275"/>
      <c r="G19" s="1" t="s">
        <v>1074</v>
      </c>
    </row>
    <row r="20" spans="1:7" s="258" customFormat="1" ht="13.5" customHeight="1">
      <c r="A20" s="947" t="s">
        <v>1057</v>
      </c>
      <c r="B20" s="254" t="s">
        <v>104</v>
      </c>
      <c r="C20" s="276">
        <f>ROUND((C5+C19)*F20,0)</f>
        <v>721</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1005</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988</v>
      </c>
      <c r="D23" s="282"/>
      <c r="E23" s="282"/>
      <c r="F23" s="283"/>
      <c r="G23" s="284" t="s">
        <v>108</v>
      </c>
    </row>
    <row r="24" spans="1:7" s="258" customFormat="1" ht="13.5" customHeight="1">
      <c r="A24" s="950" t="s">
        <v>792</v>
      </c>
      <c r="B24" s="259" t="s">
        <v>1056</v>
      </c>
      <c r="C24" s="1354">
        <f ca="1">ROUND(IF('数据-取费表'!B22&lt;=1,C19*F22*('数据-取费表'!B19/2+'数据-取费表'!G28),C19*(POWER((1+F22),('数据-取费表'!B19/2+'数据-取费表'!G28))-1)),0)</f>
        <v>0</v>
      </c>
      <c r="D24" s="282"/>
      <c r="E24" s="282"/>
      <c r="F24" s="283"/>
      <c r="G24" s="284" t="s">
        <v>109</v>
      </c>
    </row>
    <row r="25" spans="1:7" s="258" customFormat="1" ht="24">
      <c r="A25" s="950" t="s">
        <v>793</v>
      </c>
      <c r="B25" s="259" t="s">
        <v>1058</v>
      </c>
      <c r="C25" s="1354">
        <f ca="1">ROUND(IF('数据-取费表'!B22&lt;=1,C20*F22*'数据-取费表'!B23/2,C20*(POWER((1+F22),'数据-取费表'!B23/2)-1)),0)</f>
        <v>17</v>
      </c>
      <c r="D25" s="282"/>
      <c r="E25" s="285"/>
      <c r="F25" s="283"/>
      <c r="G25" s="286" t="s">
        <v>110</v>
      </c>
    </row>
    <row r="26" spans="1:7" s="258" customFormat="1">
      <c r="A26" s="950" t="s">
        <v>795</v>
      </c>
      <c r="B26" s="259" t="s">
        <v>1060</v>
      </c>
      <c r="C26" s="282">
        <f ca="1">ROUND(IF('数据-取费表'!B22&lt;=1,F21*F22*'数据-取费表'!B23/2,F21*(POWER((1+F22),'数据-取费表'!B23/2)-1)),4)</f>
        <v>6.9999999999999999E-4</v>
      </c>
      <c r="D26" s="282"/>
      <c r="E26" s="285"/>
      <c r="F26" s="283"/>
      <c r="G26" s="287"/>
    </row>
    <row r="27" spans="1:7" s="258" customFormat="1" ht="24.75">
      <c r="A27" s="947" t="s">
        <v>787</v>
      </c>
      <c r="B27" s="288" t="s">
        <v>112</v>
      </c>
      <c r="C27" s="289">
        <f>C28</f>
        <v>0</v>
      </c>
      <c r="D27" s="279">
        <f>C29</f>
        <v>0</v>
      </c>
      <c r="E27" s="280" t="s">
        <v>126</v>
      </c>
      <c r="F27" s="290">
        <f>'数据-取费表'!Q16</f>
        <v>0.09</v>
      </c>
      <c r="G27" s="291" t="s">
        <v>1069</v>
      </c>
    </row>
    <row r="28" spans="1:7" s="258" customFormat="1" ht="13.5" customHeight="1">
      <c r="A28" s="950" t="s">
        <v>794</v>
      </c>
      <c r="B28" s="292" t="s">
        <v>1062</v>
      </c>
      <c r="C28" s="293">
        <f>ROUND((C5+C19+C20)*F27*'数据-取费表'!G28/'数据-取费表'!B20,0)</f>
        <v>0</v>
      </c>
      <c r="D28" s="279"/>
      <c r="E28" s="280"/>
      <c r="F28" s="290"/>
      <c r="G28" s="291"/>
    </row>
    <row r="29" spans="1:7" s="258" customFormat="1" ht="13.5" customHeight="1">
      <c r="A29" s="950" t="s">
        <v>792</v>
      </c>
      <c r="B29" s="292" t="s">
        <v>1063</v>
      </c>
      <c r="C29" s="282">
        <f>ROUND(C21*F27*'数据-取费表'!G28/'数据-取费表'!B20,4)</f>
        <v>0</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54940</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48499</v>
      </c>
      <c r="D34" s="261"/>
      <c r="E34" s="264"/>
      <c r="F34" s="301">
        <f>IF('数据-取费表'!B24=0,1,'数据-取费表'!N16)</f>
        <v>0.34699999999999998</v>
      </c>
      <c r="G34" s="263" t="s">
        <v>116</v>
      </c>
    </row>
    <row r="35" spans="1:7" ht="13.5" customHeight="1">
      <c r="A35" s="950" t="s">
        <v>796</v>
      </c>
      <c r="B35" s="259" t="s">
        <v>60</v>
      </c>
      <c r="C35" s="264">
        <f>ROUND(C34*F35,0)</f>
        <v>1455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916</v>
      </c>
      <c r="D36" s="264"/>
      <c r="E36" s="264"/>
      <c r="F36" s="303">
        <f>'数据-取费表'!B34</f>
        <v>0.03</v>
      </c>
      <c r="G36" s="304" t="s">
        <v>62</v>
      </c>
    </row>
    <row r="37" spans="1:7" s="302" customFormat="1" ht="13.5" customHeight="1">
      <c r="A37" s="950" t="s">
        <v>798</v>
      </c>
      <c r="B37" s="259" t="s">
        <v>118</v>
      </c>
      <c r="C37" s="293">
        <f>ROUND(E37*D37*F34/10000,0)</f>
        <v>3343</v>
      </c>
      <c r="D37" s="261">
        <f>'数据-汇总表'!E3</f>
        <v>642216.18999999994</v>
      </c>
      <c r="E37" s="293">
        <f>'数据-取费表'!B35</f>
        <v>150</v>
      </c>
      <c r="F37" s="303"/>
      <c r="G37" s="305" t="s">
        <v>119</v>
      </c>
    </row>
    <row r="38" spans="1:7" ht="13.5" customHeight="1">
      <c r="A38" s="950" t="s">
        <v>799</v>
      </c>
      <c r="B38" s="259" t="s">
        <v>63</v>
      </c>
      <c r="C38" s="264">
        <f>ROUND(C34*F38,0)</f>
        <v>727</v>
      </c>
      <c r="D38" s="264"/>
      <c r="E38" s="264"/>
      <c r="F38" s="303">
        <f>'数据-取费表'!B36</f>
        <v>1.4999999999999999E-2</v>
      </c>
      <c r="G38" s="263" t="s">
        <v>117</v>
      </c>
    </row>
    <row r="39" spans="1:7" s="258" customFormat="1" ht="13.5" customHeight="1">
      <c r="A39" s="947" t="s">
        <v>783</v>
      </c>
      <c r="B39" s="254" t="s">
        <v>104</v>
      </c>
      <c r="C39" s="276">
        <f>ROUND(C33*F20,0)</f>
        <v>1648</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0</v>
      </c>
      <c r="D41" s="279">
        <f ca="1">C44</f>
        <v>0</v>
      </c>
      <c r="E41" s="280" t="s">
        <v>129</v>
      </c>
      <c r="F41" s="281"/>
      <c r="G41" s="1288" t="str">
        <f>IF('数据-取费表'!B22&lt;=1,"单利计息","复利计息")</f>
        <v>复利计息</v>
      </c>
    </row>
    <row r="42" spans="1:7" ht="13.5" customHeight="1">
      <c r="A42" s="950" t="s">
        <v>794</v>
      </c>
      <c r="B42" s="259" t="s">
        <v>1061</v>
      </c>
      <c r="C42" s="282">
        <f ca="1">ROUND(IF('数据-取费表'!B22&lt;=1,C33*F22*'数据-取费表'!G28/2,C33*(POWER((1+F22),'数据-取费表'!G28/2)-1)),0)</f>
        <v>0</v>
      </c>
      <c r="D42" s="282"/>
      <c r="E42" s="282"/>
      <c r="F42" s="283"/>
      <c r="G42" s="3153" t="s">
        <v>121</v>
      </c>
    </row>
    <row r="43" spans="1:7" ht="13.5" customHeight="1">
      <c r="A43" s="950" t="s">
        <v>792</v>
      </c>
      <c r="B43" s="259" t="s">
        <v>1064</v>
      </c>
      <c r="C43" s="282">
        <f ca="1">ROUND(IF('数据-取费表'!B22&lt;=1,C39*F22*'数据-取费表'!G28/2,C39*(POWER((1+F22),'数据-取费表'!G28/2)-1)),0)</f>
        <v>0</v>
      </c>
      <c r="D43" s="282"/>
      <c r="E43" s="282"/>
      <c r="F43" s="283"/>
      <c r="G43" s="3154"/>
    </row>
    <row r="44" spans="1:7" ht="13.5" customHeight="1">
      <c r="A44" s="950" t="s">
        <v>793</v>
      </c>
      <c r="B44" s="259" t="s">
        <v>1066</v>
      </c>
      <c r="C44" s="282">
        <f ca="1">ROUND(IF('数据-取费表'!B22&lt;=1,C40*F22*'数据-取费表'!G28/2,C40*(POWER((1+F22),'数据-取费表'!G28/2)-1)),4)</f>
        <v>0</v>
      </c>
      <c r="D44" s="282"/>
      <c r="E44" s="282"/>
      <c r="F44" s="283"/>
      <c r="G44" s="3155"/>
    </row>
    <row r="45" spans="1:7" s="258" customFormat="1" ht="13.5" customHeight="1">
      <c r="A45" s="947" t="s">
        <v>786</v>
      </c>
      <c r="B45" s="288" t="s">
        <v>112</v>
      </c>
      <c r="C45" s="289">
        <f>C46</f>
        <v>5093</v>
      </c>
      <c r="D45" s="279">
        <f>C47</f>
        <v>2.7000000000000001E-3</v>
      </c>
      <c r="E45" s="280" t="s">
        <v>129</v>
      </c>
      <c r="F45" s="290"/>
      <c r="G45" s="291" t="s">
        <v>1072</v>
      </c>
    </row>
    <row r="46" spans="1:7" s="258" customFormat="1" ht="13.5" customHeight="1">
      <c r="A46" s="950" t="s">
        <v>794</v>
      </c>
      <c r="B46" s="292" t="s">
        <v>1065</v>
      </c>
      <c r="C46" s="293">
        <f>ROUND((C33+C39)*F27,0)</f>
        <v>5093</v>
      </c>
      <c r="D46" s="307"/>
      <c r="E46" s="280"/>
      <c r="F46" s="290"/>
      <c r="G46" s="291"/>
    </row>
    <row r="47" spans="1:7" s="258" customFormat="1" ht="13.5" customHeight="1">
      <c r="A47" s="950" t="s">
        <v>792</v>
      </c>
      <c r="B47" s="292" t="s">
        <v>1067</v>
      </c>
      <c r="C47" s="282">
        <f>ROUND(C40*F27,4)</f>
        <v>2.7000000000000001E-3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67487</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67487</v>
      </c>
      <c r="D51" s="276"/>
      <c r="E51" s="276"/>
      <c r="F51" s="308"/>
      <c r="G51" s="278" t="s">
        <v>64</v>
      </c>
    </row>
    <row r="52" spans="1:7" s="252" customFormat="1" ht="16.5" thickBot="1">
      <c r="A52" s="309" t="s">
        <v>65</v>
      </c>
      <c r="B52" s="310"/>
      <c r="C52" s="311">
        <f ca="1">C31+C51</f>
        <v>95596</v>
      </c>
      <c r="D52" s="310"/>
      <c r="E52" s="310"/>
      <c r="F52" s="310"/>
      <c r="G52" s="312"/>
    </row>
    <row r="55" spans="1:7" ht="15">
      <c r="B55" s="314" t="s">
        <v>66</v>
      </c>
      <c r="C55" s="315"/>
    </row>
    <row r="56" spans="1:7">
      <c r="B56" s="317" t="s">
        <v>67</v>
      </c>
      <c r="C56" s="318">
        <f ca="1">ROUND(C51/C52,3)</f>
        <v>0.70599999999999996</v>
      </c>
    </row>
    <row r="57" spans="1:7">
      <c r="B57" s="317" t="s">
        <v>68</v>
      </c>
      <c r="C57" s="319">
        <f ca="1">1-C56</f>
        <v>0.29400000000000004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2" t="s">
        <v>156</v>
      </c>
      <c r="B1" s="3292"/>
      <c r="C1" s="3292"/>
      <c r="D1" s="3292"/>
      <c r="E1" s="3292"/>
      <c r="F1" s="329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3" t="s">
        <v>169</v>
      </c>
      <c r="B2" s="3293"/>
      <c r="C2" s="3293"/>
      <c r="D2" s="3293"/>
      <c r="E2" s="3293"/>
      <c r="F2" s="329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2" t="s">
        <v>871</v>
      </c>
      <c r="B1" s="329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43371</v>
      </c>
      <c r="D1" s="1699" t="s">
        <v>1301</v>
      </c>
      <c r="E1" s="1694">
        <f>'数据-取费表'!B22</f>
        <v>2.5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H16" sqref="H16"/>
    </sheetView>
  </sheetViews>
  <sheetFormatPr defaultRowHeight="14.25"/>
  <cols>
    <col min="1" max="1" width="27.625" style="1944" customWidth="1"/>
    <col min="2" max="9" width="12.125" style="1944" customWidth="1"/>
    <col min="10" max="16384" width="9" style="1944"/>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1639</v>
      </c>
      <c r="B2" s="2988" t="s">
        <v>1640</v>
      </c>
      <c r="C2" s="2988" t="s">
        <v>1641</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3" t="s">
        <v>1636</v>
      </c>
      <c r="E3" s="1043" t="s">
        <v>1642</v>
      </c>
      <c r="F3" s="1043" t="s">
        <v>1636</v>
      </c>
      <c r="G3" s="1043" t="s">
        <v>1637</v>
      </c>
      <c r="H3" s="1043" t="s">
        <v>1636</v>
      </c>
      <c r="I3" s="1043" t="s">
        <v>1637</v>
      </c>
    </row>
    <row r="4" spans="1:9" ht="45">
      <c r="A4" s="1972" t="str">
        <f>项目基本情况!S2</f>
        <v>武汉洪山区大洲村K2地块出让国有建设用地使用权及在建建筑物房地产</v>
      </c>
      <c r="B4" s="1043">
        <f>项目基本情况!C17</f>
        <v>642216.18999999994</v>
      </c>
      <c r="C4" s="1043">
        <f>项目基本情况!C18</f>
        <v>103644.78</v>
      </c>
      <c r="D4" s="1043">
        <f ca="1">结果表!D118</f>
        <v>612486</v>
      </c>
      <c r="E4" s="1043">
        <f ca="1">结果表!E118</f>
        <v>9537</v>
      </c>
      <c r="F4" s="1043">
        <f ca="1">结果表!F118</f>
        <v>74158</v>
      </c>
      <c r="G4" s="1043">
        <f ca="1">结果表!G118</f>
        <v>1155</v>
      </c>
      <c r="H4" s="1043">
        <f ca="1">结果表!H118</f>
        <v>686644</v>
      </c>
      <c r="I4" s="1043">
        <f ca="1">结果表!I118</f>
        <v>10692</v>
      </c>
    </row>
    <row r="5" spans="1:9" ht="30" customHeight="1">
      <c r="A5" s="2982" t="s">
        <v>1638</v>
      </c>
      <c r="B5" s="2982"/>
      <c r="C5" s="2982"/>
      <c r="D5" s="2983" t="str">
        <f ca="1">结果表!D119</f>
        <v>陆拾壹亿贰仟肆佰捌拾陆万元整</v>
      </c>
      <c r="E5" s="2983"/>
      <c r="F5" s="2983" t="str">
        <f ca="1">结果表!F119</f>
        <v>柒亿肆仟壹佰伍拾捌万元整</v>
      </c>
      <c r="G5" s="2983"/>
      <c r="H5" s="2983" t="str">
        <f ca="1">结果表!H119</f>
        <v>陆拾捌亿陆仟陆佰肆拾肆万元整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1638</v>
      </c>
      <c r="B7" s="2982"/>
      <c r="C7" s="2982"/>
      <c r="D7" s="2984" t="str">
        <f>结果表!D121</f>
        <v>零元整</v>
      </c>
      <c r="E7" s="2985"/>
      <c r="F7" s="2985"/>
      <c r="G7" s="2985"/>
      <c r="H7" s="2985"/>
      <c r="I7" s="2986"/>
    </row>
    <row r="8" spans="1:9" ht="15.75">
      <c r="A8" s="2981" t="str">
        <f>结果表!A122</f>
        <v>房地产抵押价值</v>
      </c>
      <c r="B8" s="2981"/>
      <c r="C8" s="2981"/>
      <c r="D8" s="2981">
        <f ca="1">结果表!D122</f>
        <v>686644</v>
      </c>
      <c r="E8" s="2981"/>
      <c r="F8" s="2981"/>
      <c r="G8" s="2981"/>
      <c r="H8" s="2981"/>
      <c r="I8" s="2981"/>
    </row>
    <row r="9" spans="1:9" ht="15">
      <c r="A9" s="2982" t="s">
        <v>1638</v>
      </c>
      <c r="B9" s="2982"/>
      <c r="C9" s="2982"/>
      <c r="D9" s="2983" t="str">
        <f ca="1">结果表!D123</f>
        <v>陆拾捌亿陆仟陆佰肆拾肆万元整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1638</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1638</v>
      </c>
      <c r="B13" s="2978"/>
      <c r="C13" s="2978"/>
      <c r="D13" s="2979" t="e">
        <f>结果表!D127</f>
        <v>#VALUE!</v>
      </c>
      <c r="E13" s="2979"/>
      <c r="F13" s="2979"/>
      <c r="G13" s="2979"/>
      <c r="H13" s="2979"/>
      <c r="I13" s="2979"/>
    </row>
    <row r="14" spans="1:9" ht="15" thickTop="1">
      <c r="A14" s="2980" t="s">
        <v>1643</v>
      </c>
      <c r="B14" s="2980"/>
      <c r="C14" s="2980"/>
      <c r="D14" s="2980"/>
      <c r="E14" s="2980"/>
      <c r="F14" s="2980"/>
      <c r="G14" s="2980"/>
      <c r="H14" s="2980"/>
      <c r="I14" s="2980"/>
    </row>
    <row r="16" spans="1:9" ht="18.75">
      <c r="A16" s="1973" t="s">
        <v>1626</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95" t="s">
        <v>1658</v>
      </c>
      <c r="B1" s="2995"/>
      <c r="C1" s="2995"/>
      <c r="D1" s="2995"/>
    </row>
    <row r="2" spans="1:4" ht="18">
      <c r="A2" s="2996" t="s">
        <v>1644</v>
      </c>
      <c r="B2" s="2996"/>
      <c r="C2" s="2996"/>
      <c r="D2" s="2996"/>
    </row>
    <row r="3" spans="1:4" ht="18.75">
      <c r="A3" s="1976" t="s">
        <v>1645</v>
      </c>
      <c r="B3" s="1976" t="s">
        <v>1646</v>
      </c>
      <c r="C3" s="1976" t="s">
        <v>1647</v>
      </c>
      <c r="D3" s="1976" t="s">
        <v>1648</v>
      </c>
    </row>
    <row r="4" spans="1:4" ht="56.25" customHeight="1">
      <c r="A4" s="1977" t="str">
        <f>项目基本情况!B4</f>
        <v>王鹏</v>
      </c>
      <c r="B4" s="1978">
        <f ca="1">项目基本情况!C4</f>
        <v>1120050019</v>
      </c>
      <c r="C4" s="1979"/>
      <c r="D4" s="1980" t="s">
        <v>1649</v>
      </c>
    </row>
    <row r="5" spans="1:4" ht="56.25" customHeight="1">
      <c r="A5" s="1977" t="str">
        <f>项目基本情况!D4</f>
        <v>刘敬东</v>
      </c>
      <c r="B5" s="1978">
        <f ca="1">项目基本情况!E4</f>
        <v>1120020033</v>
      </c>
      <c r="C5" s="1981"/>
      <c r="D5" s="1980" t="s">
        <v>1649</v>
      </c>
    </row>
    <row r="6" spans="1:4" ht="18">
      <c r="A6" s="2996" t="s">
        <v>1650</v>
      </c>
      <c r="B6" s="2996"/>
      <c r="C6" s="2996"/>
      <c r="D6" s="2996"/>
    </row>
    <row r="7" spans="1:4" ht="18.75">
      <c r="A7" s="1976" t="s">
        <v>1645</v>
      </c>
      <c r="B7" s="1978" t="s">
        <v>1651</v>
      </c>
      <c r="C7" s="1976" t="s">
        <v>1647</v>
      </c>
      <c r="D7" s="1976" t="s">
        <v>1648</v>
      </c>
    </row>
    <row r="8" spans="1:4" ht="56.25" customHeight="1">
      <c r="A8" s="1982" t="s">
        <v>869</v>
      </c>
      <c r="B8" s="1982" t="s">
        <v>1</v>
      </c>
      <c r="C8" s="1979"/>
      <c r="D8" s="1980" t="s">
        <v>1649</v>
      </c>
    </row>
    <row r="9" spans="1:4">
      <c r="A9" s="728"/>
      <c r="B9" s="728"/>
      <c r="C9" s="728"/>
      <c r="D9" s="728"/>
    </row>
    <row r="10" spans="1:4" ht="18.75">
      <c r="A10" s="1983" t="s">
        <v>1652</v>
      </c>
      <c r="B10" s="728"/>
      <c r="C10" s="728"/>
      <c r="D10" s="728"/>
    </row>
    <row r="11" spans="1:4" ht="30" customHeight="1">
      <c r="A11" s="2997" t="s">
        <v>1653</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（1）根据估价对象《不动产权证书》复印件、，截至价值时点，估价对象抵押权未见登记。</v>
      </c>
      <c r="B15" s="2989"/>
      <c r="C15" s="2989"/>
      <c r="D15" s="2989"/>
    </row>
    <row r="16" spans="1:4" ht="30" customHeight="1">
      <c r="A16" s="2991" t="s">
        <v>3246</v>
      </c>
      <c r="B16" s="2991"/>
      <c r="C16" s="2991"/>
      <c r="D16" s="2991"/>
    </row>
    <row r="17" spans="1:4" ht="144" customHeight="1">
      <c r="A17" s="2991" t="s">
        <v>3243</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1654</v>
      </c>
      <c r="B22" s="2993"/>
      <c r="C22" s="2993"/>
      <c r="D22" s="2993"/>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90">
        <v>43392</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6" zoomScaleNormal="100" workbookViewId="0">
      <selection activeCell="F15" sqref="F1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03" t="s">
        <v>1665</v>
      </c>
      <c r="B15" s="2998" t="s">
        <v>136</v>
      </c>
      <c r="C15" s="2999"/>
    </row>
    <row r="16" spans="1:7" ht="13.5">
      <c r="A16" s="3004"/>
      <c r="B16" s="2998" t="s">
        <v>69</v>
      </c>
      <c r="C16" s="2999"/>
    </row>
    <row r="17" spans="1:3" ht="13.5">
      <c r="A17" s="3004"/>
      <c r="B17" s="3001" t="s">
        <v>1666</v>
      </c>
      <c r="C17" s="1999" t="s">
        <v>1665</v>
      </c>
    </row>
    <row r="18" spans="1:3" ht="13.5">
      <c r="A18" s="3004"/>
      <c r="B18" s="3001"/>
      <c r="C18" s="1999" t="s">
        <v>1667</v>
      </c>
    </row>
    <row r="19" spans="1:3" ht="13.5">
      <c r="A19" s="3004"/>
      <c r="B19" s="3001"/>
      <c r="C19" s="1999" t="s">
        <v>1668</v>
      </c>
    </row>
    <row r="20" spans="1:3" ht="13.5">
      <c r="A20" s="3005"/>
      <c r="B20" s="3000" t="s">
        <v>1669</v>
      </c>
      <c r="C20" s="2999"/>
    </row>
    <row r="21" spans="1:3" ht="13.5">
      <c r="A21" s="2000" t="s">
        <v>1670</v>
      </c>
      <c r="B21" s="2001"/>
      <c r="C21" s="2002"/>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1999" t="s">
        <v>1676</v>
      </c>
    </row>
    <row r="26" spans="1:3" ht="13.5">
      <c r="A26" s="3002"/>
      <c r="B26" s="3001"/>
      <c r="C26" s="1999" t="s">
        <v>1677</v>
      </c>
    </row>
    <row r="27" spans="1:3" ht="13.5">
      <c r="A27" s="3002"/>
      <c r="B27" s="3001"/>
      <c r="C27" s="1999" t="s">
        <v>1678</v>
      </c>
    </row>
    <row r="28" spans="1:3" ht="13.5">
      <c r="A28" s="3002"/>
      <c r="B28" s="3001"/>
      <c r="C28" s="1999" t="s">
        <v>1679</v>
      </c>
    </row>
    <row r="29" spans="1:3" ht="13.5">
      <c r="A29" s="3002"/>
      <c r="B29" s="3001"/>
      <c r="C29" s="1999" t="s">
        <v>1680</v>
      </c>
    </row>
    <row r="30" spans="1:3" ht="13.5">
      <c r="A30" s="3002"/>
      <c r="B30" s="3001"/>
      <c r="C30" s="1999" t="s">
        <v>1681</v>
      </c>
    </row>
    <row r="31" spans="1:3" ht="13.5">
      <c r="A31" s="3002"/>
      <c r="B31" s="3001"/>
      <c r="C31" s="1999" t="s">
        <v>1682</v>
      </c>
    </row>
    <row r="32" spans="1:3" ht="13.5">
      <c r="A32" s="3002"/>
      <c r="B32" s="3001"/>
      <c r="C32" s="1999" t="s">
        <v>1683</v>
      </c>
    </row>
    <row r="33" spans="1:3" ht="13.5">
      <c r="A33" s="3002"/>
      <c r="B33" s="3001"/>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43392</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f ca="1">IF(C10&lt;B2,"已过期",1120060040)</f>
        <v>1120060040</v>
      </c>
      <c r="C10" s="2344">
        <v>43483</v>
      </c>
      <c r="D10" s="2347" t="s">
        <v>838</v>
      </c>
      <c r="E10" s="1021">
        <f ca="1">IF(F10&lt;B2,"已过期",2004110096)</f>
        <v>2004110096</v>
      </c>
      <c r="F10" s="1029">
        <v>47118</v>
      </c>
    </row>
    <row r="11" spans="1:6" ht="24" customHeight="1">
      <c r="A11" s="1701" t="s">
        <v>839</v>
      </c>
      <c r="B11" s="1021">
        <f ca="1">IF(C11&lt;B2,"已过期",1120100036)</f>
        <v>1120100036</v>
      </c>
      <c r="C11" s="2344">
        <v>43622</v>
      </c>
      <c r="D11" s="2347" t="s">
        <v>839</v>
      </c>
      <c r="E11" s="1021">
        <f ca="1">IF(F11&lt;B2,"已过期",2010110070)</f>
        <v>2010110070</v>
      </c>
      <c r="F11" s="1029">
        <v>47907</v>
      </c>
    </row>
    <row r="12" spans="1:6" ht="24" customHeight="1">
      <c r="A12" s="1701" t="s">
        <v>3037</v>
      </c>
      <c r="B12" s="1021">
        <v>1120110054</v>
      </c>
      <c r="C12" s="2939">
        <v>43937</v>
      </c>
      <c r="D12" s="1701" t="s">
        <v>3037</v>
      </c>
      <c r="E12" s="1021">
        <v>2008110060</v>
      </c>
      <c r="F12" s="1029">
        <v>47177</v>
      </c>
    </row>
    <row r="13" spans="1:6" ht="24" customHeight="1">
      <c r="A13" s="1701" t="s">
        <v>840</v>
      </c>
      <c r="B13" s="1021">
        <f ca="1">IF(C13&lt;B2,"已过期",1120070131)</f>
        <v>1120070131</v>
      </c>
      <c r="C13" s="2344">
        <v>43814</v>
      </c>
      <c r="D13" s="2347" t="s">
        <v>840</v>
      </c>
      <c r="E13" s="1021">
        <v>2014110011</v>
      </c>
      <c r="F13" s="1029">
        <v>49302</v>
      </c>
    </row>
    <row r="14" spans="1:6" ht="24" customHeight="1">
      <c r="A14" s="1701" t="s">
        <v>841</v>
      </c>
      <c r="B14" s="1021">
        <f ca="1">IF(C14&lt;B2,"已过期",1120130020)</f>
        <v>1120130020</v>
      </c>
      <c r="C14" s="2344">
        <v>43622</v>
      </c>
      <c r="D14" s="2347"/>
      <c r="E14" s="1021"/>
      <c r="F14" s="1021"/>
    </row>
    <row r="15" spans="1:6" ht="24" customHeight="1">
      <c r="A15" s="1702" t="s">
        <v>1149</v>
      </c>
      <c r="B15" s="1021">
        <v>1120070085</v>
      </c>
      <c r="C15" s="2344">
        <v>43814</v>
      </c>
      <c r="D15" s="2348" t="s">
        <v>1149</v>
      </c>
      <c r="E15" s="1021">
        <v>2004110128</v>
      </c>
      <c r="F15" s="1022">
        <v>47118</v>
      </c>
    </row>
    <row r="16" spans="1:6" ht="24" customHeight="1">
      <c r="A16" s="1701" t="s">
        <v>842</v>
      </c>
      <c r="B16" s="1021">
        <f ca="1">IF(C16&lt;B2,"已过期",1120140022)</f>
        <v>1120140022</v>
      </c>
      <c r="C16" s="2344">
        <v>44029</v>
      </c>
      <c r="D16" s="2347" t="s">
        <v>842</v>
      </c>
      <c r="E16" s="1021">
        <f ca="1">IF(F16&lt;B2,"已过期",2008110059)</f>
        <v>2008110059</v>
      </c>
      <c r="F16" s="1029">
        <v>47177</v>
      </c>
    </row>
    <row r="17" spans="1:7" ht="24" customHeight="1">
      <c r="A17" s="1701"/>
      <c r="B17" s="1021"/>
      <c r="C17" s="2344"/>
      <c r="D17" s="2347"/>
      <c r="E17" s="1021"/>
      <c r="F17" s="1029"/>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843</v>
      </c>
      <c r="E21" s="1021">
        <f ca="1">IF(F21&lt;B2,"已过期",2011110090)</f>
        <v>2011110090</v>
      </c>
      <c r="F21" s="1029">
        <v>48302</v>
      </c>
    </row>
    <row r="22" spans="1:7" ht="24" customHeight="1">
      <c r="A22" s="1701" t="s">
        <v>844</v>
      </c>
      <c r="B22" s="1021">
        <f ca="1">IF(C22&lt;B2,"已过期",1120020033)</f>
        <v>1120020033</v>
      </c>
      <c r="C22" s="2939">
        <v>44339</v>
      </c>
      <c r="D22" s="2347" t="s">
        <v>844</v>
      </c>
      <c r="E22" s="1021">
        <f ca="1">IF(F22&lt;B2,"已过期",2000110137)</f>
        <v>2000110137</v>
      </c>
      <c r="F22" s="1029">
        <v>46387</v>
      </c>
    </row>
    <row r="23" spans="1:7" ht="24" customHeight="1">
      <c r="A23" s="1701" t="s">
        <v>845</v>
      </c>
      <c r="B23" s="1021">
        <f ca="1">IF(C23&lt;B2,"已过期",1120130048)</f>
        <v>1120130048</v>
      </c>
      <c r="C23" s="2344">
        <v>43686</v>
      </c>
      <c r="D23" s="2347"/>
      <c r="E23" s="1021"/>
      <c r="F23" s="1021"/>
    </row>
    <row r="24" spans="1:7" s="1023" customFormat="1" ht="24" customHeight="1">
      <c r="A24" s="1702" t="s">
        <v>1333</v>
      </c>
      <c r="B24" s="1702" t="s">
        <v>1333</v>
      </c>
      <c r="C24" s="2345" t="s">
        <v>1333</v>
      </c>
      <c r="D24" s="2348" t="s">
        <v>1333</v>
      </c>
      <c r="E24" s="1702" t="s">
        <v>1333</v>
      </c>
      <c r="F24" s="1702" t="s">
        <v>1333</v>
      </c>
    </row>
    <row r="25" spans="1:7" ht="24" customHeight="1">
      <c r="A25" s="3006" t="s">
        <v>846</v>
      </c>
      <c r="B25" s="3006"/>
      <c r="C25" s="3006"/>
      <c r="D25" s="3006"/>
      <c r="E25" s="3006"/>
      <c r="F25" s="3006"/>
      <c r="G25" s="3006"/>
    </row>
    <row r="26" spans="1:7" s="1024" customFormat="1" ht="24" customHeight="1">
      <c r="A26" s="3007" t="s">
        <v>847</v>
      </c>
      <c r="B26" s="3007"/>
      <c r="C26" s="3008"/>
      <c r="D26" s="3009" t="s">
        <v>848</v>
      </c>
      <c r="E26" s="3007"/>
      <c r="F26" s="3007"/>
    </row>
    <row r="27" spans="1:7" s="1026" customFormat="1" ht="24" customHeight="1">
      <c r="A27" s="1025" t="s">
        <v>849</v>
      </c>
      <c r="B27" s="1020" t="s">
        <v>850</v>
      </c>
      <c r="C27" s="2343" t="s">
        <v>851</v>
      </c>
      <c r="D27" s="2351" t="s">
        <v>849</v>
      </c>
      <c r="E27" s="1020" t="s">
        <v>850</v>
      </c>
      <c r="F27" s="1020" t="s">
        <v>851</v>
      </c>
    </row>
    <row r="28" spans="1:7" s="1026" customFormat="1" ht="24" customHeight="1">
      <c r="A28" s="1027" t="s">
        <v>852</v>
      </c>
      <c r="B28" s="1028" t="s">
        <v>853</v>
      </c>
      <c r="C28" s="2349">
        <v>43725</v>
      </c>
      <c r="D28" s="2352" t="s">
        <v>854</v>
      </c>
      <c r="E28" s="1027" t="s">
        <v>855</v>
      </c>
      <c r="F28" s="1057">
        <v>44377</v>
      </c>
    </row>
    <row r="29" spans="1:7" s="1026" customFormat="1" ht="24" customHeight="1">
      <c r="A29" s="1027"/>
      <c r="B29" s="1027"/>
      <c r="C29" s="2350"/>
      <c r="D29" s="2352"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比较法-住宅（精装）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2018-10-19T07:56:26Z</dcterms:modified>
</cp:coreProperties>
</file>