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62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77" r:id="rId23"/>
    <sheet name="收益法" sheetId="15" r:id="rId24"/>
    <sheet name="收益法 (元)" sheetId="67" state="hidden" r:id="rId25"/>
    <sheet name="收益法（汇总）" sheetId="70" state="hidden" r:id="rId26"/>
    <sheet name="收益法 (类办公)" sheetId="85" state="hidden" r:id="rId27"/>
    <sheet name="酒店收入计算" sheetId="66" r:id="rId28"/>
    <sheet name="成本" sheetId="83" r:id="rId29"/>
    <sheet name="酒店配套" sheetId="86" r:id="rId30"/>
    <sheet name="2020年报表" sheetId="78" state="hidden" r:id="rId31"/>
    <sheet name="2019年报表" sheetId="81" state="hidden" r:id="rId32"/>
    <sheet name="2018年报表" sheetId="82"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办公案例" sheetId="84" r:id="rId52"/>
    <sheet name="Sheet1" sheetId="87" state="hidden" r:id="rId53"/>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0">假设开发法!$A$1:$K$32</definedName>
    <definedName name="_xlnm.Print_Area" localSheetId="17">结果表!$A$1:$O$127</definedName>
    <definedName name="_xlnm.Print_Area" localSheetId="23">收益法!$A$1:$F$43,收益法!$H$3:$M$29,收益法!$A$46:$F$71,收益法!$I$46:$N$65</definedName>
    <definedName name="_xlnm.Print_Area" localSheetId="26">'收益法 (类办公)'!$A$1:$F$43,'收益法 (类办公)'!$H$3:$M$29,'收益法 (类办公)'!$A$46:$F$71,'收益法 (类办公)'!$I$46:$N$65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9">'土地比较法-工业'!$A$1:$K$61,'土地比较法-工业'!$A$64:$M$121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6" i="83" l="1"/>
  <c r="L6" i="1"/>
  <c r="P61" i="9"/>
  <c r="U20" i="1" l="1"/>
  <c r="U6" i="1" s="1"/>
  <c r="C94" i="9"/>
  <c r="J91" i="9"/>
  <c r="I38" i="39"/>
  <c r="G38" i="39"/>
  <c r="E38" i="39"/>
  <c r="D14" i="9"/>
  <c r="I91" i="9"/>
  <c r="P20" i="1"/>
  <c r="J47" i="66" l="1"/>
  <c r="C88" i="9" l="1"/>
  <c r="D30" i="9"/>
  <c r="B30" i="9"/>
  <c r="C30" i="9"/>
  <c r="K7" i="66"/>
  <c r="J48" i="66"/>
  <c r="G49" i="66"/>
  <c r="H27" i="86"/>
  <c r="H26" i="86"/>
  <c r="H25" i="86"/>
  <c r="H28" i="86" s="1"/>
  <c r="H23" i="86"/>
  <c r="H22" i="86"/>
  <c r="H24" i="86" s="1"/>
  <c r="H21" i="86"/>
  <c r="H19" i="86"/>
  <c r="H18" i="86"/>
  <c r="H17" i="86"/>
  <c r="H20" i="86" s="1"/>
  <c r="H15" i="86"/>
  <c r="H14" i="86"/>
  <c r="H13" i="86"/>
  <c r="H12" i="86"/>
  <c r="H11" i="86"/>
  <c r="H10" i="86"/>
  <c r="H16" i="86" s="1"/>
  <c r="E9" i="86"/>
  <c r="H7" i="86"/>
  <c r="H6" i="86"/>
  <c r="H5" i="86"/>
  <c r="G8" i="86" s="1"/>
  <c r="H8" i="86" s="1"/>
  <c r="H4" i="86"/>
  <c r="I46" i="39"/>
  <c r="G46" i="39"/>
  <c r="E46" i="39"/>
  <c r="E71" i="39"/>
  <c r="F71" i="39"/>
  <c r="G71" i="39" s="1"/>
  <c r="H71" i="39" s="1"/>
  <c r="I71" i="39" s="1"/>
  <c r="J71" i="39" s="1"/>
  <c r="K71" i="39" s="1"/>
  <c r="L71" i="39" s="1"/>
  <c r="M71" i="39" s="1"/>
  <c r="D71" i="39"/>
  <c r="I5" i="39"/>
  <c r="G5" i="39"/>
  <c r="E5" i="39"/>
  <c r="I7" i="39"/>
  <c r="B21" i="1"/>
  <c r="N6" i="1"/>
  <c r="E11" i="83"/>
  <c r="E18" i="83"/>
  <c r="F49" i="66"/>
  <c r="Q72" i="85"/>
  <c r="Q59" i="85"/>
  <c r="K59" i="85"/>
  <c r="P74" i="85" s="1"/>
  <c r="F59" i="85"/>
  <c r="Q58" i="85"/>
  <c r="Q51" i="85"/>
  <c r="J50" i="85"/>
  <c r="M47" i="85"/>
  <c r="D46" i="85"/>
  <c r="F33" i="85"/>
  <c r="F61" i="85" s="1"/>
  <c r="F31" i="85"/>
  <c r="F23" i="85"/>
  <c r="F21" i="85"/>
  <c r="F20" i="85"/>
  <c r="M19" i="85"/>
  <c r="F18" i="85"/>
  <c r="M17" i="85"/>
  <c r="F17" i="85"/>
  <c r="F15" i="85"/>
  <c r="H9" i="86" l="1"/>
  <c r="D23" i="85"/>
  <c r="D22" i="85"/>
  <c r="D24" i="85"/>
  <c r="P61" i="85"/>
  <c r="H30" i="86" l="1"/>
  <c r="E12" i="83"/>
  <c r="E10" i="83"/>
  <c r="E9" i="83"/>
  <c r="D8" i="83"/>
  <c r="E8" i="83" s="1"/>
  <c r="E7" i="83"/>
  <c r="E5" i="83"/>
  <c r="F3" i="83"/>
  <c r="I29" i="86" l="1"/>
  <c r="I4" i="86"/>
  <c r="I20" i="86"/>
  <c r="I28" i="86"/>
  <c r="I16" i="86"/>
  <c r="I24" i="86"/>
  <c r="I9" i="86"/>
  <c r="E14" i="83"/>
  <c r="F6" i="83" s="1"/>
  <c r="D5" i="78"/>
  <c r="I30" i="86" l="1"/>
  <c r="E19" i="83"/>
  <c r="E17" i="83"/>
  <c r="E16" i="83"/>
  <c r="F15" i="83" l="1"/>
  <c r="F20" i="83" s="1"/>
  <c r="C40" i="82"/>
  <c r="B40" i="82"/>
  <c r="F39" i="82"/>
  <c r="F45" i="82" s="1"/>
  <c r="E39" i="82"/>
  <c r="E45" i="82" s="1"/>
  <c r="C34" i="82"/>
  <c r="C45" i="82" s="1"/>
  <c r="B34" i="82"/>
  <c r="B45" i="82" s="1"/>
  <c r="F32" i="82"/>
  <c r="E32" i="82"/>
  <c r="F22" i="82"/>
  <c r="E22" i="82"/>
  <c r="E33" i="82" s="1"/>
  <c r="C19" i="82"/>
  <c r="B19" i="82"/>
  <c r="C11" i="82"/>
  <c r="C22" i="82" s="1"/>
  <c r="C46" i="82" s="1"/>
  <c r="B11" i="82"/>
  <c r="B22" i="82" s="1"/>
  <c r="B46" i="82" s="1"/>
  <c r="C40" i="81"/>
  <c r="B40" i="81"/>
  <c r="F39" i="81"/>
  <c r="F45" i="81" s="1"/>
  <c r="E39" i="81"/>
  <c r="E45" i="81" s="1"/>
  <c r="C34" i="81"/>
  <c r="B34" i="81"/>
  <c r="B45" i="81" s="1"/>
  <c r="F32" i="81"/>
  <c r="E32" i="81"/>
  <c r="F22" i="81"/>
  <c r="F33" i="81" s="1"/>
  <c r="F46" i="81" s="1"/>
  <c r="E22" i="81"/>
  <c r="C19" i="81"/>
  <c r="B19" i="81"/>
  <c r="C11" i="81"/>
  <c r="C22" i="81" s="1"/>
  <c r="B11" i="81"/>
  <c r="B22" i="81" s="1"/>
  <c r="B46" i="81" s="1"/>
  <c r="C45" i="81" l="1"/>
  <c r="C46" i="81" s="1"/>
  <c r="E46" i="82"/>
  <c r="F33" i="82"/>
  <c r="F46" i="82" s="1"/>
  <c r="E33" i="81"/>
  <c r="E46" i="81" s="1"/>
  <c r="G3" i="83"/>
  <c r="G6" i="83"/>
  <c r="G15" i="83"/>
  <c r="K58" i="77"/>
  <c r="K60" i="77"/>
  <c r="K61" i="77"/>
  <c r="G7" i="39" l="1"/>
  <c r="E7" i="39"/>
  <c r="N20" i="1" l="1"/>
  <c r="Y6" i="1" s="1"/>
  <c r="F19" i="6"/>
  <c r="C19" i="6"/>
  <c r="D3" i="4"/>
  <c r="G51" i="66" l="1"/>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Y10" i="71" s="1"/>
  <c r="Z10" i="71" s="1"/>
  <c r="N10" i="71"/>
  <c r="X7" i="71" s="1"/>
  <c r="AH9" i="71"/>
  <c r="AG9" i="71"/>
  <c r="AE9" i="71"/>
  <c r="AF9" i="71"/>
  <c r="AD9" i="71"/>
  <c r="Q9" i="71"/>
  <c r="P9" i="71"/>
  <c r="AA6" i="71" s="1"/>
  <c r="O9" i="71"/>
  <c r="Y7" i="71" s="1"/>
  <c r="Z7" i="71" s="1"/>
  <c r="N9" i="71"/>
  <c r="AH10" i="71"/>
  <c r="AG10" i="71"/>
  <c r="AE10" i="71"/>
  <c r="AF10" i="71" s="1"/>
  <c r="AD10" i="71"/>
  <c r="Q11" i="71"/>
  <c r="AB7" i="71" s="1"/>
  <c r="Q12" i="71"/>
  <c r="P11" i="71"/>
  <c r="AA10" i="71" s="1"/>
  <c r="P12" i="71"/>
  <c r="AA11" i="71" s="1"/>
  <c r="O11" i="71"/>
  <c r="O12" i="71"/>
  <c r="Y11" i="71" s="1"/>
  <c r="N11" i="71"/>
  <c r="N12" i="71"/>
  <c r="X11" i="71" s="1"/>
  <c r="AH11" i="71"/>
  <c r="AG11" i="71"/>
  <c r="AE11" i="71"/>
  <c r="AF11" i="71" s="1"/>
  <c r="AD11" i="71"/>
  <c r="F24" i="12"/>
  <c r="F7" i="69"/>
  <c r="F7" i="68"/>
  <c r="M15" i="45"/>
  <c r="L15" i="45"/>
  <c r="K15" i="45"/>
  <c r="J15" i="45"/>
  <c r="I15" i="45"/>
  <c r="H15" i="45"/>
  <c r="G15" i="45"/>
  <c r="F15" i="45"/>
  <c r="E15" i="45"/>
  <c r="D15" i="45"/>
  <c r="C15" i="45"/>
  <c r="B15" i="45"/>
  <c r="AH12" i="71"/>
  <c r="AG12" i="71"/>
  <c r="AE12" i="71"/>
  <c r="AF12" i="71"/>
  <c r="AD12" i="71"/>
  <c r="AD13" i="71"/>
  <c r="AH13" i="71"/>
  <c r="AG13" i="71"/>
  <c r="AE13" i="71"/>
  <c r="AF13" i="71" s="1"/>
  <c r="Q13" i="71"/>
  <c r="P13" i="71"/>
  <c r="O13" i="71"/>
  <c r="N13" i="71"/>
  <c r="X5" i="71" s="1"/>
  <c r="L3" i="71"/>
  <c r="AH3" i="71" s="1"/>
  <c r="K3" i="71"/>
  <c r="AG3" i="71" s="1"/>
  <c r="J3" i="71"/>
  <c r="AE3" i="71" s="1"/>
  <c r="I3" i="71"/>
  <c r="AH14" i="71"/>
  <c r="AG14" i="71"/>
  <c r="AE14" i="71"/>
  <c r="AF14" i="71"/>
  <c r="AD14" i="71"/>
  <c r="Q14" i="71"/>
  <c r="Q15" i="71"/>
  <c r="P14" i="71"/>
  <c r="P15" i="71"/>
  <c r="O14" i="71"/>
  <c r="O15" i="71"/>
  <c r="Y15" i="71" s="1"/>
  <c r="Z15" i="71" s="1"/>
  <c r="N14" i="71"/>
  <c r="N15" i="71"/>
  <c r="N16" i="71"/>
  <c r="AH15" i="71"/>
  <c r="AG15" i="71"/>
  <c r="AE15" i="71"/>
  <c r="AF15" i="71"/>
  <c r="AD15" i="71"/>
  <c r="Q16" i="71"/>
  <c r="P16" i="71"/>
  <c r="O16" i="71"/>
  <c r="M19" i="43"/>
  <c r="D18" i="71"/>
  <c r="AH16" i="71"/>
  <c r="AG16" i="71"/>
  <c r="AE16" i="71"/>
  <c r="AF16" i="71"/>
  <c r="AD16" i="71"/>
  <c r="AD17" i="71"/>
  <c r="AG17" i="71"/>
  <c r="AH17" i="71"/>
  <c r="AE17" i="71"/>
  <c r="AF17" i="71" s="1"/>
  <c r="N17" i="71"/>
  <c r="B17" i="71" s="1"/>
  <c r="B16" i="71" s="1"/>
  <c r="B15" i="71" s="1"/>
  <c r="B14" i="71" s="1"/>
  <c r="B13" i="71" s="1"/>
  <c r="B12" i="71" s="1"/>
  <c r="B11" i="71" s="1"/>
  <c r="B10" i="71" s="1"/>
  <c r="Q17" i="71"/>
  <c r="P17" i="71"/>
  <c r="AA16" i="71" s="1"/>
  <c r="O17" i="71"/>
  <c r="C17" i="71"/>
  <c r="C16" i="71"/>
  <c r="Q18" i="71"/>
  <c r="F17" i="71"/>
  <c r="F16" i="71" s="1"/>
  <c r="F15" i="71" s="1"/>
  <c r="P18" i="71"/>
  <c r="AA18" i="71" s="1"/>
  <c r="O18" i="71"/>
  <c r="N18" i="71"/>
  <c r="X14" i="71" s="1"/>
  <c r="A2" i="53"/>
  <c r="K59" i="67"/>
  <c r="P74" i="67" s="1"/>
  <c r="P61" i="67"/>
  <c r="K59" i="15"/>
  <c r="P74" i="15" s="1"/>
  <c r="P61" i="15"/>
  <c r="D116" i="39"/>
  <c r="E116" i="39"/>
  <c r="F116" i="39"/>
  <c r="G116" i="39"/>
  <c r="H116" i="39"/>
  <c r="I116" i="39"/>
  <c r="J116" i="39"/>
  <c r="K116" i="39"/>
  <c r="L116" i="39"/>
  <c r="M116" i="39"/>
  <c r="C116" i="39"/>
  <c r="A21" i="62"/>
  <c r="B67" i="72" s="1"/>
  <c r="A20" i="62"/>
  <c r="B66" i="72" s="1"/>
  <c r="A22" i="51"/>
  <c r="A21" i="51"/>
  <c r="A20" i="51"/>
  <c r="A14" i="62"/>
  <c r="A13" i="62"/>
  <c r="B59" i="72" s="1"/>
  <c r="A19" i="62"/>
  <c r="A12" i="62"/>
  <c r="B58" i="72" s="1"/>
  <c r="A120" i="9"/>
  <c r="H2" i="52"/>
  <c r="A1" i="52"/>
  <c r="A3" i="53"/>
  <c r="Q19" i="71"/>
  <c r="AB17" i="71" s="1"/>
  <c r="P19" i="71"/>
  <c r="O19" i="71"/>
  <c r="Y17" i="71" s="1"/>
  <c r="Z17" i="71" s="1"/>
  <c r="N19" i="71"/>
  <c r="X15"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0" i="71"/>
  <c r="C20" i="71" s="1"/>
  <c r="P20" i="71"/>
  <c r="Q20" i="71"/>
  <c r="N20" i="71"/>
  <c r="AD18" i="71"/>
  <c r="AE18" i="71"/>
  <c r="AF18" i="71" s="1"/>
  <c r="AG18" i="71"/>
  <c r="AH18" i="71"/>
  <c r="AD19" i="71"/>
  <c r="AE19" i="71"/>
  <c r="AF19" i="7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c r="AG28" i="71"/>
  <c r="AH28" i="71"/>
  <c r="AD29" i="71"/>
  <c r="AE29" i="71"/>
  <c r="AF29" i="71" s="1"/>
  <c r="AG29" i="71"/>
  <c r="AH29" i="71"/>
  <c r="AD30" i="71"/>
  <c r="AE30" i="71"/>
  <c r="AF30" i="71" s="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c r="AI9" i="43"/>
  <c r="AI12" i="43" s="1"/>
  <c r="AH9" i="43"/>
  <c r="AH10" i="43" s="1"/>
  <c r="AH12" i="43"/>
  <c r="AG9" i="43"/>
  <c r="AG12" i="43" s="1"/>
  <c r="AF9" i="43"/>
  <c r="AF12" i="43"/>
  <c r="AE9" i="43"/>
  <c r="AE10" i="43" s="1"/>
  <c r="AD9" i="43"/>
  <c r="AD12" i="43"/>
  <c r="AC9" i="43"/>
  <c r="AC12" i="43" s="1"/>
  <c r="AB9" i="43"/>
  <c r="AB12" i="43"/>
  <c r="AA9" i="43"/>
  <c r="AA10" i="43" s="1"/>
  <c r="Z9" i="43"/>
  <c r="Z10" i="43" s="1"/>
  <c r="Z12" i="43"/>
  <c r="AG10" i="43"/>
  <c r="AI10" i="43"/>
  <c r="AB10" i="43"/>
  <c r="AD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I19" i="43"/>
  <c r="D82" i="71"/>
  <c r="F81" i="71"/>
  <c r="E81" i="71"/>
  <c r="E80" i="71"/>
  <c r="E79" i="71"/>
  <c r="C81" i="71"/>
  <c r="D81" i="71" s="1"/>
  <c r="B81" i="71"/>
  <c r="B80" i="71" s="1"/>
  <c r="B79" i="71" s="1"/>
  <c r="F80" i="71"/>
  <c r="F79" i="71" s="1"/>
  <c r="D78" i="71"/>
  <c r="F77" i="71"/>
  <c r="E77" i="71"/>
  <c r="E76" i="71" s="1"/>
  <c r="E75" i="71" s="1"/>
  <c r="C77" i="71"/>
  <c r="D77" i="71" s="1"/>
  <c r="B77" i="71"/>
  <c r="B76" i="71" s="1"/>
  <c r="B75" i="71" s="1"/>
  <c r="F76" i="71"/>
  <c r="F75" i="71" s="1"/>
  <c r="D74" i="71"/>
  <c r="Q73" i="71"/>
  <c r="P73" i="71"/>
  <c r="O73" i="71"/>
  <c r="N73" i="71"/>
  <c r="F73" i="71"/>
  <c r="V73" i="71" s="1"/>
  <c r="E73" i="71"/>
  <c r="U73" i="71"/>
  <c r="C73" i="71"/>
  <c r="C72" i="71" s="1"/>
  <c r="B73" i="71"/>
  <c r="S73" i="71"/>
  <c r="Q72" i="71"/>
  <c r="P72" i="71"/>
  <c r="O72" i="71"/>
  <c r="N72" i="71"/>
  <c r="F72" i="71"/>
  <c r="F71" i="71" s="1"/>
  <c r="B72" i="71"/>
  <c r="B71" i="71"/>
  <c r="Q71" i="71"/>
  <c r="P71" i="71"/>
  <c r="O71" i="71"/>
  <c r="N71" i="71"/>
  <c r="Q70" i="71"/>
  <c r="P70" i="71"/>
  <c r="O70" i="71"/>
  <c r="N70" i="71"/>
  <c r="D70" i="71"/>
  <c r="Q69" i="71"/>
  <c r="P69" i="71"/>
  <c r="O69" i="71"/>
  <c r="N69" i="71"/>
  <c r="F69" i="71"/>
  <c r="V69" i="7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E64" i="71" s="1"/>
  <c r="E63" i="71" s="1"/>
  <c r="C65" i="71"/>
  <c r="C64" i="71" s="1"/>
  <c r="T65" i="71"/>
  <c r="B65" i="71"/>
  <c r="S65" i="71" s="1"/>
  <c r="Q64" i="71"/>
  <c r="P64" i="71"/>
  <c r="O64" i="71"/>
  <c r="N64" i="71"/>
  <c r="F64" i="71"/>
  <c r="F63" i="71"/>
  <c r="B64" i="71"/>
  <c r="B63" i="71" s="1"/>
  <c r="Q63" i="71"/>
  <c r="P63" i="71"/>
  <c r="O63" i="71"/>
  <c r="N63" i="71"/>
  <c r="Q62" i="71"/>
  <c r="P62" i="71"/>
  <c r="O62" i="71"/>
  <c r="N62" i="71"/>
  <c r="D62" i="71"/>
  <c r="F61" i="71"/>
  <c r="Q61" i="71" s="1"/>
  <c r="E61" i="71"/>
  <c r="P61" i="71"/>
  <c r="C61" i="71"/>
  <c r="T61" i="71" s="1"/>
  <c r="B61" i="7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c r="D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c r="C52"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E48" i="71" s="1"/>
  <c r="E49" i="71" s="1"/>
  <c r="U49" i="71" s="1"/>
  <c r="O46" i="71"/>
  <c r="C47" i="71" s="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c r="E44" i="71" s="1"/>
  <c r="E45" i="71" s="1"/>
  <c r="U45" i="71" s="1"/>
  <c r="O42" i="71"/>
  <c r="C43" i="71" s="1"/>
  <c r="N42" i="71"/>
  <c r="B43" i="71"/>
  <c r="B44" i="71"/>
  <c r="B45" i="71" s="1"/>
  <c r="S45" i="71" s="1"/>
  <c r="D42" i="71"/>
  <c r="T41" i="71"/>
  <c r="Q41" i="71"/>
  <c r="P41" i="71"/>
  <c r="O41" i="71"/>
  <c r="N41" i="71"/>
  <c r="D41" i="71"/>
  <c r="Q40" i="71"/>
  <c r="P40" i="71"/>
  <c r="O40" i="71"/>
  <c r="N40" i="71"/>
  <c r="Q39" i="71"/>
  <c r="P39" i="71"/>
  <c r="O39" i="71"/>
  <c r="N39" i="71"/>
  <c r="F39" i="71"/>
  <c r="F40" i="71" s="1"/>
  <c r="F41" i="71" s="1"/>
  <c r="V41" i="71" s="1"/>
  <c r="Q38" i="71"/>
  <c r="P38" i="71"/>
  <c r="E39" i="71"/>
  <c r="E40" i="71" s="1"/>
  <c r="E41" i="71" s="1"/>
  <c r="U41" i="71" s="1"/>
  <c r="O38" i="71"/>
  <c r="C39" i="71" s="1"/>
  <c r="N38" i="71"/>
  <c r="B39" i="71"/>
  <c r="B40" i="71"/>
  <c r="B41" i="71" s="1"/>
  <c r="S41" i="71" s="1"/>
  <c r="D38" i="71"/>
  <c r="Q37" i="71"/>
  <c r="P37" i="71"/>
  <c r="O37" i="71"/>
  <c r="N37" i="71"/>
  <c r="Q36" i="71"/>
  <c r="P36" i="71"/>
  <c r="O36" i="71"/>
  <c r="N36" i="71"/>
  <c r="Q35" i="71"/>
  <c r="P35" i="71"/>
  <c r="O35" i="71"/>
  <c r="N35" i="71"/>
  <c r="F35" i="71"/>
  <c r="F36" i="71" s="1"/>
  <c r="F37" i="71" s="1"/>
  <c r="V37" i="71" s="1"/>
  <c r="Q34" i="71"/>
  <c r="P34" i="71"/>
  <c r="E35" i="71" s="1"/>
  <c r="E36" i="71" s="1"/>
  <c r="E37" i="71" s="1"/>
  <c r="U37" i="71" s="1"/>
  <c r="O34" i="71"/>
  <c r="C35" i="71" s="1"/>
  <c r="N34" i="71"/>
  <c r="B35" i="71" s="1"/>
  <c r="B36" i="71" s="1"/>
  <c r="B37" i="71" s="1"/>
  <c r="S37" i="71" s="1"/>
  <c r="D34" i="71"/>
  <c r="Q33" i="71"/>
  <c r="P33" i="71"/>
  <c r="O33" i="71"/>
  <c r="N33" i="71"/>
  <c r="Q32" i="71"/>
  <c r="AB32" i="71" s="1"/>
  <c r="P32" i="71"/>
  <c r="AA32" i="71" s="1"/>
  <c r="O32" i="71"/>
  <c r="Y32" i="71" s="1"/>
  <c r="Z32" i="71" s="1"/>
  <c r="N32" i="71"/>
  <c r="X32" i="71" s="1"/>
  <c r="Q31" i="71"/>
  <c r="AB31" i="71"/>
  <c r="P31" i="71"/>
  <c r="AA31" i="71" s="1"/>
  <c r="O31" i="71"/>
  <c r="Y31" i="71" s="1"/>
  <c r="Z31" i="71" s="1"/>
  <c r="N31" i="71"/>
  <c r="Q30" i="71"/>
  <c r="F31" i="71" s="1"/>
  <c r="F32" i="71" s="1"/>
  <c r="F33" i="71" s="1"/>
  <c r="V33" i="71" s="1"/>
  <c r="P30" i="71"/>
  <c r="O30" i="71"/>
  <c r="C31" i="71" s="1"/>
  <c r="N30" i="71"/>
  <c r="D30" i="71"/>
  <c r="Q29" i="71"/>
  <c r="AB29" i="71"/>
  <c r="P29" i="71"/>
  <c r="O29" i="71"/>
  <c r="Y29" i="71" s="1"/>
  <c r="Z29" i="71" s="1"/>
  <c r="N29" i="71"/>
  <c r="Q28" i="71"/>
  <c r="AB28" i="71"/>
  <c r="P28" i="71"/>
  <c r="AA27" i="71" s="1"/>
  <c r="O28" i="71"/>
  <c r="Y28" i="71" s="1"/>
  <c r="Z28" i="71" s="1"/>
  <c r="N28" i="71"/>
  <c r="X22" i="71" s="1"/>
  <c r="Q27" i="71"/>
  <c r="AB27" i="71" s="1"/>
  <c r="P27" i="71"/>
  <c r="O27" i="71"/>
  <c r="Y27" i="71" s="1"/>
  <c r="Z27" i="71" s="1"/>
  <c r="N27" i="71"/>
  <c r="Q26" i="71"/>
  <c r="AB26" i="71" s="1"/>
  <c r="P26" i="71"/>
  <c r="AA26" i="71" s="1"/>
  <c r="O26" i="71"/>
  <c r="C27" i="71" s="1"/>
  <c r="N26" i="71"/>
  <c r="D26" i="71"/>
  <c r="Q25" i="71"/>
  <c r="AB25" i="71" s="1"/>
  <c r="P25" i="71"/>
  <c r="AA24" i="71" s="1"/>
  <c r="O25" i="71"/>
  <c r="Y25" i="71" s="1"/>
  <c r="Z25" i="71" s="1"/>
  <c r="N25" i="71"/>
  <c r="Q24" i="71"/>
  <c r="AB21" i="71" s="1"/>
  <c r="P24" i="71"/>
  <c r="O24" i="71"/>
  <c r="Y24" i="71"/>
  <c r="Z24" i="71" s="1"/>
  <c r="N24" i="71"/>
  <c r="Q23" i="71"/>
  <c r="P23" i="71"/>
  <c r="AA23" i="71" s="1"/>
  <c r="O23" i="71"/>
  <c r="N23" i="71"/>
  <c r="F23" i="71"/>
  <c r="F24" i="71" s="1"/>
  <c r="F25" i="71" s="1"/>
  <c r="V25" i="71" s="1"/>
  <c r="Q22" i="71"/>
  <c r="P22" i="71"/>
  <c r="AA21" i="71" s="1"/>
  <c r="O22" i="71"/>
  <c r="Y21" i="71" s="1"/>
  <c r="Z21" i="71" s="1"/>
  <c r="N22" i="71"/>
  <c r="D22" i="71"/>
  <c r="O21" i="71"/>
  <c r="N21" i="71"/>
  <c r="X21" i="71" s="1"/>
  <c r="B23" i="71"/>
  <c r="B24" i="71" s="1"/>
  <c r="B25" i="71" s="1"/>
  <c r="S25" i="71" s="1"/>
  <c r="B27" i="71"/>
  <c r="B28" i="71"/>
  <c r="B29" i="71" s="1"/>
  <c r="S29" i="71" s="1"/>
  <c r="B31" i="71"/>
  <c r="B32" i="71" s="1"/>
  <c r="B33" i="71" s="1"/>
  <c r="S33" i="71" s="1"/>
  <c r="X30" i="71"/>
  <c r="E31" i="71"/>
  <c r="E32" i="71" s="1"/>
  <c r="E33" i="71" s="1"/>
  <c r="U33" i="71" s="1"/>
  <c r="E27" i="71"/>
  <c r="E28" i="71"/>
  <c r="E29" i="71" s="1"/>
  <c r="U29" i="71" s="1"/>
  <c r="X23" i="71"/>
  <c r="X25" i="71"/>
  <c r="Y26" i="71"/>
  <c r="Z26" i="71" s="1"/>
  <c r="X29" i="71"/>
  <c r="AA29" i="71"/>
  <c r="AB30" i="71"/>
  <c r="X31" i="71"/>
  <c r="C21" i="71"/>
  <c r="X20" i="71"/>
  <c r="P21" i="71"/>
  <c r="U61" i="71"/>
  <c r="E60" i="71"/>
  <c r="P60" i="71" s="1"/>
  <c r="Q21" i="71"/>
  <c r="D51" i="71"/>
  <c r="C56" i="71"/>
  <c r="C57" i="71" s="1"/>
  <c r="C60" i="71"/>
  <c r="C59" i="71" s="1"/>
  <c r="D69" i="71"/>
  <c r="E72" i="71"/>
  <c r="E71" i="71"/>
  <c r="D73" i="71"/>
  <c r="C80" i="71"/>
  <c r="D80" i="71" s="1"/>
  <c r="T21" i="71"/>
  <c r="F21" i="71"/>
  <c r="F20" i="71"/>
  <c r="F19" i="71" s="1"/>
  <c r="AB20" i="71"/>
  <c r="E21" i="71"/>
  <c r="E20" i="71" s="1"/>
  <c r="E19" i="71" s="1"/>
  <c r="AA20" i="71"/>
  <c r="D21" i="71"/>
  <c r="U21" i="71" s="1"/>
  <c r="D56" i="71"/>
  <c r="E59" i="71"/>
  <c r="P58" i="71" s="1"/>
  <c r="V21" i="71"/>
  <c r="P59"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c r="A11" i="70"/>
  <c r="E11" i="70" s="1"/>
  <c r="A12" i="70"/>
  <c r="E12" i="70"/>
  <c r="A13" i="70"/>
  <c r="E13" i="70" s="1"/>
  <c r="A6" i="70"/>
  <c r="Q25" i="40"/>
  <c r="Z25" i="40" s="1"/>
  <c r="D94" i="40"/>
  <c r="E94" i="40"/>
  <c r="F25" i="40"/>
  <c r="AA25" i="40" s="1"/>
  <c r="Q29" i="39"/>
  <c r="Z29" i="39" s="1"/>
  <c r="D103" i="39"/>
  <c r="E103" i="39" s="1"/>
  <c r="F103" i="39" s="1"/>
  <c r="G103" i="39" s="1"/>
  <c r="Q18" i="36"/>
  <c r="Z18" i="36"/>
  <c r="D66" i="36"/>
  <c r="E66" i="36" s="1"/>
  <c r="F66" i="36" s="1"/>
  <c r="G66" i="36" s="1"/>
  <c r="H18" i="36"/>
  <c r="U18" i="36" s="1"/>
  <c r="F18" i="36"/>
  <c r="AA18" i="36" s="1"/>
  <c r="C18" i="36"/>
  <c r="Z18" i="35"/>
  <c r="Q18" i="35"/>
  <c r="D68" i="35"/>
  <c r="E68" i="35"/>
  <c r="F68" i="35" s="1"/>
  <c r="G68" i="35" s="1"/>
  <c r="F18" i="35"/>
  <c r="AA18" i="35" s="1"/>
  <c r="C18" i="35"/>
  <c r="Q21" i="37"/>
  <c r="Z21" i="37" s="1"/>
  <c r="D77" i="37"/>
  <c r="E77" i="37" s="1"/>
  <c r="F77" i="37" s="1"/>
  <c r="G77" i="37" s="1"/>
  <c r="C21" i="37"/>
  <c r="Z21" i="34"/>
  <c r="Q21" i="34"/>
  <c r="D84" i="34"/>
  <c r="E84" i="34"/>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6" i="43" s="1"/>
  <c r="C22" i="20"/>
  <c r="B75" i="43" s="1"/>
  <c r="B55" i="43"/>
  <c r="S25" i="40"/>
  <c r="S21" i="34"/>
  <c r="F94" i="40"/>
  <c r="H25" i="40"/>
  <c r="G94" i="40"/>
  <c r="J25" i="40"/>
  <c r="AC25" i="40" s="1"/>
  <c r="H29" i="39"/>
  <c r="U29" i="39" s="1"/>
  <c r="J18" i="36"/>
  <c r="AC18" i="36" s="1"/>
  <c r="H18" i="35"/>
  <c r="S18" i="35"/>
  <c r="J18" i="35"/>
  <c r="H21" i="37"/>
  <c r="U21" i="37" s="1"/>
  <c r="F21" i="37"/>
  <c r="AA21" i="37" s="1"/>
  <c r="F84" i="34"/>
  <c r="H21" i="34"/>
  <c r="H21" i="33"/>
  <c r="U21" i="33" s="1"/>
  <c r="F21" i="33"/>
  <c r="S21" i="33" s="1"/>
  <c r="H1" i="69"/>
  <c r="AB25" i="40"/>
  <c r="U25" i="40"/>
  <c r="AB29" i="39"/>
  <c r="AB21" i="37"/>
  <c r="AB21" i="34"/>
  <c r="U21" i="34"/>
  <c r="AA21" i="33"/>
  <c r="AB18" i="35"/>
  <c r="U18" i="35"/>
  <c r="AC18" i="35"/>
  <c r="W18" i="35"/>
  <c r="J21" i="37"/>
  <c r="G84" i="34"/>
  <c r="J21" i="34"/>
  <c r="J21" i="33"/>
  <c r="H21" i="21"/>
  <c r="U21" i="21" s="1"/>
  <c r="F38" i="69"/>
  <c r="E37" i="69"/>
  <c r="F36" i="69"/>
  <c r="F35" i="69"/>
  <c r="F21" i="69"/>
  <c r="F40" i="69" s="1"/>
  <c r="F20" i="69"/>
  <c r="F39" i="69" s="1"/>
  <c r="E10" i="69"/>
  <c r="E9" i="69"/>
  <c r="C7" i="69"/>
  <c r="AC21" i="37"/>
  <c r="W21" i="37"/>
  <c r="AC21" i="34"/>
  <c r="W21" i="34"/>
  <c r="AC21" i="33"/>
  <c r="W21" i="33"/>
  <c r="AB21" i="21"/>
  <c r="J21" i="21"/>
  <c r="F38" i="68"/>
  <c r="E37" i="68"/>
  <c r="F36" i="68"/>
  <c r="F35" i="68"/>
  <c r="F21" i="68"/>
  <c r="F20" i="68"/>
  <c r="F39" i="68" s="1"/>
  <c r="E10" i="68"/>
  <c r="E9" i="68"/>
  <c r="Q72" i="67"/>
  <c r="Q59" i="67"/>
  <c r="Q58" i="67"/>
  <c r="Q51" i="67"/>
  <c r="J50" i="67"/>
  <c r="M47" i="67"/>
  <c r="D46" i="67"/>
  <c r="F33" i="67"/>
  <c r="F61" i="67"/>
  <c r="F23" i="67"/>
  <c r="D24" i="67" s="1"/>
  <c r="F21" i="67"/>
  <c r="F20" i="67"/>
  <c r="M19" i="67"/>
  <c r="F18" i="67"/>
  <c r="F17" i="67"/>
  <c r="F15" i="67"/>
  <c r="S2" i="4"/>
  <c r="C51" i="10" s="1"/>
  <c r="A13" i="51"/>
  <c r="B11" i="72" s="1"/>
  <c r="S1" i="4"/>
  <c r="B1" i="4"/>
  <c r="I23" i="66"/>
  <c r="D20" i="66"/>
  <c r="I19" i="66"/>
  <c r="I18" i="66"/>
  <c r="I17" i="66"/>
  <c r="I20" i="66"/>
  <c r="E15" i="66"/>
  <c r="I14" i="66"/>
  <c r="I13" i="66"/>
  <c r="I15" i="66" s="1"/>
  <c r="I12" i="66"/>
  <c r="I9" i="66"/>
  <c r="I8" i="66"/>
  <c r="I7" i="66"/>
  <c r="I6" i="66"/>
  <c r="I5" i="66"/>
  <c r="I4" i="66"/>
  <c r="I3" i="66"/>
  <c r="D1" i="43"/>
  <c r="F113" i="43"/>
  <c r="N99" i="43"/>
  <c r="N108" i="43" s="1"/>
  <c r="D99" i="43"/>
  <c r="D100" i="43" s="1"/>
  <c r="D108" i="43"/>
  <c r="E99" i="43"/>
  <c r="E108" i="43"/>
  <c r="F99" i="43"/>
  <c r="F108" i="43"/>
  <c r="G99" i="43"/>
  <c r="H99" i="43"/>
  <c r="H108" i="43"/>
  <c r="I99" i="43"/>
  <c r="I108" i="43"/>
  <c r="J99" i="43"/>
  <c r="J108" i="43"/>
  <c r="K99" i="43"/>
  <c r="L99" i="43"/>
  <c r="L108" i="43"/>
  <c r="M99" i="43"/>
  <c r="M108" i="43"/>
  <c r="C99" i="43"/>
  <c r="C108"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s="1"/>
  <c r="K87" i="43"/>
  <c r="J87" i="43" s="1"/>
  <c r="M86" i="43"/>
  <c r="N86" i="43"/>
  <c r="K86" i="43"/>
  <c r="J86" i="43"/>
  <c r="M85" i="43"/>
  <c r="N85" i="43" s="1"/>
  <c r="K85" i="43"/>
  <c r="J85" i="43" s="1"/>
  <c r="M84" i="43"/>
  <c r="N84" i="43"/>
  <c r="K84" i="43"/>
  <c r="J84" i="43"/>
  <c r="M83" i="43"/>
  <c r="N83" i="43" s="1"/>
  <c r="K83" i="43"/>
  <c r="J83" i="43" s="1"/>
  <c r="M82" i="43"/>
  <c r="N82" i="43"/>
  <c r="K82" i="43"/>
  <c r="J82" i="43"/>
  <c r="M81" i="43"/>
  <c r="N81" i="43" s="1"/>
  <c r="K81" i="43"/>
  <c r="J81" i="43" s="1"/>
  <c r="M78" i="43"/>
  <c r="N78" i="43"/>
  <c r="K78" i="43"/>
  <c r="J78" i="43"/>
  <c r="D78" i="43"/>
  <c r="M77" i="43"/>
  <c r="N77" i="43"/>
  <c r="K77" i="43"/>
  <c r="J77" i="43" s="1"/>
  <c r="D77" i="43"/>
  <c r="M76" i="43"/>
  <c r="N76" i="43"/>
  <c r="K76" i="43"/>
  <c r="J76" i="43"/>
  <c r="D76" i="43"/>
  <c r="M75" i="43"/>
  <c r="N75" i="43" s="1"/>
  <c r="K75" i="43"/>
  <c r="J75" i="43" s="1"/>
  <c r="D75" i="43"/>
  <c r="M74" i="43"/>
  <c r="N74" i="43" s="1"/>
  <c r="K74" i="43"/>
  <c r="J74" i="43"/>
  <c r="D74" i="43"/>
  <c r="M73" i="43"/>
  <c r="N73" i="43" s="1"/>
  <c r="K73" i="43"/>
  <c r="J73" i="43"/>
  <c r="D73" i="43"/>
  <c r="M72" i="43"/>
  <c r="N72" i="43"/>
  <c r="K72" i="43"/>
  <c r="J72" i="43"/>
  <c r="D72" i="43"/>
  <c r="M71" i="43"/>
  <c r="N71" i="43"/>
  <c r="K71" i="43"/>
  <c r="J71" i="43" s="1"/>
  <c r="D71" i="43"/>
  <c r="M70" i="43"/>
  <c r="N70" i="43"/>
  <c r="K70" i="43"/>
  <c r="J70" i="43"/>
  <c r="D70" i="43"/>
  <c r="M67" i="43"/>
  <c r="N67" i="43" s="1"/>
  <c r="K67" i="43"/>
  <c r="J67" i="43" s="1"/>
  <c r="M66" i="43"/>
  <c r="N66" i="43" s="1"/>
  <c r="K66" i="43"/>
  <c r="J66" i="43" s="1"/>
  <c r="M65" i="43"/>
  <c r="N65" i="43"/>
  <c r="K65" i="43"/>
  <c r="J65" i="43" s="1"/>
  <c r="M64" i="43"/>
  <c r="N64" i="43" s="1"/>
  <c r="K64" i="43"/>
  <c r="J64" i="43"/>
  <c r="M63" i="43"/>
  <c r="N63" i="43" s="1"/>
  <c r="K63" i="43"/>
  <c r="J63" i="43" s="1"/>
  <c r="M62" i="43"/>
  <c r="N62" i="43" s="1"/>
  <c r="K62" i="43"/>
  <c r="J62" i="43" s="1"/>
  <c r="M61" i="43"/>
  <c r="N61" i="43"/>
  <c r="K61" i="43"/>
  <c r="J61" i="43" s="1"/>
  <c r="M60" i="43"/>
  <c r="N60" i="43" s="1"/>
  <c r="K60" i="43"/>
  <c r="J60" i="43"/>
  <c r="M59" i="43"/>
  <c r="N59" i="43" s="1"/>
  <c r="K59" i="43"/>
  <c r="J59" i="43" s="1"/>
  <c r="M56" i="43"/>
  <c r="N56" i="43" s="1"/>
  <c r="K56" i="43"/>
  <c r="J56" i="43" s="1"/>
  <c r="D56" i="43"/>
  <c r="M55" i="43"/>
  <c r="N55" i="43"/>
  <c r="K55" i="43"/>
  <c r="J55" i="43"/>
  <c r="D55" i="43"/>
  <c r="M54" i="43"/>
  <c r="N54" i="43" s="1"/>
  <c r="K54" i="43"/>
  <c r="J54" i="43"/>
  <c r="D54" i="43"/>
  <c r="M53" i="43"/>
  <c r="N53" i="43"/>
  <c r="K53" i="43"/>
  <c r="J53" i="43"/>
  <c r="D53" i="43"/>
  <c r="M52" i="43"/>
  <c r="N52" i="43"/>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5" s="1"/>
  <c r="F15" i="4"/>
  <c r="F8" i="1"/>
  <c r="F9" i="1"/>
  <c r="F10" i="1"/>
  <c r="F11" i="1"/>
  <c r="F12" i="1"/>
  <c r="F13" i="1"/>
  <c r="D6" i="1"/>
  <c r="D9" i="1"/>
  <c r="D10" i="1"/>
  <c r="D11" i="1"/>
  <c r="D12" i="1"/>
  <c r="D13" i="1"/>
  <c r="D7" i="1"/>
  <c r="D8" i="1"/>
  <c r="A7" i="1"/>
  <c r="B7" i="1" s="1"/>
  <c r="E7" i="1" s="1"/>
  <c r="A8" i="1"/>
  <c r="B8" i="1"/>
  <c r="E8" i="1" s="1"/>
  <c r="A9" i="1"/>
  <c r="A10" i="1"/>
  <c r="K10" i="1" s="1"/>
  <c r="A11" i="1"/>
  <c r="B11" i="1" s="1"/>
  <c r="A12" i="1"/>
  <c r="A13" i="1"/>
  <c r="B13" i="1" s="1"/>
  <c r="E13" i="1" s="1"/>
  <c r="A6" i="1"/>
  <c r="E11"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A105" i="3" s="1"/>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G103" i="3" s="1"/>
  <c r="BT102" i="3"/>
  <c r="BS102" i="3"/>
  <c r="BL102" i="3" s="1"/>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A101" i="3" s="1"/>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A98" i="3" s="1"/>
  <c r="BD98" i="3"/>
  <c r="BC98" i="3"/>
  <c r="BB98" i="3"/>
  <c r="AX98" i="3"/>
  <c r="AW98" i="3"/>
  <c r="AV98" i="3"/>
  <c r="AC98" i="3"/>
  <c r="H98" i="3"/>
  <c r="G98" i="3" s="1"/>
  <c r="BT97" i="3"/>
  <c r="BS97" i="3"/>
  <c r="BR97" i="3"/>
  <c r="BQ97" i="3"/>
  <c r="BP97" i="3"/>
  <c r="BL97" i="3" s="1"/>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A95" i="3" s="1"/>
  <c r="AZ95" i="3" s="1"/>
  <c r="BD95" i="3"/>
  <c r="BC95" i="3"/>
  <c r="BB95" i="3"/>
  <c r="AX95" i="3"/>
  <c r="AW95" i="3"/>
  <c r="AV95" i="3"/>
  <c r="AC95" i="3"/>
  <c r="H95" i="3"/>
  <c r="G95" i="3" s="1"/>
  <c r="BT94" i="3"/>
  <c r="BS94" i="3"/>
  <c r="BR94" i="3"/>
  <c r="BQ94" i="3"/>
  <c r="BP94" i="3"/>
  <c r="BL94" i="3" s="1"/>
  <c r="BO94" i="3"/>
  <c r="BN94" i="3"/>
  <c r="BM94" i="3"/>
  <c r="BK94" i="3"/>
  <c r="BJ94" i="3"/>
  <c r="BI94" i="3"/>
  <c r="BH94" i="3"/>
  <c r="BG94" i="3"/>
  <c r="BF94" i="3"/>
  <c r="BE94" i="3"/>
  <c r="BD94" i="3"/>
  <c r="BA94" i="3" s="1"/>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A89" i="3" s="1"/>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L84" i="3" s="1"/>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A78" i="3" s="1"/>
  <c r="BD78" i="3"/>
  <c r="BC78" i="3"/>
  <c r="BB78" i="3"/>
  <c r="AX78" i="3"/>
  <c r="AW78" i="3"/>
  <c r="AV78" i="3"/>
  <c r="AC78" i="3"/>
  <c r="H78" i="3"/>
  <c r="G78" i="3" s="1"/>
  <c r="BT77" i="3"/>
  <c r="BS77" i="3"/>
  <c r="BR77" i="3"/>
  <c r="BQ77" i="3"/>
  <c r="BP77" i="3"/>
  <c r="BL77" i="3" s="1"/>
  <c r="BO77" i="3"/>
  <c r="BN77" i="3"/>
  <c r="BM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A75" i="3" s="1"/>
  <c r="BD75" i="3"/>
  <c r="BC75" i="3"/>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L70" i="3" s="1"/>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A68" i="3" s="1"/>
  <c r="AZ68" i="3" s="1"/>
  <c r="BD68" i="3"/>
  <c r="BC68" i="3"/>
  <c r="BB68" i="3"/>
  <c r="AX68" i="3"/>
  <c r="AW68" i="3"/>
  <c r="AV68" i="3"/>
  <c r="AC68" i="3"/>
  <c r="H68" i="3"/>
  <c r="G68" i="3" s="1"/>
  <c r="BT67" i="3"/>
  <c r="BS67" i="3"/>
  <c r="BR67" i="3"/>
  <c r="BQ67" i="3"/>
  <c r="BP67" i="3"/>
  <c r="BL67" i="3" s="1"/>
  <c r="BO67" i="3"/>
  <c r="BN67" i="3"/>
  <c r="BM67" i="3"/>
  <c r="BK67" i="3"/>
  <c r="BJ67" i="3"/>
  <c r="BI67" i="3"/>
  <c r="BH67" i="3"/>
  <c r="BG67" i="3"/>
  <c r="BF67" i="3"/>
  <c r="BE67" i="3"/>
  <c r="BD67" i="3"/>
  <c r="BA67" i="3" s="1"/>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L57" i="3" s="1"/>
  <c r="BO57" i="3"/>
  <c r="BN57" i="3"/>
  <c r="BM57" i="3"/>
  <c r="BK57" i="3"/>
  <c r="BJ57" i="3"/>
  <c r="BI57" i="3"/>
  <c r="BH57" i="3"/>
  <c r="BG57" i="3"/>
  <c r="BF57" i="3"/>
  <c r="BE57" i="3"/>
  <c r="BD57" i="3"/>
  <c r="BA57" i="3" s="1"/>
  <c r="AZ57" i="3" s="1"/>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L54" i="3" s="1"/>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A52" i="3" s="1"/>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A39" i="3" s="1"/>
  <c r="BD39" i="3"/>
  <c r="BC39" i="3"/>
  <c r="BB39" i="3"/>
  <c r="AX39" i="3"/>
  <c r="AW39" i="3"/>
  <c r="AV39" i="3"/>
  <c r="AC39" i="3"/>
  <c r="H39" i="3"/>
  <c r="BT38" i="3"/>
  <c r="BS38" i="3"/>
  <c r="BR38" i="3"/>
  <c r="BQ38" i="3"/>
  <c r="BP38" i="3"/>
  <c r="BO38" i="3"/>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L31" i="3" s="1"/>
  <c r="BO31" i="3"/>
  <c r="BN31" i="3"/>
  <c r="BM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A29" i="3" s="1"/>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A19" i="3" s="1"/>
  <c r="BD19" i="3"/>
  <c r="BC19" i="3"/>
  <c r="BB19" i="3"/>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A206" i="3" s="1"/>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A184" i="3" s="1"/>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L182" i="3" s="1"/>
  <c r="BO182" i="3"/>
  <c r="BN182" i="3"/>
  <c r="BM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A178" i="3" s="1"/>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A173" i="3" s="1"/>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A172" i="3" s="1"/>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L170" i="3" s="1"/>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G166" i="3" s="1"/>
  <c r="H166" i="3"/>
  <c r="BT165" i="3"/>
  <c r="BS165" i="3"/>
  <c r="BR165" i="3"/>
  <c r="BQ165" i="3"/>
  <c r="BP165" i="3"/>
  <c r="BL165" i="3" s="1"/>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A161" i="3" s="1"/>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L159" i="3" s="1"/>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A158" i="3" s="1"/>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L153" i="3" s="1"/>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A152" i="3" s="1"/>
  <c r="BD152" i="3"/>
  <c r="BC152" i="3"/>
  <c r="BB152" i="3"/>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A146" i="3" s="1"/>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A138" i="3" s="1"/>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L134" i="3" s="1"/>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L129" i="3" s="1"/>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A126" i="3" s="1"/>
  <c r="BF126" i="3"/>
  <c r="BE126" i="3"/>
  <c r="BD126" i="3"/>
  <c r="BC126" i="3"/>
  <c r="BB126" i="3"/>
  <c r="AX126" i="3"/>
  <c r="AW126" i="3"/>
  <c r="AV126" i="3"/>
  <c r="AC126" i="3"/>
  <c r="H126" i="3"/>
  <c r="G126" i="3" s="1"/>
  <c r="BT125" i="3"/>
  <c r="BS125" i="3"/>
  <c r="BR125" i="3"/>
  <c r="BL125" i="3" s="1"/>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A118" i="3" s="1"/>
  <c r="AZ118" i="3" s="1"/>
  <c r="BC118" i="3"/>
  <c r="BB118" i="3"/>
  <c r="AX118" i="3"/>
  <c r="AW118" i="3"/>
  <c r="AV118" i="3"/>
  <c r="AC118" i="3"/>
  <c r="H118" i="3"/>
  <c r="BT117" i="3"/>
  <c r="BS117" i="3"/>
  <c r="BR117" i="3"/>
  <c r="BQ117" i="3"/>
  <c r="BL117" i="3" s="1"/>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A288" i="3" s="1"/>
  <c r="BE288" i="3"/>
  <c r="BD288" i="3"/>
  <c r="BC288" i="3"/>
  <c r="BB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A275" i="3" s="1"/>
  <c r="BD275" i="3"/>
  <c r="BC275" i="3"/>
  <c r="BB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A265" i="3" s="1"/>
  <c r="BD265" i="3"/>
  <c r="BC265" i="3"/>
  <c r="BB265" i="3"/>
  <c r="AX265" i="3"/>
  <c r="AW265" i="3"/>
  <c r="AV265" i="3"/>
  <c r="AC265" i="3"/>
  <c r="G265" i="3" s="1"/>
  <c r="H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A255" i="3" s="1"/>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A245" i="3" s="1"/>
  <c r="BD245" i="3"/>
  <c r="BC245" i="3"/>
  <c r="BB245" i="3"/>
  <c r="AX245" i="3"/>
  <c r="AW245" i="3"/>
  <c r="AV245" i="3"/>
  <c r="AC245" i="3"/>
  <c r="G245" i="3" s="1"/>
  <c r="H245" i="3"/>
  <c r="BT244" i="3"/>
  <c r="BS244" i="3"/>
  <c r="BR244" i="3"/>
  <c r="BQ244" i="3"/>
  <c r="BP244" i="3"/>
  <c r="BO244" i="3"/>
  <c r="BL244" i="3" s="1"/>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A242" i="3" s="1"/>
  <c r="AZ242" i="3" s="1"/>
  <c r="BC242" i="3"/>
  <c r="BB242" i="3"/>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L237" i="3" s="1"/>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A235" i="3" s="1"/>
  <c r="BD235" i="3"/>
  <c r="BC235" i="3"/>
  <c r="BB235" i="3"/>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A232" i="3" s="1"/>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A231" i="3" s="1"/>
  <c r="AZ231" i="3" s="1"/>
  <c r="BD231" i="3"/>
  <c r="BC231" i="3"/>
  <c r="BB231" i="3"/>
  <c r="AX231" i="3"/>
  <c r="AW231" i="3"/>
  <c r="AV231" i="3"/>
  <c r="AC231" i="3"/>
  <c r="H231" i="3"/>
  <c r="G231" i="3"/>
  <c r="BT230" i="3"/>
  <c r="BS230" i="3"/>
  <c r="BR230" i="3"/>
  <c r="BQ230" i="3"/>
  <c r="BP230" i="3"/>
  <c r="BL230" i="3" s="1"/>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A228" i="3" s="1"/>
  <c r="AZ228" i="3" s="1"/>
  <c r="BE228" i="3"/>
  <c r="BD228" i="3"/>
  <c r="BC228" i="3"/>
  <c r="BB228" i="3"/>
  <c r="AX228" i="3"/>
  <c r="AW228" i="3"/>
  <c r="AV228" i="3"/>
  <c r="AC228" i="3"/>
  <c r="H228" i="3"/>
  <c r="G228" i="3"/>
  <c r="BT227" i="3"/>
  <c r="BS227" i="3"/>
  <c r="BR227" i="3"/>
  <c r="BQ227" i="3"/>
  <c r="BL227" i="3" s="1"/>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A225" i="3" s="1"/>
  <c r="AZ225" i="3" s="1"/>
  <c r="BE225" i="3"/>
  <c r="BD225" i="3"/>
  <c r="BC225" i="3"/>
  <c r="BB225" i="3"/>
  <c r="AX225" i="3"/>
  <c r="AW225" i="3"/>
  <c r="AV225" i="3"/>
  <c r="AC225" i="3"/>
  <c r="H225" i="3"/>
  <c r="G225" i="3"/>
  <c r="BT224" i="3"/>
  <c r="BS224" i="3"/>
  <c r="BR224" i="3"/>
  <c r="BQ224" i="3"/>
  <c r="BL224" i="3" s="1"/>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A222" i="3" s="1"/>
  <c r="BD222" i="3"/>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A219" i="3" s="1"/>
  <c r="AZ219" i="3" s="1"/>
  <c r="BD219" i="3"/>
  <c r="BC219" i="3"/>
  <c r="BB219" i="3"/>
  <c r="AX219" i="3"/>
  <c r="AW219" i="3"/>
  <c r="AV219" i="3"/>
  <c r="AC219" i="3"/>
  <c r="G219" i="3" s="1"/>
  <c r="H219" i="3"/>
  <c r="BT218" i="3"/>
  <c r="BS218" i="3"/>
  <c r="BR218" i="3"/>
  <c r="BQ218" i="3"/>
  <c r="BP218" i="3"/>
  <c r="BL218" i="3" s="1"/>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A216" i="3" s="1"/>
  <c r="BD216" i="3"/>
  <c r="BC216" i="3"/>
  <c r="BB216" i="3"/>
  <c r="AX216" i="3"/>
  <c r="AW216" i="3"/>
  <c r="AV216" i="3"/>
  <c r="AC216" i="3"/>
  <c r="G216" i="3" s="1"/>
  <c r="H216" i="3"/>
  <c r="BT215" i="3"/>
  <c r="BS215" i="3"/>
  <c r="BR215" i="3"/>
  <c r="BQ215" i="3"/>
  <c r="BP215" i="3"/>
  <c r="BL215" i="3" s="1"/>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H397" i="3"/>
  <c r="G397" i="3" s="1"/>
  <c r="BT396" i="3"/>
  <c r="BS396" i="3"/>
  <c r="BR396" i="3"/>
  <c r="BQ396" i="3"/>
  <c r="BP396" i="3"/>
  <c r="BO396" i="3"/>
  <c r="BL396" i="3" s="1"/>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L375" i="3" s="1"/>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A454" i="3" s="1"/>
  <c r="AZ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c r="C53" i="40"/>
  <c r="H52" i="40"/>
  <c r="I52" i="40"/>
  <c r="C52" i="40" s="1"/>
  <c r="H65" i="39"/>
  <c r="I65" i="39" s="1"/>
  <c r="C65" i="39" s="1"/>
  <c r="H64" i="39"/>
  <c r="I64" i="39"/>
  <c r="C64" i="39" s="1"/>
  <c r="H60" i="39"/>
  <c r="I60" i="39" s="1"/>
  <c r="C60" i="39" s="1"/>
  <c r="H59" i="39"/>
  <c r="I59" i="39" s="1"/>
  <c r="C59" i="39" s="1"/>
  <c r="H58" i="39"/>
  <c r="I58" i="39" s="1"/>
  <c r="C58" i="39" s="1"/>
  <c r="H57" i="39"/>
  <c r="I57" i="39" s="1"/>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c r="R268" i="31"/>
  <c r="R269" i="31"/>
  <c r="S269" i="31"/>
  <c r="R270" i="31"/>
  <c r="R271" i="31"/>
  <c r="S271" i="31" s="1"/>
  <c r="R272" i="31"/>
  <c r="R273" i="31"/>
  <c r="S273" i="31"/>
  <c r="R274" i="31"/>
  <c r="R275" i="31"/>
  <c r="S275" i="31" s="1"/>
  <c r="R276" i="31"/>
  <c r="R277" i="31"/>
  <c r="S277" i="31" s="1"/>
  <c r="R278" i="31"/>
  <c r="R279" i="31"/>
  <c r="S279" i="31" s="1"/>
  <c r="R280" i="31"/>
  <c r="R281" i="31"/>
  <c r="S281" i="31" s="1"/>
  <c r="R282" i="31"/>
  <c r="R283" i="31"/>
  <c r="S283" i="31"/>
  <c r="R284" i="31"/>
  <c r="R285" i="31"/>
  <c r="S285" i="31"/>
  <c r="R286" i="31"/>
  <c r="R287" i="31"/>
  <c r="S287" i="31" s="1"/>
  <c r="R288" i="31"/>
  <c r="R289" i="31"/>
  <c r="S289" i="31"/>
  <c r="R290" i="31"/>
  <c r="R291" i="31"/>
  <c r="S291" i="31" s="1"/>
  <c r="R292" i="31"/>
  <c r="R293" i="31"/>
  <c r="S293" i="31" s="1"/>
  <c r="R294" i="31"/>
  <c r="R295" i="31"/>
  <c r="S295" i="31" s="1"/>
  <c r="R296" i="31"/>
  <c r="R297" i="31"/>
  <c r="S297" i="31" s="1"/>
  <c r="R298" i="31"/>
  <c r="R299" i="31"/>
  <c r="S299" i="31"/>
  <c r="R300" i="31"/>
  <c r="R301" i="31"/>
  <c r="S301" i="31"/>
  <c r="R302" i="31"/>
  <c r="R303" i="31"/>
  <c r="S303" i="31" s="1"/>
  <c r="R304" i="31"/>
  <c r="R305" i="31"/>
  <c r="S305" i="31"/>
  <c r="R306" i="31"/>
  <c r="R307" i="31"/>
  <c r="S307" i="31" s="1"/>
  <c r="R308" i="31"/>
  <c r="R309" i="31"/>
  <c r="S309" i="31" s="1"/>
  <c r="R310" i="31"/>
  <c r="R311" i="31"/>
  <c r="S311" i="31" s="1"/>
  <c r="R312" i="31"/>
  <c r="R313" i="31"/>
  <c r="S313" i="31" s="1"/>
  <c r="R314" i="31"/>
  <c r="R315" i="31"/>
  <c r="S315" i="31"/>
  <c r="R316" i="31"/>
  <c r="R317" i="31"/>
  <c r="S317" i="31"/>
  <c r="R318" i="31"/>
  <c r="R319" i="31"/>
  <c r="S319" i="31" s="1"/>
  <c r="R320" i="31"/>
  <c r="R321" i="31"/>
  <c r="S321" i="31"/>
  <c r="R322" i="31"/>
  <c r="R323" i="31"/>
  <c r="S323" i="31" s="1"/>
  <c r="R324" i="31"/>
  <c r="R325" i="31"/>
  <c r="S325" i="31" s="1"/>
  <c r="R326" i="31"/>
  <c r="R327" i="31"/>
  <c r="S327" i="31" s="1"/>
  <c r="R328" i="31"/>
  <c r="R329" i="31"/>
  <c r="S329" i="31" s="1"/>
  <c r="R330" i="31"/>
  <c r="R331" i="31"/>
  <c r="S331" i="31"/>
  <c r="R332" i="31"/>
  <c r="R333" i="31"/>
  <c r="S333" i="31"/>
  <c r="R334" i="31"/>
  <c r="R335" i="31"/>
  <c r="S335" i="31" s="1"/>
  <c r="R336" i="31"/>
  <c r="R337" i="31"/>
  <c r="S337" i="31"/>
  <c r="R338" i="31"/>
  <c r="R339" i="31"/>
  <c r="S339" i="31" s="1"/>
  <c r="R340" i="31"/>
  <c r="R341" i="31"/>
  <c r="S341" i="31" s="1"/>
  <c r="R342" i="31"/>
  <c r="R343" i="31"/>
  <c r="S343" i="31" s="1"/>
  <c r="R344" i="31"/>
  <c r="R345" i="31"/>
  <c r="S345" i="31" s="1"/>
  <c r="R346" i="31"/>
  <c r="R347" i="31"/>
  <c r="S347" i="31"/>
  <c r="R348" i="31"/>
  <c r="R349" i="31"/>
  <c r="S349" i="31"/>
  <c r="R350" i="31"/>
  <c r="R351" i="31"/>
  <c r="S351" i="31" s="1"/>
  <c r="R352" i="31"/>
  <c r="R353" i="31"/>
  <c r="S353" i="31"/>
  <c r="R354" i="31"/>
  <c r="R355" i="31"/>
  <c r="S355" i="31" s="1"/>
  <c r="R356" i="31"/>
  <c r="R357" i="31"/>
  <c r="S357" i="31" s="1"/>
  <c r="R358" i="31"/>
  <c r="R359" i="31"/>
  <c r="S359" i="31" s="1"/>
  <c r="R360" i="31"/>
  <c r="R361" i="31"/>
  <c r="S361" i="31" s="1"/>
  <c r="R362" i="31"/>
  <c r="R363" i="31"/>
  <c r="S363" i="31"/>
  <c r="R364" i="31"/>
  <c r="R365" i="31"/>
  <c r="S365" i="31"/>
  <c r="R366" i="31"/>
  <c r="R367" i="31"/>
  <c r="S367" i="31" s="1"/>
  <c r="R368" i="31"/>
  <c r="R369" i="31"/>
  <c r="S369" i="31"/>
  <c r="R370" i="31"/>
  <c r="R371" i="31"/>
  <c r="S371" i="31" s="1"/>
  <c r="R372" i="31"/>
  <c r="R373" i="31"/>
  <c r="S373" i="31" s="1"/>
  <c r="R374" i="31"/>
  <c r="R375" i="31"/>
  <c r="S375" i="31" s="1"/>
  <c r="R376" i="31"/>
  <c r="R377" i="31"/>
  <c r="S377" i="31" s="1"/>
  <c r="R378" i="31"/>
  <c r="R379" i="31"/>
  <c r="S379" i="31"/>
  <c r="R380" i="31"/>
  <c r="R381" i="31"/>
  <c r="S381" i="31"/>
  <c r="R382" i="31"/>
  <c r="R383" i="31"/>
  <c r="S383" i="31" s="1"/>
  <c r="R384" i="31"/>
  <c r="R385" i="31"/>
  <c r="S385" i="31"/>
  <c r="R386" i="31"/>
  <c r="R387" i="31"/>
  <c r="S387" i="31" s="1"/>
  <c r="R388" i="31"/>
  <c r="R389" i="31"/>
  <c r="S389" i="31" s="1"/>
  <c r="R390" i="31"/>
  <c r="R391" i="31"/>
  <c r="S391" i="31" s="1"/>
  <c r="R392" i="31"/>
  <c r="R393" i="31"/>
  <c r="S393" i="31" s="1"/>
  <c r="R394" i="31"/>
  <c r="R395" i="31"/>
  <c r="S395" i="31"/>
  <c r="R396" i="31"/>
  <c r="R397" i="31"/>
  <c r="S397" i="31"/>
  <c r="R398" i="31"/>
  <c r="R399" i="31"/>
  <c r="S399" i="31" s="1"/>
  <c r="R400" i="31"/>
  <c r="R401" i="31"/>
  <c r="S401" i="31"/>
  <c r="R402" i="31"/>
  <c r="R403" i="31"/>
  <c r="S403" i="31" s="1"/>
  <c r="R404" i="31"/>
  <c r="R405" i="31"/>
  <c r="S405" i="31" s="1"/>
  <c r="R406" i="31"/>
  <c r="R407" i="31"/>
  <c r="S407" i="31" s="1"/>
  <c r="R408" i="31"/>
  <c r="R409" i="31"/>
  <c r="S409" i="31" s="1"/>
  <c r="R410" i="31"/>
  <c r="R411" i="31"/>
  <c r="S411" i="31"/>
  <c r="R412" i="31"/>
  <c r="R413" i="31"/>
  <c r="S413" i="3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C10" i="39" s="1"/>
  <c r="D15" i="4"/>
  <c r="F7" i="1"/>
  <c r="G7" i="1" s="1"/>
  <c r="L21" i="4"/>
  <c r="F19" i="4"/>
  <c r="F2" i="52"/>
  <c r="B50" i="72"/>
  <c r="D2" i="52"/>
  <c r="B46" i="72"/>
  <c r="B8" i="53"/>
  <c r="B23" i="72" s="1"/>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s="1"/>
  <c r="O53" i="9" s="1"/>
  <c r="D89" i="9"/>
  <c r="C89" i="9" s="1"/>
  <c r="C87" i="9" s="1"/>
  <c r="G12" i="1"/>
  <c r="J55" i="9"/>
  <c r="B31" i="1"/>
  <c r="E19" i="69" s="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c r="G55" i="34"/>
  <c r="H55" i="34" s="1"/>
  <c r="E55" i="34"/>
  <c r="F55" i="34" s="1"/>
  <c r="I48" i="40"/>
  <c r="J48" i="40"/>
  <c r="G48" i="40"/>
  <c r="H48" i="40"/>
  <c r="E48" i="40"/>
  <c r="F48" i="40"/>
  <c r="I53" i="39"/>
  <c r="J53" i="39" s="1"/>
  <c r="G53" i="39"/>
  <c r="H53" i="39" s="1"/>
  <c r="E53" i="39"/>
  <c r="F53" i="39" s="1"/>
  <c r="I42" i="36"/>
  <c r="J42" i="36"/>
  <c r="G42" i="36"/>
  <c r="H42" i="36"/>
  <c r="E42" i="36"/>
  <c r="F42" i="36" s="1"/>
  <c r="I44" i="35"/>
  <c r="J44" i="35"/>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A551" i="3" s="1"/>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L553" i="3" s="1"/>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R5" i="3" s="1"/>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A567" i="3" s="1"/>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BL568" i="3" s="1"/>
  <c r="H569" i="3"/>
  <c r="AC569" i="3"/>
  <c r="BB569" i="3"/>
  <c r="BC569" i="3"/>
  <c r="BD569" i="3"/>
  <c r="BE569" i="3"/>
  <c r="BF569" i="3"/>
  <c r="BG569" i="3"/>
  <c r="BA569" i="3" s="1"/>
  <c r="BH569" i="3"/>
  <c r="BI569" i="3"/>
  <c r="BJ569" i="3"/>
  <c r="BK569" i="3"/>
  <c r="BM569" i="3"/>
  <c r="BN569" i="3"/>
  <c r="BO569" i="3"/>
  <c r="BP569" i="3"/>
  <c r="BL569" i="3" s="1"/>
  <c r="BR569" i="3"/>
  <c r="BS569" i="3"/>
  <c r="BT569" i="3"/>
  <c r="H570" i="3"/>
  <c r="AC570" i="3"/>
  <c r="BB570" i="3"/>
  <c r="BC570" i="3"/>
  <c r="BD570" i="3"/>
  <c r="BA570" i="3" s="1"/>
  <c r="AZ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A571" i="3" s="1"/>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L573" i="3" s="1"/>
  <c r="BT573" i="3"/>
  <c r="H574" i="3"/>
  <c r="AC574" i="3"/>
  <c r="G574" i="3" s="1"/>
  <c r="BB574" i="3"/>
  <c r="BC574" i="3"/>
  <c r="BD574" i="3"/>
  <c r="BE574" i="3"/>
  <c r="BF574" i="3"/>
  <c r="BA574" i="3" s="1"/>
  <c r="BG574" i="3"/>
  <c r="BH574" i="3"/>
  <c r="BI574" i="3"/>
  <c r="BJ574" i="3"/>
  <c r="BK574" i="3"/>
  <c r="BM574" i="3"/>
  <c r="BN574" i="3"/>
  <c r="BO574" i="3"/>
  <c r="BL574" i="3" s="1"/>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BL575" i="3" s="1"/>
  <c r="H576" i="3"/>
  <c r="AC576" i="3"/>
  <c r="BB576" i="3"/>
  <c r="BC576" i="3"/>
  <c r="BD576" i="3"/>
  <c r="BE576" i="3"/>
  <c r="BF576" i="3"/>
  <c r="BG576" i="3"/>
  <c r="BA576" i="3" s="1"/>
  <c r="BH576" i="3"/>
  <c r="BI576" i="3"/>
  <c r="BJ576" i="3"/>
  <c r="BK576" i="3"/>
  <c r="BM576" i="3"/>
  <c r="BN576" i="3"/>
  <c r="BO576" i="3"/>
  <c r="BP576" i="3"/>
  <c r="BL576" i="3" s="1"/>
  <c r="BQ576" i="3"/>
  <c r="BR576" i="3"/>
  <c r="BS576" i="3"/>
  <c r="BT576" i="3"/>
  <c r="H577" i="3"/>
  <c r="AC577" i="3"/>
  <c r="BB577" i="3"/>
  <c r="BC577" i="3"/>
  <c r="BA577" i="3" s="1"/>
  <c r="AZ577" i="3" s="1"/>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c r="C26" i="35"/>
  <c r="C79" i="35"/>
  <c r="J31" i="35"/>
  <c r="W31" i="35" s="1"/>
  <c r="H31" i="35"/>
  <c r="F31" i="35"/>
  <c r="D87" i="35"/>
  <c r="E87" i="35"/>
  <c r="F87" i="35"/>
  <c r="G87" i="35"/>
  <c r="H87" i="35"/>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c r="G112" i="34" s="1"/>
  <c r="H112" i="34" s="1"/>
  <c r="I112" i="34"/>
  <c r="J112" i="34" s="1"/>
  <c r="K112" i="34" s="1"/>
  <c r="L112" i="34" s="1"/>
  <c r="M112" i="34" s="1"/>
  <c r="F40" i="33"/>
  <c r="AA40" i="33" s="1"/>
  <c r="J41" i="33"/>
  <c r="D113" i="33"/>
  <c r="F37" i="33"/>
  <c r="D111" i="33"/>
  <c r="E111" i="33"/>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c r="B116" i="40"/>
  <c r="H38" i="40" s="1"/>
  <c r="F38" i="40"/>
  <c r="AA38" i="40" s="1"/>
  <c r="D115" i="40"/>
  <c r="E115" i="40"/>
  <c r="F115" i="40"/>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D96" i="40"/>
  <c r="E96" i="40" s="1"/>
  <c r="F96" i="40" s="1"/>
  <c r="G96" i="40"/>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c r="G84" i="40"/>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Q39" i="40"/>
  <c r="Z39" i="40"/>
  <c r="H39" i="40"/>
  <c r="U39" i="40"/>
  <c r="Q38" i="40"/>
  <c r="Z38" i="40"/>
  <c r="J38" i="40"/>
  <c r="AC38" i="40" s="1"/>
  <c r="AB38" i="40"/>
  <c r="Q37" i="40"/>
  <c r="Z37" i="40" s="1"/>
  <c r="Q36" i="40"/>
  <c r="Z36" i="40" s="1"/>
  <c r="Q35" i="40"/>
  <c r="Z35" i="40" s="1"/>
  <c r="Q34" i="40"/>
  <c r="Z34" i="40"/>
  <c r="J34" i="40"/>
  <c r="AC34" i="40"/>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c r="Q15" i="40"/>
  <c r="Z15" i="40" s="1"/>
  <c r="Q14" i="40"/>
  <c r="Z14" i="40" s="1"/>
  <c r="Q13" i="40"/>
  <c r="Z13" i="40"/>
  <c r="Q12" i="40"/>
  <c r="Z12" i="40" s="1"/>
  <c r="Q11" i="40"/>
  <c r="Z11" i="40" s="1"/>
  <c r="Q10" i="40"/>
  <c r="Z10" i="40" s="1"/>
  <c r="Q9" i="40"/>
  <c r="Z9" i="40"/>
  <c r="J9" i="40"/>
  <c r="W9" i="40" s="1"/>
  <c r="H9" i="40"/>
  <c r="AB9" i="40"/>
  <c r="F9" i="40"/>
  <c r="S9" i="40" s="1"/>
  <c r="J8" i="40"/>
  <c r="AC8" i="40"/>
  <c r="H8" i="40"/>
  <c r="AB8" i="40"/>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s="1"/>
  <c r="Q43" i="39"/>
  <c r="Z43" i="39" s="1"/>
  <c r="Q44" i="39"/>
  <c r="Z44" i="39"/>
  <c r="Q45" i="39"/>
  <c r="Z45" i="39"/>
  <c r="Q38" i="39"/>
  <c r="Z38" i="39" s="1"/>
  <c r="Q36" i="39"/>
  <c r="Z36" i="39" s="1"/>
  <c r="Q37" i="39"/>
  <c r="Z37" i="39" s="1"/>
  <c r="B131" i="39"/>
  <c r="H45" i="39"/>
  <c r="B129" i="39"/>
  <c r="F44" i="39" s="1"/>
  <c r="AA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c r="AC39" i="37" s="1"/>
  <c r="B108" i="37"/>
  <c r="C23" i="37"/>
  <c r="C19" i="37"/>
  <c r="C17" i="37"/>
  <c r="C15" i="37"/>
  <c r="B112" i="37"/>
  <c r="D107" i="37"/>
  <c r="E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c r="D71" i="37"/>
  <c r="H15" i="37"/>
  <c r="AB15" i="37" s="1"/>
  <c r="B68" i="37"/>
  <c r="H14" i="37" s="1"/>
  <c r="AB14" i="37" s="1"/>
  <c r="B66" i="37"/>
  <c r="B64" i="37"/>
  <c r="J12" i="37" s="1"/>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c r="H30" i="37"/>
  <c r="AB30" i="37" s="1"/>
  <c r="F30" i="37"/>
  <c r="AA30" i="37"/>
  <c r="Q29" i="37"/>
  <c r="Z29" i="37" s="1"/>
  <c r="H29" i="37"/>
  <c r="AB29" i="37" s="1"/>
  <c r="Q28" i="37"/>
  <c r="Z28" i="37" s="1"/>
  <c r="Q27" i="37"/>
  <c r="Z27" i="37"/>
  <c r="Q26" i="37"/>
  <c r="Z26" i="37" s="1"/>
  <c r="Q25" i="37"/>
  <c r="Z25" i="37" s="1"/>
  <c r="J25" i="37"/>
  <c r="AC25" i="37"/>
  <c r="Q23" i="37"/>
  <c r="Z23" i="37" s="1"/>
  <c r="Q19" i="37"/>
  <c r="Z19" i="37" s="1"/>
  <c r="Q17" i="37"/>
  <c r="Z17" i="37"/>
  <c r="Q15" i="37"/>
  <c r="Z15" i="37" s="1"/>
  <c r="Q14" i="37"/>
  <c r="Z14" i="37"/>
  <c r="Q13" i="37"/>
  <c r="Z13" i="37" s="1"/>
  <c r="Q12" i="37"/>
  <c r="Z12" i="37"/>
  <c r="Q11" i="37"/>
  <c r="Z11" i="37" s="1"/>
  <c r="Q10" i="37"/>
  <c r="Z10" i="37" s="1"/>
  <c r="F10" i="37"/>
  <c r="AA10" i="37" s="1"/>
  <c r="Q9" i="37"/>
  <c r="Z9" i="37" s="1"/>
  <c r="J8" i="37"/>
  <c r="W8" i="37" s="1"/>
  <c r="H8" i="37"/>
  <c r="AB8" i="37"/>
  <c r="F8" i="37"/>
  <c r="S8" i="37" s="1"/>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c r="D68" i="36"/>
  <c r="E68" i="36" s="1"/>
  <c r="F68" i="36" s="1"/>
  <c r="G68" i="36" s="1"/>
  <c r="D64" i="36"/>
  <c r="E64" i="36" s="1"/>
  <c r="F64" i="36"/>
  <c r="G64" i="36"/>
  <c r="J16" i="36"/>
  <c r="W16" i="36" s="1"/>
  <c r="D62" i="36"/>
  <c r="E62" i="36"/>
  <c r="F62" i="36" s="1"/>
  <c r="G62" i="36" s="1"/>
  <c r="B59" i="36"/>
  <c r="B57" i="36"/>
  <c r="J12" i="36"/>
  <c r="B55" i="36"/>
  <c r="F54" i="36"/>
  <c r="G54" i="36" s="1"/>
  <c r="H54" i="36" s="1"/>
  <c r="I54" i="36" s="1"/>
  <c r="C51" i="36"/>
  <c r="F9" i="36" s="1"/>
  <c r="AA9" i="36" s="1"/>
  <c r="P37" i="36"/>
  <c r="P36" i="36"/>
  <c r="V35" i="36"/>
  <c r="T35" i="36"/>
  <c r="R35" i="36"/>
  <c r="P35" i="36"/>
  <c r="Q34" i="36"/>
  <c r="Z34" i="36"/>
  <c r="Q33" i="36"/>
  <c r="Z33" i="36"/>
  <c r="Q32" i="36"/>
  <c r="Z32" i="36"/>
  <c r="Q31" i="36"/>
  <c r="Z31" i="36" s="1"/>
  <c r="Q30" i="36"/>
  <c r="Z30" i="36"/>
  <c r="Q29" i="36"/>
  <c r="Z29" i="36" s="1"/>
  <c r="Q28" i="36"/>
  <c r="Z28" i="36" s="1"/>
  <c r="J28" i="36"/>
  <c r="AC28" i="36" s="1"/>
  <c r="Q27" i="36"/>
  <c r="Z27" i="36" s="1"/>
  <c r="Q26" i="36"/>
  <c r="Z26" i="36"/>
  <c r="H26" i="36"/>
  <c r="AB26" i="36" s="1"/>
  <c r="Q25" i="36"/>
  <c r="Z25" i="36" s="1"/>
  <c r="Q24" i="36"/>
  <c r="Z24" i="36"/>
  <c r="H24" i="36"/>
  <c r="AB24" i="36" s="1"/>
  <c r="Q23" i="36"/>
  <c r="Z23" i="36" s="1"/>
  <c r="J23" i="36"/>
  <c r="AC23" i="36" s="1"/>
  <c r="H23" i="36"/>
  <c r="AB23" i="36" s="1"/>
  <c r="F23" i="36"/>
  <c r="AA23" i="36" s="1"/>
  <c r="Q22" i="36"/>
  <c r="Z22" i="36"/>
  <c r="J22" i="36"/>
  <c r="AC22" i="36" s="1"/>
  <c r="Q20" i="36"/>
  <c r="Z20" i="36" s="1"/>
  <c r="Q16" i="36"/>
  <c r="Z16" i="36"/>
  <c r="Q14" i="36"/>
  <c r="Z14" i="36" s="1"/>
  <c r="Q13" i="36"/>
  <c r="Z13" i="36" s="1"/>
  <c r="Q12" i="36"/>
  <c r="Z12" i="36"/>
  <c r="H12" i="36"/>
  <c r="U12" i="36" s="1"/>
  <c r="Q11" i="36"/>
  <c r="Z11" i="36" s="1"/>
  <c r="Q10" i="36"/>
  <c r="Z10" i="36" s="1"/>
  <c r="F10" i="36"/>
  <c r="AA10" i="36" s="1"/>
  <c r="Q9" i="36"/>
  <c r="Z9" i="36"/>
  <c r="H9" i="36"/>
  <c r="AB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B99" i="35"/>
  <c r="B97" i="35"/>
  <c r="B77" i="35"/>
  <c r="B75" i="35"/>
  <c r="J24" i="35" s="1"/>
  <c r="AC24" i="35" s="1"/>
  <c r="B73" i="35"/>
  <c r="B57" i="35"/>
  <c r="B61" i="35"/>
  <c r="B59" i="35"/>
  <c r="F12" i="35" s="1"/>
  <c r="S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c r="F56" i="35"/>
  <c r="G56" i="35"/>
  <c r="H56" i="35"/>
  <c r="I56" i="35" s="1"/>
  <c r="C53" i="35"/>
  <c r="J9" i="35"/>
  <c r="P39" i="35"/>
  <c r="P38" i="35"/>
  <c r="V37" i="35"/>
  <c r="T37" i="35"/>
  <c r="R37" i="35"/>
  <c r="P37" i="35"/>
  <c r="Q36" i="35"/>
  <c r="Z36" i="35"/>
  <c r="AC36" i="35"/>
  <c r="Q35" i="35"/>
  <c r="Z35" i="35"/>
  <c r="Q34" i="35"/>
  <c r="Z34" i="35" s="1"/>
  <c r="Q33" i="35"/>
  <c r="Z33" i="35"/>
  <c r="Q32" i="35"/>
  <c r="Z32" i="35" s="1"/>
  <c r="H32" i="35"/>
  <c r="AB32" i="35" s="1"/>
  <c r="F32" i="35"/>
  <c r="AA32" i="35"/>
  <c r="Q31" i="35"/>
  <c r="Z31" i="35"/>
  <c r="AC31" i="35"/>
  <c r="AB31" i="35"/>
  <c r="AA31" i="35"/>
  <c r="Q30" i="35"/>
  <c r="Z30" i="35" s="1"/>
  <c r="Q29" i="35"/>
  <c r="Z29" i="35"/>
  <c r="Q28" i="35"/>
  <c r="Z28" i="35"/>
  <c r="J28" i="35"/>
  <c r="H28" i="35"/>
  <c r="AB28" i="35" s="1"/>
  <c r="F28" i="35"/>
  <c r="AA28" i="35"/>
  <c r="Q27" i="35"/>
  <c r="Z27" i="35" s="1"/>
  <c r="Q26" i="35"/>
  <c r="Z26" i="35" s="1"/>
  <c r="Q25" i="35"/>
  <c r="Z25" i="35" s="1"/>
  <c r="Q24" i="35"/>
  <c r="Z24" i="35" s="1"/>
  <c r="Q23" i="35"/>
  <c r="Z23" i="35" s="1"/>
  <c r="Q22" i="35"/>
  <c r="Z22" i="35" s="1"/>
  <c r="Q20" i="35"/>
  <c r="Z20" i="35" s="1"/>
  <c r="Q16" i="35"/>
  <c r="Z16" i="35"/>
  <c r="Q14" i="35"/>
  <c r="Z14" i="35" s="1"/>
  <c r="Q13" i="35"/>
  <c r="Z13" i="35" s="1"/>
  <c r="Q12" i="35"/>
  <c r="Z12" i="35"/>
  <c r="J12" i="35"/>
  <c r="W12" i="35" s="1"/>
  <c r="H12" i="35"/>
  <c r="U12" i="35"/>
  <c r="Q11" i="35"/>
  <c r="Z11" i="35" s="1"/>
  <c r="Q10" i="35"/>
  <c r="Z10" i="35" s="1"/>
  <c r="Q9" i="35"/>
  <c r="Z9" i="35"/>
  <c r="J8" i="35"/>
  <c r="W8" i="35" s="1"/>
  <c r="H8" i="35"/>
  <c r="AB8" i="35"/>
  <c r="F8" i="35"/>
  <c r="AA8" i="35" s="1"/>
  <c r="D120" i="34"/>
  <c r="E120" i="34" s="1"/>
  <c r="F120" i="34"/>
  <c r="G120" i="34" s="1"/>
  <c r="H120" i="34" s="1"/>
  <c r="I120" i="34" s="1"/>
  <c r="J120" i="34" s="1"/>
  <c r="K120" i="34"/>
  <c r="L120" i="34" s="1"/>
  <c r="M120" i="34" s="1"/>
  <c r="D90" i="34"/>
  <c r="E90" i="34" s="1"/>
  <c r="F90" i="34"/>
  <c r="G90" i="34"/>
  <c r="H90" i="34" s="1"/>
  <c r="I90" i="34" s="1"/>
  <c r="J90" i="34" s="1"/>
  <c r="K90" i="34" s="1"/>
  <c r="L90" i="34" s="1"/>
  <c r="M90" i="34" s="1"/>
  <c r="C15" i="34"/>
  <c r="F67" i="34"/>
  <c r="G67" i="34" s="1"/>
  <c r="D126" i="34"/>
  <c r="E126" i="34"/>
  <c r="F126" i="34" s="1"/>
  <c r="G126" i="34" s="1"/>
  <c r="D124" i="34"/>
  <c r="E124" i="34"/>
  <c r="F124" i="34"/>
  <c r="G124" i="34" s="1"/>
  <c r="H124" i="34" s="1"/>
  <c r="I124" i="34" s="1"/>
  <c r="J124" i="34" s="1"/>
  <c r="K124" i="34" s="1"/>
  <c r="L124" i="34" s="1"/>
  <c r="M124" i="34"/>
  <c r="H43" i="34"/>
  <c r="AB43" i="34"/>
  <c r="D118" i="34"/>
  <c r="E118" i="34" s="1"/>
  <c r="F118" i="34" s="1"/>
  <c r="G118" i="34" s="1"/>
  <c r="D116" i="34"/>
  <c r="E116" i="34"/>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c r="I88" i="34" s="1"/>
  <c r="J88" i="34" s="1"/>
  <c r="K88" i="34" s="1"/>
  <c r="L88" i="34" s="1"/>
  <c r="M88" i="34" s="1"/>
  <c r="D86" i="34"/>
  <c r="E86" i="34"/>
  <c r="F86" i="34" s="1"/>
  <c r="G86" i="34"/>
  <c r="D82" i="34"/>
  <c r="E82" i="34" s="1"/>
  <c r="F82" i="34"/>
  <c r="G82" i="34" s="1"/>
  <c r="D80" i="34"/>
  <c r="E80" i="34"/>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c r="Q43" i="34"/>
  <c r="Z43" i="34" s="1"/>
  <c r="Q42" i="34"/>
  <c r="Z42" i="34"/>
  <c r="Q41" i="34"/>
  <c r="Z41" i="34"/>
  <c r="Q40" i="34"/>
  <c r="Z40" i="34" s="1"/>
  <c r="Q39" i="34"/>
  <c r="Z39" i="34" s="1"/>
  <c r="H39" i="34"/>
  <c r="AB39" i="34" s="1"/>
  <c r="Q38" i="34"/>
  <c r="Z38" i="34"/>
  <c r="Q37" i="34"/>
  <c r="Z37" i="34" s="1"/>
  <c r="Q36" i="34"/>
  <c r="Z36" i="34" s="1"/>
  <c r="Q35" i="34"/>
  <c r="Z35" i="34" s="1"/>
  <c r="Q34" i="34"/>
  <c r="Z34" i="34"/>
  <c r="J34" i="34"/>
  <c r="AC34" i="34"/>
  <c r="H34" i="34"/>
  <c r="AB34" i="34" s="1"/>
  <c r="F34" i="34"/>
  <c r="AA34" i="34"/>
  <c r="Q33" i="34"/>
  <c r="Z33" i="34"/>
  <c r="Q32" i="34"/>
  <c r="Z32" i="34" s="1"/>
  <c r="Q31" i="34"/>
  <c r="Z31" i="34" s="1"/>
  <c r="Q30" i="34"/>
  <c r="Z30" i="34" s="1"/>
  <c r="Q29" i="34"/>
  <c r="Z29" i="34"/>
  <c r="Q28" i="34"/>
  <c r="Z28" i="34"/>
  <c r="Q27" i="34"/>
  <c r="Z27" i="34" s="1"/>
  <c r="Q25" i="34"/>
  <c r="Z25" i="34" s="1"/>
  <c r="Q23" i="34"/>
  <c r="Z23" i="34"/>
  <c r="C23" i="34"/>
  <c r="Q19" i="34"/>
  <c r="Z19" i="34"/>
  <c r="C19" i="34"/>
  <c r="Q17" i="34"/>
  <c r="Z17" i="34" s="1"/>
  <c r="C17" i="34"/>
  <c r="Q15" i="34"/>
  <c r="Z15" i="34" s="1"/>
  <c r="Q14" i="34"/>
  <c r="Z14" i="34"/>
  <c r="Q13" i="34"/>
  <c r="Z13" i="34"/>
  <c r="Q12" i="34"/>
  <c r="Z12" i="34" s="1"/>
  <c r="J12" i="34"/>
  <c r="W12" i="34"/>
  <c r="H12" i="34"/>
  <c r="F12" i="34"/>
  <c r="S12" i="34" s="1"/>
  <c r="Q11" i="34"/>
  <c r="Z11" i="34" s="1"/>
  <c r="Q10" i="34"/>
  <c r="Z10" i="34"/>
  <c r="F10" i="34"/>
  <c r="AA10" i="34"/>
  <c r="Q9" i="34"/>
  <c r="Z9" i="34" s="1"/>
  <c r="J9" i="34"/>
  <c r="AC9" i="34"/>
  <c r="F9" i="34"/>
  <c r="AA9" i="34" s="1"/>
  <c r="J8" i="34"/>
  <c r="AC8" i="34"/>
  <c r="H8" i="34"/>
  <c r="U8" i="34"/>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c r="G115" i="33" s="1"/>
  <c r="H115" i="33"/>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c r="D85" i="33"/>
  <c r="E85" i="33"/>
  <c r="D81" i="33"/>
  <c r="E81" i="33" s="1"/>
  <c r="D79" i="33"/>
  <c r="E79" i="33"/>
  <c r="D77" i="33"/>
  <c r="E77" i="33"/>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H54" i="33"/>
  <c r="F54" i="33"/>
  <c r="P49" i="33"/>
  <c r="P48" i="33"/>
  <c r="V47" i="33"/>
  <c r="T47" i="33"/>
  <c r="R47" i="33"/>
  <c r="P47" i="33"/>
  <c r="Q46" i="33"/>
  <c r="Z46" i="33" s="1"/>
  <c r="Q45" i="33"/>
  <c r="Z45" i="33"/>
  <c r="Q44" i="33"/>
  <c r="Z44" i="33" s="1"/>
  <c r="Q43" i="33"/>
  <c r="Z43" i="33"/>
  <c r="Q42" i="33"/>
  <c r="Z42" i="33" s="1"/>
  <c r="J42" i="33"/>
  <c r="AC42" i="33" s="1"/>
  <c r="AC41" i="33"/>
  <c r="W41" i="33"/>
  <c r="Q41" i="33"/>
  <c r="Z41" i="33"/>
  <c r="Q40" i="33"/>
  <c r="Z40" i="33" s="1"/>
  <c r="J40" i="33"/>
  <c r="AC40" i="33"/>
  <c r="H40" i="33"/>
  <c r="AB40" i="33" s="1"/>
  <c r="Q39" i="33"/>
  <c r="Z39" i="33" s="1"/>
  <c r="J39" i="33"/>
  <c r="AC39" i="33"/>
  <c r="Q38" i="33"/>
  <c r="Z38" i="33"/>
  <c r="J38" i="33"/>
  <c r="AC38" i="33" s="1"/>
  <c r="H38" i="33"/>
  <c r="AB38" i="33"/>
  <c r="F38" i="33"/>
  <c r="AA38" i="33"/>
  <c r="Q37" i="33"/>
  <c r="Z37" i="33"/>
  <c r="Q36" i="33"/>
  <c r="Z36" i="33" s="1"/>
  <c r="Q35" i="33"/>
  <c r="Z35" i="33" s="1"/>
  <c r="H35" i="33"/>
  <c r="AB35" i="33"/>
  <c r="Q34" i="33"/>
  <c r="Z34" i="33"/>
  <c r="Q33" i="33"/>
  <c r="Z33" i="33" s="1"/>
  <c r="J33" i="33"/>
  <c r="AC33" i="33" s="1"/>
  <c r="H33" i="33"/>
  <c r="AB33" i="33"/>
  <c r="F33" i="33"/>
  <c r="AA33" i="33" s="1"/>
  <c r="Q32" i="33"/>
  <c r="Z32" i="33" s="1"/>
  <c r="Q31" i="33"/>
  <c r="Z31" i="33"/>
  <c r="Q30" i="33"/>
  <c r="Z30" i="33"/>
  <c r="Q29" i="33"/>
  <c r="Z29" i="33" s="1"/>
  <c r="Q28" i="33"/>
  <c r="Z28" i="33" s="1"/>
  <c r="Q27" i="33"/>
  <c r="Z27" i="33"/>
  <c r="Q26" i="33"/>
  <c r="Z26" i="33"/>
  <c r="Q25" i="33"/>
  <c r="Z25" i="33"/>
  <c r="Q23" i="33"/>
  <c r="Z23" i="33" s="1"/>
  <c r="Q19" i="33"/>
  <c r="Z19" i="33"/>
  <c r="Q17" i="33"/>
  <c r="Z17" i="33"/>
  <c r="Q15" i="33"/>
  <c r="Z15" i="33" s="1"/>
  <c r="F15" i="33"/>
  <c r="AA15" i="33" s="1"/>
  <c r="Q14" i="33"/>
  <c r="Z14" i="33" s="1"/>
  <c r="Q13" i="33"/>
  <c r="Z13" i="33"/>
  <c r="Q12" i="33"/>
  <c r="Z12" i="33" s="1"/>
  <c r="H12" i="33"/>
  <c r="U12" i="33" s="1"/>
  <c r="Q11" i="33"/>
  <c r="Z11" i="33" s="1"/>
  <c r="Q10" i="33"/>
  <c r="Z10" i="33"/>
  <c r="Q9" i="33"/>
  <c r="Z9" i="33"/>
  <c r="J9" i="33"/>
  <c r="AC9" i="33" s="1"/>
  <c r="H9" i="33"/>
  <c r="AB9" i="33"/>
  <c r="J8" i="33"/>
  <c r="AC8" i="33" s="1"/>
  <c r="H8" i="33"/>
  <c r="AB8" i="33" s="1"/>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c r="C21" i="20"/>
  <c r="B74" i="43" s="1"/>
  <c r="C20" i="20"/>
  <c r="B77" i="43" s="1"/>
  <c r="C18" i="20"/>
  <c r="C17" i="20"/>
  <c r="B59" i="43"/>
  <c r="C16" i="20"/>
  <c r="C17" i="39" s="1"/>
  <c r="C15" i="20"/>
  <c r="B70" i="43" s="1"/>
  <c r="E54" i="21"/>
  <c r="F54" i="21"/>
  <c r="I54" i="21"/>
  <c r="J54" i="21"/>
  <c r="G54" i="21"/>
  <c r="H54" i="21" s="1"/>
  <c r="D125" i="21"/>
  <c r="E125" i="21"/>
  <c r="F125" i="21" s="1"/>
  <c r="G125" i="21" s="1"/>
  <c r="D123" i="21"/>
  <c r="E123" i="21"/>
  <c r="F123" i="21" s="1"/>
  <c r="G123" i="21" s="1"/>
  <c r="H123" i="21" s="1"/>
  <c r="I123" i="21" s="1"/>
  <c r="J123" i="21" s="1"/>
  <c r="F42" i="21"/>
  <c r="AA42" i="21"/>
  <c r="D119" i="21"/>
  <c r="F40" i="21"/>
  <c r="AA40" i="21" s="1"/>
  <c r="D117" i="21"/>
  <c r="E117" i="21"/>
  <c r="F117" i="21" s="1"/>
  <c r="G117" i="21" s="1"/>
  <c r="D115" i="21"/>
  <c r="E115" i="21"/>
  <c r="F115" i="21" s="1"/>
  <c r="G115" i="21" s="1"/>
  <c r="H115" i="21" s="1"/>
  <c r="I115" i="2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c r="J108" i="21" s="1"/>
  <c r="K108" i="21" s="1"/>
  <c r="L108" i="21" s="1"/>
  <c r="M108" i="21" s="1"/>
  <c r="D106" i="21"/>
  <c r="E106" i="21"/>
  <c r="F106" i="21" s="1"/>
  <c r="G106" i="21" s="1"/>
  <c r="H106" i="21"/>
  <c r="I106" i="21" s="1"/>
  <c r="J106" i="21" s="1"/>
  <c r="K106" i="21" s="1"/>
  <c r="L106" i="21" s="1"/>
  <c r="M106" i="21" s="1"/>
  <c r="D101" i="21"/>
  <c r="E101" i="21" s="1"/>
  <c r="F101" i="21" s="1"/>
  <c r="G101" i="21" s="1"/>
  <c r="H101" i="21" s="1"/>
  <c r="I101" i="21" s="1"/>
  <c r="J101" i="21" s="1"/>
  <c r="D89" i="21"/>
  <c r="E89" i="21"/>
  <c r="F89" i="2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s="1"/>
  <c r="B92" i="21"/>
  <c r="B90" i="21"/>
  <c r="B74" i="21"/>
  <c r="B72" i="21"/>
  <c r="H13" i="21"/>
  <c r="B70" i="21"/>
  <c r="J12" i="21" s="1"/>
  <c r="AC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A585" i="3" s="1"/>
  <c r="BI585" i="3"/>
  <c r="BJ585" i="3"/>
  <c r="BK585" i="3"/>
  <c r="BM585" i="3"/>
  <c r="BL585" i="3" s="1"/>
  <c r="BN585" i="3"/>
  <c r="BO585" i="3"/>
  <c r="BP585" i="3"/>
  <c r="BQ585" i="3"/>
  <c r="BR585" i="3"/>
  <c r="BS585" i="3"/>
  <c r="BT585" i="3"/>
  <c r="BB586" i="3"/>
  <c r="BC586" i="3"/>
  <c r="BD586" i="3"/>
  <c r="BA586" i="3" s="1"/>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L587" i="3" s="1"/>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c r="H43" i="21"/>
  <c r="AB43" i="21" s="1"/>
  <c r="F38" i="21"/>
  <c r="S38" i="21"/>
  <c r="F36" i="21"/>
  <c r="S36" i="21" s="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H12" i="21"/>
  <c r="AB12" i="21"/>
  <c r="J26" i="21"/>
  <c r="W26" i="21"/>
  <c r="F26" i="21"/>
  <c r="S26" i="21" s="1"/>
  <c r="AB41" i="21"/>
  <c r="S41" i="21"/>
  <c r="AA41" i="21"/>
  <c r="F45" i="39"/>
  <c r="S45" i="39" s="1"/>
  <c r="J45" i="39"/>
  <c r="W45" i="39"/>
  <c r="J44" i="39"/>
  <c r="AC44" i="39" s="1"/>
  <c r="F36" i="39"/>
  <c r="S36" i="39" s="1"/>
  <c r="H36" i="39"/>
  <c r="AB36" i="39" s="1"/>
  <c r="J35" i="39"/>
  <c r="AC35" i="39" s="1"/>
  <c r="F35" i="39"/>
  <c r="AA35" i="39" s="1"/>
  <c r="J36" i="39"/>
  <c r="AC36" i="39"/>
  <c r="W25" i="37"/>
  <c r="U30" i="37"/>
  <c r="W31" i="37"/>
  <c r="E103" i="37"/>
  <c r="F103" i="37" s="1"/>
  <c r="G103" i="37" s="1"/>
  <c r="H103" i="37" s="1"/>
  <c r="I103" i="37" s="1"/>
  <c r="J103" i="37" s="1"/>
  <c r="K103" i="37" s="1"/>
  <c r="L103" i="37" s="1"/>
  <c r="M103" i="37" s="1"/>
  <c r="F39" i="37"/>
  <c r="S39" i="37"/>
  <c r="U14" i="37"/>
  <c r="F29" i="36"/>
  <c r="AA29" i="36" s="1"/>
  <c r="F16" i="36"/>
  <c r="U9" i="36"/>
  <c r="W28" i="36"/>
  <c r="S30" i="36"/>
  <c r="AA31" i="36"/>
  <c r="AC31" i="36"/>
  <c r="W31" i="36"/>
  <c r="U31" i="36"/>
  <c r="J33" i="36"/>
  <c r="W33" i="36" s="1"/>
  <c r="H22" i="35"/>
  <c r="AB22" i="35"/>
  <c r="AC27" i="35"/>
  <c r="U31" i="35"/>
  <c r="W36" i="35"/>
  <c r="W22" i="35"/>
  <c r="S31" i="35"/>
  <c r="F36" i="34"/>
  <c r="J35" i="34"/>
  <c r="W9" i="34"/>
  <c r="S34" i="34"/>
  <c r="U34" i="34"/>
  <c r="H39" i="33"/>
  <c r="AB39" i="33"/>
  <c r="F26" i="33"/>
  <c r="AA26" i="33" s="1"/>
  <c r="S9" i="33"/>
  <c r="U33" i="33"/>
  <c r="U35" i="33"/>
  <c r="S40" i="33"/>
  <c r="W33" i="33"/>
  <c r="W39" i="33"/>
  <c r="H39" i="37"/>
  <c r="AB39" i="37" s="1"/>
  <c r="S27" i="35"/>
  <c r="F11" i="40"/>
  <c r="AA11" i="40" s="1"/>
  <c r="H11" i="40"/>
  <c r="AB11" i="40"/>
  <c r="W8" i="40"/>
  <c r="AB39" i="40"/>
  <c r="AC40" i="40"/>
  <c r="AA9" i="40"/>
  <c r="AC9" i="40"/>
  <c r="U9" i="40"/>
  <c r="S34" i="40"/>
  <c r="U38" i="40"/>
  <c r="W31" i="40"/>
  <c r="U34" i="40"/>
  <c r="S38"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AC17" i="39" s="1"/>
  <c r="J27" i="39"/>
  <c r="AC27" i="39" s="1"/>
  <c r="F27" i="39"/>
  <c r="F11" i="21"/>
  <c r="S11" i="21" s="1"/>
  <c r="S40" i="21"/>
  <c r="U34" i="21"/>
  <c r="S34" i="21"/>
  <c r="C25" i="39"/>
  <c r="C27" i="39"/>
  <c r="H11" i="39"/>
  <c r="AB11" i="39" s="1"/>
  <c r="C15" i="39"/>
  <c r="H32" i="33"/>
  <c r="AB32" i="33" s="1"/>
  <c r="H11" i="21"/>
  <c r="U11" i="21"/>
  <c r="J11" i="21"/>
  <c r="W11" i="21"/>
  <c r="H37" i="40"/>
  <c r="U37" i="40" s="1"/>
  <c r="H36" i="40"/>
  <c r="AB36" i="40" s="1"/>
  <c r="F35" i="40"/>
  <c r="AA35" i="40"/>
  <c r="H23" i="40"/>
  <c r="AB23" i="40"/>
  <c r="H17" i="40"/>
  <c r="U17" i="40" s="1"/>
  <c r="J15" i="40"/>
  <c r="W15" i="40" s="1"/>
  <c r="J11" i="40"/>
  <c r="W11" i="40"/>
  <c r="AB8" i="39"/>
  <c r="AB12" i="33"/>
  <c r="AC12" i="34"/>
  <c r="AA12" i="34"/>
  <c r="AB12" i="35"/>
  <c r="AB12" i="36"/>
  <c r="W32" i="40"/>
  <c r="S44" i="39"/>
  <c r="F37" i="39"/>
  <c r="AA37" i="39" s="1"/>
  <c r="J34" i="36"/>
  <c r="W34" i="36" s="1"/>
  <c r="U30" i="36"/>
  <c r="J30" i="35"/>
  <c r="W30" i="35"/>
  <c r="H30" i="35"/>
  <c r="AB30" i="35" s="1"/>
  <c r="F22" i="35"/>
  <c r="AA22" i="35"/>
  <c r="H10" i="35"/>
  <c r="U10" i="35"/>
  <c r="AC16" i="36"/>
  <c r="F33" i="36"/>
  <c r="AA33" i="36"/>
  <c r="W30" i="36"/>
  <c r="H16" i="36"/>
  <c r="AB16" i="36"/>
  <c r="E85" i="36"/>
  <c r="F85" i="36"/>
  <c r="G85" i="36" s="1"/>
  <c r="H85" i="36" s="1"/>
  <c r="I85" i="36" s="1"/>
  <c r="J85" i="36" s="1"/>
  <c r="K85" i="36" s="1"/>
  <c r="L85" i="36"/>
  <c r="M85" i="36" s="1"/>
  <c r="J29" i="36"/>
  <c r="AC29" i="36" s="1"/>
  <c r="F12" i="36"/>
  <c r="AA12" i="36" s="1"/>
  <c r="F24" i="36"/>
  <c r="AA24" i="36" s="1"/>
  <c r="F34" i="36"/>
  <c r="S34" i="36"/>
  <c r="S10" i="36"/>
  <c r="AB8" i="36"/>
  <c r="S8" i="36"/>
  <c r="U8" i="35"/>
  <c r="F14" i="35"/>
  <c r="AA14" i="35" s="1"/>
  <c r="J32" i="35"/>
  <c r="AC32" i="35"/>
  <c r="J16" i="35"/>
  <c r="AC16" i="35"/>
  <c r="H16" i="35"/>
  <c r="U16" i="35" s="1"/>
  <c r="F16" i="35"/>
  <c r="S16" i="35"/>
  <c r="H14" i="35"/>
  <c r="AB14" i="35"/>
  <c r="J29" i="35"/>
  <c r="H33" i="35"/>
  <c r="AB33" i="35"/>
  <c r="AC8" i="35"/>
  <c r="J20" i="35"/>
  <c r="W20" i="35"/>
  <c r="F35" i="37"/>
  <c r="S35" i="37"/>
  <c r="E101" i="37"/>
  <c r="F101" i="37"/>
  <c r="G101" i="37"/>
  <c r="H101" i="37" s="1"/>
  <c r="I101" i="37" s="1"/>
  <c r="J101" i="37"/>
  <c r="K101" i="37" s="1"/>
  <c r="L101" i="37" s="1"/>
  <c r="M101" i="37" s="1"/>
  <c r="J34" i="37"/>
  <c r="W34" i="37"/>
  <c r="S10" i="37"/>
  <c r="AA39" i="37"/>
  <c r="AB34" i="37"/>
  <c r="J33" i="37"/>
  <c r="AC33" i="37" s="1"/>
  <c r="U42" i="34"/>
  <c r="H40" i="34"/>
  <c r="U40" i="34"/>
  <c r="E114" i="34"/>
  <c r="H36" i="34"/>
  <c r="U36" i="34"/>
  <c r="F37" i="34"/>
  <c r="AA37" i="34" s="1"/>
  <c r="S35" i="34"/>
  <c r="F28" i="34"/>
  <c r="AA28" i="34"/>
  <c r="F27" i="34"/>
  <c r="AA27" i="34"/>
  <c r="F25" i="34"/>
  <c r="S25" i="34" s="1"/>
  <c r="H23" i="34"/>
  <c r="U23" i="34" s="1"/>
  <c r="J23" i="34"/>
  <c r="F19" i="34"/>
  <c r="H17" i="34"/>
  <c r="U17" i="34"/>
  <c r="F15" i="34"/>
  <c r="J15" i="34"/>
  <c r="H15" i="34"/>
  <c r="AB15" i="34" s="1"/>
  <c r="S9" i="34"/>
  <c r="W8" i="34"/>
  <c r="J28" i="34"/>
  <c r="W28" i="34"/>
  <c r="F41" i="33"/>
  <c r="AA41" i="33" s="1"/>
  <c r="S38" i="33"/>
  <c r="E113" i="33"/>
  <c r="F32" i="33"/>
  <c r="AA32" i="33"/>
  <c r="J19" i="33"/>
  <c r="AC19" i="33"/>
  <c r="J15" i="33"/>
  <c r="AC15" i="33" s="1"/>
  <c r="F11" i="33"/>
  <c r="AA11" i="33" s="1"/>
  <c r="S26" i="33"/>
  <c r="U40" i="33"/>
  <c r="W40" i="33"/>
  <c r="U8" i="33"/>
  <c r="S8" i="33"/>
  <c r="F37" i="40"/>
  <c r="AA37" i="40" s="1"/>
  <c r="F36" i="40"/>
  <c r="AA36" i="40"/>
  <c r="H28" i="40"/>
  <c r="U28" i="40" s="1"/>
  <c r="F23" i="40"/>
  <c r="AA23" i="40"/>
  <c r="F17" i="40"/>
  <c r="AA17" i="40" s="1"/>
  <c r="J17" i="40"/>
  <c r="W17" i="40"/>
  <c r="F15" i="40"/>
  <c r="S15" i="40" s="1"/>
  <c r="H15" i="40"/>
  <c r="AB15" i="40"/>
  <c r="AC11" i="40"/>
  <c r="S12" i="36"/>
  <c r="AB30" i="36"/>
  <c r="U33" i="35"/>
  <c r="F29" i="35"/>
  <c r="H29" i="35"/>
  <c r="AB29" i="35" s="1"/>
  <c r="H33" i="37"/>
  <c r="AB33" i="37"/>
  <c r="F33" i="37"/>
  <c r="AA33" i="37"/>
  <c r="U34" i="37"/>
  <c r="W33" i="37"/>
  <c r="J43" i="34"/>
  <c r="AB42" i="34"/>
  <c r="J40" i="34"/>
  <c r="F114" i="34"/>
  <c r="G114" i="34"/>
  <c r="H114" i="34" s="1"/>
  <c r="I114" i="34" s="1"/>
  <c r="J114" i="34" s="1"/>
  <c r="K114" i="34" s="1"/>
  <c r="L114" i="34" s="1"/>
  <c r="M114" i="34" s="1"/>
  <c r="H38" i="34"/>
  <c r="AB38" i="34"/>
  <c r="J36" i="34"/>
  <c r="W36" i="34" s="1"/>
  <c r="H37" i="34"/>
  <c r="U37" i="34"/>
  <c r="H25" i="34"/>
  <c r="AB25" i="34" s="1"/>
  <c r="J25" i="34"/>
  <c r="AC25" i="34"/>
  <c r="AB23" i="34"/>
  <c r="F23" i="34"/>
  <c r="AA23" i="34" s="1"/>
  <c r="J19" i="34"/>
  <c r="AC19" i="34"/>
  <c r="F17" i="34"/>
  <c r="AA17" i="34"/>
  <c r="J17" i="34"/>
  <c r="W17" i="34" s="1"/>
  <c r="AB17" i="34"/>
  <c r="F113" i="33"/>
  <c r="G113" i="33"/>
  <c r="H113" i="33"/>
  <c r="I113" i="33" s="1"/>
  <c r="J113" i="33" s="1"/>
  <c r="K113" i="33" s="1"/>
  <c r="L113" i="33" s="1"/>
  <c r="M113" i="33"/>
  <c r="H37" i="33"/>
  <c r="AB37" i="33"/>
  <c r="H15" i="33"/>
  <c r="AB15" i="33" s="1"/>
  <c r="H11" i="33"/>
  <c r="AB11" i="33" s="1"/>
  <c r="F28" i="40"/>
  <c r="AA28" i="40"/>
  <c r="AA42" i="34"/>
  <c r="S42" i="34"/>
  <c r="AC38" i="34"/>
  <c r="AA38" i="34"/>
  <c r="J37" i="34"/>
  <c r="AC37" i="34"/>
  <c r="J11" i="33"/>
  <c r="W11" i="33" s="1"/>
  <c r="S28" i="34"/>
  <c r="U23" i="40"/>
  <c r="K123" i="21"/>
  <c r="L123" i="21" s="1"/>
  <c r="M123" i="21" s="1"/>
  <c r="J42" i="21"/>
  <c r="AC42" i="21" s="1"/>
  <c r="H42" i="21"/>
  <c r="U42" i="21" s="1"/>
  <c r="J44" i="34"/>
  <c r="F44" i="34"/>
  <c r="AA44" i="34" s="1"/>
  <c r="J10" i="35"/>
  <c r="W10" i="35"/>
  <c r="J14" i="21"/>
  <c r="W14" i="21" s="1"/>
  <c r="F14" i="21"/>
  <c r="S14" i="21"/>
  <c r="H14" i="21"/>
  <c r="U14" i="21"/>
  <c r="H28" i="21"/>
  <c r="AB28" i="21" s="1"/>
  <c r="F28" i="21"/>
  <c r="AA28" i="21" s="1"/>
  <c r="J28" i="21"/>
  <c r="W28" i="21"/>
  <c r="H30" i="21"/>
  <c r="U30" i="21"/>
  <c r="F30" i="21"/>
  <c r="S30" i="21" s="1"/>
  <c r="J30" i="21"/>
  <c r="AC30" i="21" s="1"/>
  <c r="F44" i="21"/>
  <c r="AA44" i="21" s="1"/>
  <c r="H46" i="21"/>
  <c r="U46" i="21" s="1"/>
  <c r="J46" i="21"/>
  <c r="W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c r="F30" i="35"/>
  <c r="S30" i="35" s="1"/>
  <c r="E89" i="35"/>
  <c r="F89" i="35"/>
  <c r="G89" i="35" s="1"/>
  <c r="H89" i="35" s="1"/>
  <c r="I89" i="35" s="1"/>
  <c r="J89" i="35" s="1"/>
  <c r="K89" i="35"/>
  <c r="L89" i="35" s="1"/>
  <c r="M89" i="35" s="1"/>
  <c r="H10" i="36"/>
  <c r="AB10" i="36" s="1"/>
  <c r="J14" i="36"/>
  <c r="AC14" i="36" s="1"/>
  <c r="H14" i="36"/>
  <c r="U14" i="36"/>
  <c r="F28" i="36"/>
  <c r="AA28" i="36"/>
  <c r="J13" i="21"/>
  <c r="AC13" i="21" s="1"/>
  <c r="H29" i="21"/>
  <c r="U29" i="21"/>
  <c r="J31" i="21"/>
  <c r="AC31" i="21" s="1"/>
  <c r="F31" i="21"/>
  <c r="S31" i="21" s="1"/>
  <c r="F45" i="21"/>
  <c r="AA45" i="21"/>
  <c r="F27" i="33"/>
  <c r="AA27" i="33"/>
  <c r="J13" i="33"/>
  <c r="H13" i="33"/>
  <c r="U13" i="33" s="1"/>
  <c r="AB13" i="33"/>
  <c r="F13" i="33"/>
  <c r="S13" i="33"/>
  <c r="J29" i="33"/>
  <c r="H29" i="33"/>
  <c r="U29" i="33"/>
  <c r="F29" i="33"/>
  <c r="S29" i="33"/>
  <c r="J31" i="33"/>
  <c r="W31" i="33"/>
  <c r="H31" i="33"/>
  <c r="F31" i="33"/>
  <c r="J14" i="34"/>
  <c r="W14" i="34" s="1"/>
  <c r="F14" i="34"/>
  <c r="S14" i="34"/>
  <c r="H14" i="34"/>
  <c r="H30" i="34"/>
  <c r="F30" i="34"/>
  <c r="S30" i="34"/>
  <c r="J30" i="34"/>
  <c r="W30" i="34" s="1"/>
  <c r="F32" i="34"/>
  <c r="H46" i="34"/>
  <c r="U46" i="34"/>
  <c r="F46" i="34"/>
  <c r="J46" i="34"/>
  <c r="H11" i="35"/>
  <c r="U11" i="35"/>
  <c r="J11" i="35"/>
  <c r="AC11" i="35"/>
  <c r="F11" i="35"/>
  <c r="S11" i="35"/>
  <c r="J26" i="36"/>
  <c r="W26" i="36" s="1"/>
  <c r="H28" i="36"/>
  <c r="U28" i="36"/>
  <c r="H32" i="36"/>
  <c r="AB32" i="36"/>
  <c r="J32" i="36"/>
  <c r="W32" i="36"/>
  <c r="J11" i="36"/>
  <c r="AC11" i="36" s="1"/>
  <c r="H11" i="36"/>
  <c r="AB11" i="36" s="1"/>
  <c r="U11" i="36"/>
  <c r="F11" i="36"/>
  <c r="AA11" i="36"/>
  <c r="H13" i="36"/>
  <c r="AB13" i="36"/>
  <c r="J13" i="36"/>
  <c r="F13" i="36"/>
  <c r="S13" i="36"/>
  <c r="E89" i="37"/>
  <c r="F89" i="37" s="1"/>
  <c r="G89" i="37" s="1"/>
  <c r="H89" i="37" s="1"/>
  <c r="I89" i="37"/>
  <c r="J89" i="37" s="1"/>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AA14" i="33" s="1"/>
  <c r="S14" i="33"/>
  <c r="J14" i="33"/>
  <c r="H30" i="33"/>
  <c r="AB30" i="33" s="1"/>
  <c r="F30" i="33"/>
  <c r="AA30" i="33" s="1"/>
  <c r="J30" i="33"/>
  <c r="H44" i="33"/>
  <c r="J44" i="33"/>
  <c r="AC44" i="33"/>
  <c r="F44" i="33"/>
  <c r="S44" i="33" s="1"/>
  <c r="J46" i="33"/>
  <c r="AC46" i="33"/>
  <c r="F46" i="33"/>
  <c r="H46" i="33"/>
  <c r="AB46" i="33"/>
  <c r="H13" i="34"/>
  <c r="U13" i="34" s="1"/>
  <c r="J13" i="34"/>
  <c r="W13" i="34"/>
  <c r="F13" i="34"/>
  <c r="AA13" i="34" s="1"/>
  <c r="J29" i="34"/>
  <c r="F29" i="34"/>
  <c r="H29" i="34"/>
  <c r="AB29" i="34" s="1"/>
  <c r="J31" i="34"/>
  <c r="AC31" i="34" s="1"/>
  <c r="H31" i="34"/>
  <c r="AB31" i="34"/>
  <c r="F31" i="34"/>
  <c r="S31" i="34" s="1"/>
  <c r="H45" i="34"/>
  <c r="U45" i="34" s="1"/>
  <c r="J45" i="34"/>
  <c r="F45" i="34"/>
  <c r="S45" i="34"/>
  <c r="H47" i="34"/>
  <c r="U47" i="34" s="1"/>
  <c r="F47" i="34"/>
  <c r="S47" i="34" s="1"/>
  <c r="J47" i="34"/>
  <c r="AC47" i="34" s="1"/>
  <c r="F13" i="35"/>
  <c r="S13" i="35"/>
  <c r="J13" i="35"/>
  <c r="AC13" i="35" s="1"/>
  <c r="H13" i="35"/>
  <c r="U13" i="35" s="1"/>
  <c r="J25" i="35"/>
  <c r="W25" i="35"/>
  <c r="F25" i="35"/>
  <c r="S25" i="35"/>
  <c r="H25" i="35"/>
  <c r="AB25" i="35" s="1"/>
  <c r="J35" i="35"/>
  <c r="AC35" i="35" s="1"/>
  <c r="F35" i="35"/>
  <c r="AA35" i="35" s="1"/>
  <c r="H35" i="35"/>
  <c r="AB35" i="35"/>
  <c r="J25" i="36"/>
  <c r="W25" i="36" s="1"/>
  <c r="F25" i="36"/>
  <c r="S25" i="36" s="1"/>
  <c r="H25" i="36"/>
  <c r="H13" i="37"/>
  <c r="AB13" i="37"/>
  <c r="F13" i="37"/>
  <c r="S13" i="37" s="1"/>
  <c r="J13" i="37"/>
  <c r="W13" i="37" s="1"/>
  <c r="F28" i="37"/>
  <c r="AA28" i="37" s="1"/>
  <c r="J28" i="37"/>
  <c r="AC28" i="37"/>
  <c r="H28" i="37"/>
  <c r="H38" i="37"/>
  <c r="AB38" i="37" s="1"/>
  <c r="J38" i="37"/>
  <c r="AC38" i="37"/>
  <c r="F38" i="37"/>
  <c r="S38" i="37"/>
  <c r="F43" i="39"/>
  <c r="H43" i="39"/>
  <c r="J14" i="39"/>
  <c r="AC14" i="39" s="1"/>
  <c r="F14" i="39"/>
  <c r="H14" i="39"/>
  <c r="AB14" i="39" s="1"/>
  <c r="F12" i="40"/>
  <c r="S12" i="40" s="1"/>
  <c r="H12" i="40"/>
  <c r="AB12" i="40" s="1"/>
  <c r="H30" i="40"/>
  <c r="AB30" i="40"/>
  <c r="F33" i="40"/>
  <c r="AA33" i="40"/>
  <c r="H33" i="40"/>
  <c r="U33" i="40" s="1"/>
  <c r="J35" i="40"/>
  <c r="AC35" i="40" s="1"/>
  <c r="J37" i="40"/>
  <c r="AC37" i="40"/>
  <c r="H13" i="40"/>
  <c r="U13" i="40"/>
  <c r="J13" i="40"/>
  <c r="W13" i="40" s="1"/>
  <c r="F13" i="40"/>
  <c r="AA13" i="40" s="1"/>
  <c r="F14" i="37"/>
  <c r="S14" i="37"/>
  <c r="F27" i="37"/>
  <c r="AA27" i="37"/>
  <c r="F13" i="39"/>
  <c r="J13" i="39"/>
  <c r="W13" i="39" s="1"/>
  <c r="H13" i="39"/>
  <c r="H14" i="40"/>
  <c r="AB14" i="40"/>
  <c r="J14" i="40"/>
  <c r="W14" i="40"/>
  <c r="F14" i="40"/>
  <c r="J14" i="37"/>
  <c r="AC14" i="37" s="1"/>
  <c r="J27" i="37"/>
  <c r="AC27" i="37" s="1"/>
  <c r="AA13" i="35"/>
  <c r="U31" i="34"/>
  <c r="U46" i="33"/>
  <c r="J36" i="37"/>
  <c r="AC36" i="37"/>
  <c r="AB11" i="35"/>
  <c r="J10" i="36"/>
  <c r="AC10" i="36" s="1"/>
  <c r="AB26" i="33"/>
  <c r="AB30" i="21"/>
  <c r="AA14" i="37"/>
  <c r="W31" i="34"/>
  <c r="S11" i="36"/>
  <c r="W11" i="36"/>
  <c r="W11" i="35"/>
  <c r="AB46" i="34"/>
  <c r="AA14" i="34"/>
  <c r="AB31" i="33"/>
  <c r="U31" i="33"/>
  <c r="AC28" i="21"/>
  <c r="S44" i="34"/>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64" i="3"/>
  <c r="BL560" i="3"/>
  <c r="BL546" i="3"/>
  <c r="BL542" i="3"/>
  <c r="BL538" i="3"/>
  <c r="AZ538" i="3" s="1"/>
  <c r="BL534" i="3"/>
  <c r="BL530" i="3"/>
  <c r="BL526" i="3"/>
  <c r="AZ526" i="3" s="1"/>
  <c r="BL522" i="3"/>
  <c r="BL516" i="3"/>
  <c r="BL512" i="3"/>
  <c r="BL506" i="3"/>
  <c r="BL502" i="3"/>
  <c r="AZ502" i="3" s="1"/>
  <c r="BL498" i="3"/>
  <c r="BL494" i="3"/>
  <c r="BL582" i="3"/>
  <c r="BL578" i="3"/>
  <c r="BL562" i="3"/>
  <c r="BL556" i="3"/>
  <c r="AZ556" i="3" s="1"/>
  <c r="BL544" i="3"/>
  <c r="AZ544" i="3" s="1"/>
  <c r="BL540" i="3"/>
  <c r="BL536" i="3"/>
  <c r="G533" i="3"/>
  <c r="BL532" i="3"/>
  <c r="G529" i="3"/>
  <c r="BL528" i="3"/>
  <c r="G525" i="3"/>
  <c r="BL524" i="3"/>
  <c r="BL518" i="3"/>
  <c r="BL514" i="3"/>
  <c r="BL510" i="3"/>
  <c r="BL504" i="3"/>
  <c r="BL500" i="3"/>
  <c r="BL496" i="3"/>
  <c r="G493" i="3"/>
  <c r="BA584" i="3"/>
  <c r="AZ584" i="3" s="1"/>
  <c r="BA582" i="3"/>
  <c r="BA580" i="3"/>
  <c r="AZ580" i="3"/>
  <c r="BA578" i="3"/>
  <c r="AZ578" i="3" s="1"/>
  <c r="BA564" i="3"/>
  <c r="AZ564" i="3"/>
  <c r="BA562" i="3"/>
  <c r="BA560" i="3"/>
  <c r="BA558" i="3"/>
  <c r="AZ558" i="3"/>
  <c r="BA556" i="3"/>
  <c r="BA548" i="3"/>
  <c r="AZ548" i="3" s="1"/>
  <c r="BA546" i="3"/>
  <c r="BA544" i="3"/>
  <c r="BA542" i="3"/>
  <c r="AZ542" i="3"/>
  <c r="BA540" i="3"/>
  <c r="AZ540" i="3" s="1"/>
  <c r="BA538" i="3"/>
  <c r="BA536" i="3"/>
  <c r="AZ536" i="3"/>
  <c r="BA534" i="3"/>
  <c r="AZ534" i="3" s="1"/>
  <c r="BA532" i="3"/>
  <c r="AZ532" i="3" s="1"/>
  <c r="BA530" i="3"/>
  <c r="BA528" i="3"/>
  <c r="AZ528" i="3" s="1"/>
  <c r="BA526" i="3"/>
  <c r="BA524" i="3"/>
  <c r="BA522" i="3"/>
  <c r="BA520" i="3"/>
  <c r="AZ520" i="3" s="1"/>
  <c r="BA518" i="3"/>
  <c r="AZ518" i="3" s="1"/>
  <c r="BA516" i="3"/>
  <c r="AZ516" i="3"/>
  <c r="BA514" i="3"/>
  <c r="AZ514" i="3" s="1"/>
  <c r="BA512" i="3"/>
  <c r="AZ512" i="3" s="1"/>
  <c r="BA510" i="3"/>
  <c r="AZ510" i="3"/>
  <c r="BA508" i="3"/>
  <c r="BA506" i="3"/>
  <c r="BA504" i="3"/>
  <c r="AZ504" i="3"/>
  <c r="BA502" i="3"/>
  <c r="BA500" i="3"/>
  <c r="BA498" i="3"/>
  <c r="AZ498" i="3"/>
  <c r="BA496" i="3"/>
  <c r="BA494" i="3"/>
  <c r="BA587" i="3"/>
  <c r="AZ587" i="3"/>
  <c r="BA583" i="3"/>
  <c r="AZ583" i="3" s="1"/>
  <c r="BA581" i="3"/>
  <c r="BA579" i="3"/>
  <c r="AZ579" i="3" s="1"/>
  <c r="BA565" i="3"/>
  <c r="BA563" i="3"/>
  <c r="BA561" i="3"/>
  <c r="BA559" i="3"/>
  <c r="BA549" i="3"/>
  <c r="BA547" i="3"/>
  <c r="BA545" i="3"/>
  <c r="BA543" i="3"/>
  <c r="BA541" i="3"/>
  <c r="BA539" i="3"/>
  <c r="BA537" i="3"/>
  <c r="BA535" i="3"/>
  <c r="BA533" i="3"/>
  <c r="BA531" i="3"/>
  <c r="BA529" i="3"/>
  <c r="BA527" i="3"/>
  <c r="AZ527" i="3" s="1"/>
  <c r="BA525" i="3"/>
  <c r="BA523" i="3"/>
  <c r="BA519" i="3"/>
  <c r="AZ519" i="3" s="1"/>
  <c r="BA517" i="3"/>
  <c r="AZ517" i="3" s="1"/>
  <c r="BA515" i="3"/>
  <c r="BA513" i="3"/>
  <c r="BA511" i="3"/>
  <c r="BA507" i="3"/>
  <c r="BA505" i="3"/>
  <c r="BA503" i="3"/>
  <c r="BA501" i="3"/>
  <c r="BA499" i="3"/>
  <c r="BA497" i="3"/>
  <c r="BA495" i="3"/>
  <c r="BA493" i="3"/>
  <c r="AZ560" i="3"/>
  <c r="G583" i="3"/>
  <c r="G581" i="3"/>
  <c r="G579" i="3"/>
  <c r="G577" i="3"/>
  <c r="G575" i="3"/>
  <c r="G569" i="3"/>
  <c r="G567" i="3"/>
  <c r="G565" i="3"/>
  <c r="G563" i="3"/>
  <c r="G561" i="3"/>
  <c r="BL558" i="3"/>
  <c r="BA557" i="3"/>
  <c r="AZ557" i="3"/>
  <c r="AC557" i="3"/>
  <c r="G557" i="3" s="1"/>
  <c r="BQ557" i="3"/>
  <c r="BL557" i="3"/>
  <c r="BQ583" i="3"/>
  <c r="BL583" i="3" s="1"/>
  <c r="BQ581" i="3"/>
  <c r="BL581" i="3"/>
  <c r="AZ581" i="3" s="1"/>
  <c r="BQ579" i="3"/>
  <c r="BL579" i="3"/>
  <c r="BQ577" i="3"/>
  <c r="BL577" i="3"/>
  <c r="BQ575" i="3"/>
  <c r="BQ573" i="3"/>
  <c r="BQ571" i="3"/>
  <c r="BQ569" i="3"/>
  <c r="BQ567" i="3"/>
  <c r="BQ565" i="3"/>
  <c r="BL565" i="3"/>
  <c r="AZ565" i="3" s="1"/>
  <c r="BQ563" i="3"/>
  <c r="BL563" i="3"/>
  <c r="BQ561" i="3"/>
  <c r="BL561" i="3"/>
  <c r="AZ561" i="3"/>
  <c r="BQ559" i="3"/>
  <c r="BL559" i="3"/>
  <c r="AZ559" i="3" s="1"/>
  <c r="G559" i="3"/>
  <c r="G553" i="3"/>
  <c r="G549" i="3"/>
  <c r="G547" i="3"/>
  <c r="G545" i="3"/>
  <c r="G543" i="3"/>
  <c r="G541" i="3"/>
  <c r="G539" i="3"/>
  <c r="G537" i="3"/>
  <c r="BQ555" i="3"/>
  <c r="BQ553" i="3"/>
  <c r="BQ551" i="3"/>
  <c r="BL551" i="3"/>
  <c r="BQ549" i="3"/>
  <c r="BL549" i="3" s="1"/>
  <c r="AZ549" i="3" s="1"/>
  <c r="BQ547" i="3"/>
  <c r="BL547" i="3"/>
  <c r="AZ547" i="3" s="1"/>
  <c r="BQ545" i="3"/>
  <c r="BL545" i="3" s="1"/>
  <c r="BQ543" i="3"/>
  <c r="BL543" i="3"/>
  <c r="AZ543" i="3"/>
  <c r="BQ541" i="3"/>
  <c r="BL541" i="3" s="1"/>
  <c r="AZ541" i="3" s="1"/>
  <c r="BQ539" i="3"/>
  <c r="BL539" i="3" s="1"/>
  <c r="AZ539" i="3" s="1"/>
  <c r="BQ537" i="3"/>
  <c r="BL537" i="3" s="1"/>
  <c r="AZ537" i="3"/>
  <c r="BQ535" i="3"/>
  <c r="BL535" i="3"/>
  <c r="AZ535" i="3"/>
  <c r="BQ533" i="3"/>
  <c r="BL533" i="3"/>
  <c r="AZ533" i="3"/>
  <c r="BQ531" i="3"/>
  <c r="BL531" i="3"/>
  <c r="AZ531" i="3" s="1"/>
  <c r="BQ529" i="3"/>
  <c r="BL529" i="3"/>
  <c r="BQ527" i="3"/>
  <c r="BL527" i="3"/>
  <c r="BQ525" i="3"/>
  <c r="BL525" i="3" s="1"/>
  <c r="AZ525" i="3" s="1"/>
  <c r="BQ523" i="3"/>
  <c r="BL523" i="3" s="1"/>
  <c r="AZ523" i="3" s="1"/>
  <c r="BA521" i="3"/>
  <c r="AZ521" i="3"/>
  <c r="AC521" i="3"/>
  <c r="G521" i="3" s="1"/>
  <c r="BQ521" i="3"/>
  <c r="BL521" i="3"/>
  <c r="BL520" i="3"/>
  <c r="G519" i="3"/>
  <c r="G517" i="3"/>
  <c r="G515" i="3"/>
  <c r="G513" i="3"/>
  <c r="G511" i="3"/>
  <c r="BQ519" i="3"/>
  <c r="BL519" i="3" s="1"/>
  <c r="BQ517" i="3"/>
  <c r="BL517" i="3"/>
  <c r="BQ515" i="3"/>
  <c r="BL515" i="3"/>
  <c r="AZ515" i="3"/>
  <c r="BQ513" i="3"/>
  <c r="BL513" i="3"/>
  <c r="AZ513" i="3"/>
  <c r="BQ511" i="3"/>
  <c r="BL511" i="3" s="1"/>
  <c r="BA509" i="3"/>
  <c r="AZ509" i="3" s="1"/>
  <c r="AC509" i="3"/>
  <c r="G509" i="3" s="1"/>
  <c r="BQ509" i="3"/>
  <c r="BL509" i="3"/>
  <c r="BL508" i="3"/>
  <c r="AZ508" i="3"/>
  <c r="G507" i="3"/>
  <c r="G505" i="3"/>
  <c r="G503" i="3"/>
  <c r="G501" i="3"/>
  <c r="G499" i="3"/>
  <c r="G497" i="3"/>
  <c r="G495" i="3"/>
  <c r="BQ507" i="3"/>
  <c r="BL507" i="3"/>
  <c r="BQ505" i="3"/>
  <c r="BL505" i="3"/>
  <c r="AZ505" i="3" s="1"/>
  <c r="BQ503" i="3"/>
  <c r="BL503" i="3"/>
  <c r="AZ503" i="3"/>
  <c r="BQ501" i="3"/>
  <c r="BL501" i="3" s="1"/>
  <c r="BQ499" i="3"/>
  <c r="BL499" i="3"/>
  <c r="BQ497" i="3"/>
  <c r="BL497" i="3"/>
  <c r="BQ495" i="3"/>
  <c r="BL495" i="3"/>
  <c r="AZ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c r="J25" i="21"/>
  <c r="AC25" i="21"/>
  <c r="E125" i="33"/>
  <c r="F125" i="33"/>
  <c r="H43" i="33"/>
  <c r="AB43" i="33" s="1"/>
  <c r="H17" i="37"/>
  <c r="U17" i="37" s="1"/>
  <c r="AB27" i="37"/>
  <c r="U32" i="33"/>
  <c r="AA36" i="39"/>
  <c r="F39" i="33"/>
  <c r="AA39" i="33" s="1"/>
  <c r="E123" i="33"/>
  <c r="F42" i="33"/>
  <c r="AA42" i="33" s="1"/>
  <c r="H28" i="34"/>
  <c r="F14" i="36"/>
  <c r="AA14" i="36"/>
  <c r="F22" i="36"/>
  <c r="S22" i="36" s="1"/>
  <c r="F26" i="36"/>
  <c r="S26" i="36"/>
  <c r="H27" i="34"/>
  <c r="AB27" i="34"/>
  <c r="H35" i="34"/>
  <c r="U35" i="34"/>
  <c r="F41" i="34"/>
  <c r="S41" i="34" s="1"/>
  <c r="H41" i="34"/>
  <c r="U41" i="34"/>
  <c r="J41" i="34"/>
  <c r="AC41" i="34" s="1"/>
  <c r="F10" i="35"/>
  <c r="S10" i="35"/>
  <c r="F24" i="35"/>
  <c r="AA24" i="35" s="1"/>
  <c r="H24" i="35"/>
  <c r="AB24" i="35" s="1"/>
  <c r="H23" i="37"/>
  <c r="AB23" i="37"/>
  <c r="J32" i="37"/>
  <c r="AC32" i="37"/>
  <c r="F36" i="37"/>
  <c r="AA36" i="37" s="1"/>
  <c r="F37" i="37"/>
  <c r="AA37" i="37"/>
  <c r="F31" i="40"/>
  <c r="AA31" i="40"/>
  <c r="H31" i="40"/>
  <c r="U31" i="40" s="1"/>
  <c r="F32" i="40"/>
  <c r="H32" i="40"/>
  <c r="AB32" i="40"/>
  <c r="J36" i="40"/>
  <c r="W36" i="40" s="1"/>
  <c r="H19" i="37"/>
  <c r="AB19" i="37" s="1"/>
  <c r="F123" i="33"/>
  <c r="G123" i="33"/>
  <c r="H123" i="33"/>
  <c r="I123" i="33"/>
  <c r="J123" i="33" s="1"/>
  <c r="K123" i="33" s="1"/>
  <c r="L123" i="33" s="1"/>
  <c r="M123" i="33" s="1"/>
  <c r="H42" i="33"/>
  <c r="AB42" i="33"/>
  <c r="G125" i="33"/>
  <c r="J43" i="33"/>
  <c r="AC43" i="33" s="1"/>
  <c r="U43" i="33"/>
  <c r="S28" i="31"/>
  <c r="S27" i="31"/>
  <c r="S26" i="31"/>
  <c r="U14" i="40"/>
  <c r="AC32" i="36"/>
  <c r="AC33" i="36"/>
  <c r="U35" i="35"/>
  <c r="AA12" i="35"/>
  <c r="W14" i="37"/>
  <c r="U33" i="37"/>
  <c r="U39" i="37"/>
  <c r="AC8" i="37"/>
  <c r="W47" i="34"/>
  <c r="AB13" i="34"/>
  <c r="W37" i="34"/>
  <c r="AB37" i="34"/>
  <c r="AC36" i="34"/>
  <c r="AA13" i="33"/>
  <c r="AC31" i="33"/>
  <c r="W44" i="33"/>
  <c r="U11" i="33"/>
  <c r="U19" i="21"/>
  <c r="U26" i="21"/>
  <c r="AC46" i="21"/>
  <c r="U12" i="21"/>
  <c r="AB38" i="21"/>
  <c r="F43" i="33"/>
  <c r="AA43" i="33"/>
  <c r="W15" i="34"/>
  <c r="AC15" i="34"/>
  <c r="W16" i="35"/>
  <c r="W40" i="37"/>
  <c r="G107" i="37"/>
  <c r="H107" i="37" s="1"/>
  <c r="I107" i="37" s="1"/>
  <c r="J107" i="37" s="1"/>
  <c r="K107" i="37" s="1"/>
  <c r="L107" i="37" s="1"/>
  <c r="M107" i="37"/>
  <c r="H37" i="21"/>
  <c r="U37" i="21"/>
  <c r="S42" i="21"/>
  <c r="H19" i="34"/>
  <c r="AB19" i="34"/>
  <c r="F36" i="35"/>
  <c r="S36" i="35"/>
  <c r="W12" i="37"/>
  <c r="H12" i="37"/>
  <c r="U12" i="37" s="1"/>
  <c r="AB12" i="37"/>
  <c r="F12" i="37"/>
  <c r="S12" i="37"/>
  <c r="E71" i="37"/>
  <c r="F15" i="37"/>
  <c r="AA15" i="37" s="1"/>
  <c r="E94" i="37"/>
  <c r="F31" i="37"/>
  <c r="S31" i="37" s="1"/>
  <c r="F12" i="39"/>
  <c r="J42" i="39"/>
  <c r="AC42" i="39" s="1"/>
  <c r="H21" i="40"/>
  <c r="AB21" i="40" s="1"/>
  <c r="AC12" i="37"/>
  <c r="F94" i="37"/>
  <c r="G94" i="37"/>
  <c r="H94" i="37" s="1"/>
  <c r="I94" i="37"/>
  <c r="J94" i="37" s="1"/>
  <c r="K94" i="37" s="1"/>
  <c r="L94" i="37" s="1"/>
  <c r="M94" i="37" s="1"/>
  <c r="H31" i="37"/>
  <c r="U31" i="37"/>
  <c r="F71" i="37"/>
  <c r="G71" i="37" s="1"/>
  <c r="J15" i="37"/>
  <c r="AT6" i="3"/>
  <c r="AA25" i="21"/>
  <c r="C12" i="43"/>
  <c r="H19" i="40"/>
  <c r="U19" i="40" s="1"/>
  <c r="F88" i="40"/>
  <c r="G88" i="40" s="1"/>
  <c r="F19" i="40"/>
  <c r="S19" i="40"/>
  <c r="AC13" i="40"/>
  <c r="AB33" i="40"/>
  <c r="AC43" i="39"/>
  <c r="U45" i="39"/>
  <c r="AB45" i="39"/>
  <c r="G101" i="39"/>
  <c r="H37" i="39"/>
  <c r="AB37" i="39" s="1"/>
  <c r="H25" i="39"/>
  <c r="AB25" i="39" s="1"/>
  <c r="J25" i="39"/>
  <c r="W25" i="39" s="1"/>
  <c r="F25" i="39"/>
  <c r="AA25" i="39" s="1"/>
  <c r="F15" i="39"/>
  <c r="AA15" i="39" s="1"/>
  <c r="H15" i="39"/>
  <c r="U15" i="39" s="1"/>
  <c r="J15" i="39"/>
  <c r="W15" i="39" s="1"/>
  <c r="AB34" i="39"/>
  <c r="W14" i="39"/>
  <c r="W8" i="39"/>
  <c r="J19" i="40"/>
  <c r="AC19" i="40" s="1"/>
  <c r="J50" i="40"/>
  <c r="H103" i="9"/>
  <c r="D8" i="53" s="1"/>
  <c r="B16" i="53"/>
  <c r="B33" i="72" s="1"/>
  <c r="C7" i="37"/>
  <c r="C52" i="37" s="1"/>
  <c r="D52" i="37" s="1"/>
  <c r="C7" i="34"/>
  <c r="C7" i="36"/>
  <c r="W35" i="40"/>
  <c r="A118" i="9"/>
  <c r="J11" i="39"/>
  <c r="W11" i="39" s="1"/>
  <c r="G4" i="4"/>
  <c r="I4" i="4"/>
  <c r="A2" i="9"/>
  <c r="F59" i="43"/>
  <c r="H62" i="43" s="1"/>
  <c r="AZ24" i="3"/>
  <c r="AZ28" i="3"/>
  <c r="AZ497" i="3"/>
  <c r="AZ49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BA343" i="3"/>
  <c r="BA345" i="3"/>
  <c r="BL355" i="3"/>
  <c r="G356" i="3"/>
  <c r="BL357" i="3"/>
  <c r="BA359" i="3"/>
  <c r="AZ359" i="3" s="1"/>
  <c r="BA360" i="3"/>
  <c r="AZ360" i="3" s="1"/>
  <c r="BL360" i="3"/>
  <c r="G361" i="3"/>
  <c r="BA362" i="3"/>
  <c r="AZ362" i="3" s="1"/>
  <c r="G370" i="3"/>
  <c r="BL371" i="3"/>
  <c r="G372" i="3"/>
  <c r="BL373" i="3"/>
  <c r="AZ373" i="3" s="1"/>
  <c r="BA375" i="3"/>
  <c r="AZ375" i="3"/>
  <c r="BA376" i="3"/>
  <c r="AZ376" i="3" s="1"/>
  <c r="BL376" i="3"/>
  <c r="G377" i="3"/>
  <c r="BA378" i="3"/>
  <c r="BL378" i="3"/>
  <c r="G379" i="3"/>
  <c r="BA380" i="3"/>
  <c r="G388" i="3"/>
  <c r="BL389" i="3"/>
  <c r="G390" i="3"/>
  <c r="BL391" i="3"/>
  <c r="AZ391" i="3" s="1"/>
  <c r="BA393" i="3"/>
  <c r="AZ393" i="3"/>
  <c r="BA394" i="3"/>
  <c r="BL394" i="3"/>
  <c r="G113" i="3"/>
  <c r="BA115" i="3"/>
  <c r="AZ115" i="3" s="1"/>
  <c r="BL116" i="3"/>
  <c r="AZ116" i="3" s="1"/>
  <c r="G117" i="3"/>
  <c r="BA119" i="3"/>
  <c r="AZ119" i="3"/>
  <c r="BL120" i="3"/>
  <c r="G121" i="3"/>
  <c r="BA123" i="3"/>
  <c r="BL124" i="3"/>
  <c r="G125" i="3"/>
  <c r="BA127" i="3"/>
  <c r="BL128" i="3"/>
  <c r="AZ128" i="3" s="1"/>
  <c r="G129" i="3"/>
  <c r="BA131" i="3"/>
  <c r="AZ131" i="3" s="1"/>
  <c r="BL132" i="3"/>
  <c r="G133" i="3"/>
  <c r="BA135" i="3"/>
  <c r="BL136" i="3"/>
  <c r="AZ136" i="3" s="1"/>
  <c r="G137" i="3"/>
  <c r="BA139" i="3"/>
  <c r="AZ139" i="3"/>
  <c r="BL140" i="3"/>
  <c r="AZ140" i="3"/>
  <c r="G141" i="3"/>
  <c r="BA143" i="3"/>
  <c r="AZ143" i="3"/>
  <c r="BL144" i="3"/>
  <c r="G145" i="3"/>
  <c r="BA147" i="3"/>
  <c r="AZ147" i="3" s="1"/>
  <c r="BL148" i="3"/>
  <c r="AZ148" i="3"/>
  <c r="G149" i="3"/>
  <c r="BA151" i="3"/>
  <c r="AZ151" i="3"/>
  <c r="BL152" i="3"/>
  <c r="G153" i="3"/>
  <c r="BA155" i="3"/>
  <c r="AZ155" i="3"/>
  <c r="BL156" i="3"/>
  <c r="G157" i="3"/>
  <c r="BA159" i="3"/>
  <c r="AZ159" i="3" s="1"/>
  <c r="BL160" i="3"/>
  <c r="G161" i="3"/>
  <c r="BA163" i="3"/>
  <c r="BL164" i="3"/>
  <c r="AZ164" i="3" s="1"/>
  <c r="G165" i="3"/>
  <c r="BA167" i="3"/>
  <c r="AZ167" i="3"/>
  <c r="BL168" i="3"/>
  <c r="AZ168" i="3" s="1"/>
  <c r="G169" i="3"/>
  <c r="BA171" i="3"/>
  <c r="AZ171" i="3"/>
  <c r="BL172" i="3"/>
  <c r="AZ172" i="3"/>
  <c r="G173" i="3"/>
  <c r="BA175" i="3"/>
  <c r="AZ175" i="3"/>
  <c r="BL176" i="3"/>
  <c r="G177" i="3"/>
  <c r="BA179" i="3"/>
  <c r="AZ179" i="3" s="1"/>
  <c r="BL180" i="3"/>
  <c r="AZ180" i="3" s="1"/>
  <c r="G181" i="3"/>
  <c r="BA183" i="3"/>
  <c r="AZ183" i="3"/>
  <c r="BL184" i="3"/>
  <c r="G185" i="3"/>
  <c r="BA187" i="3"/>
  <c r="AZ187" i="3" s="1"/>
  <c r="BL188" i="3"/>
  <c r="G189" i="3"/>
  <c r="BA191" i="3"/>
  <c r="AZ191" i="3" s="1"/>
  <c r="BL192" i="3"/>
  <c r="G193" i="3"/>
  <c r="BA195" i="3"/>
  <c r="AZ195" i="3" s="1"/>
  <c r="BL196" i="3"/>
  <c r="G197" i="3"/>
  <c r="BA199" i="3"/>
  <c r="BL200" i="3"/>
  <c r="AZ200" i="3" s="1"/>
  <c r="G201" i="3"/>
  <c r="BA203" i="3"/>
  <c r="AZ203" i="3"/>
  <c r="BL204" i="3"/>
  <c r="AZ204" i="3" s="1"/>
  <c r="AZ39" i="3"/>
  <c r="AZ43" i="3"/>
  <c r="AZ47" i="3"/>
  <c r="AZ51" i="3"/>
  <c r="AZ55" i="3"/>
  <c r="AZ67" i="3"/>
  <c r="AZ75" i="3"/>
  <c r="AZ83" i="3"/>
  <c r="AZ152" i="3"/>
  <c r="AZ160" i="3"/>
  <c r="AZ176" i="3"/>
  <c r="AZ184" i="3"/>
  <c r="AZ192" i="3"/>
  <c r="AZ85" i="3"/>
  <c r="AZ89" i="3"/>
  <c r="AZ93" i="3"/>
  <c r="AZ101" i="3"/>
  <c r="AZ105" i="3"/>
  <c r="G534" i="3"/>
  <c r="G530" i="3"/>
  <c r="G522" i="3"/>
  <c r="G516" i="3"/>
  <c r="G512" i="3"/>
  <c r="G506" i="3"/>
  <c r="G498" i="3"/>
  <c r="G494" i="3"/>
  <c r="G16" i="3"/>
  <c r="G15" i="3"/>
  <c r="BA304" i="3"/>
  <c r="AZ304" i="3"/>
  <c r="BA305" i="3"/>
  <c r="AZ305" i="3"/>
  <c r="BL305" i="3"/>
  <c r="G306" i="3"/>
  <c r="G309" i="3"/>
  <c r="BL310" i="3"/>
  <c r="BA312" i="3"/>
  <c r="AZ312" i="3"/>
  <c r="BA313" i="3"/>
  <c r="BL313" i="3"/>
  <c r="G314" i="3"/>
  <c r="G317" i="3"/>
  <c r="BL318" i="3"/>
  <c r="AZ318" i="3" s="1"/>
  <c r="BA320" i="3"/>
  <c r="AZ320" i="3"/>
  <c r="BA321" i="3"/>
  <c r="AZ321" i="3" s="1"/>
  <c r="BL321" i="3"/>
  <c r="G322" i="3"/>
  <c r="G325" i="3"/>
  <c r="BL326" i="3"/>
  <c r="BA328" i="3"/>
  <c r="AZ328" i="3"/>
  <c r="BA329" i="3"/>
  <c r="AZ329" i="3" s="1"/>
  <c r="BL329" i="3"/>
  <c r="G330" i="3"/>
  <c r="G333" i="3"/>
  <c r="BL334" i="3"/>
  <c r="BA336" i="3"/>
  <c r="AZ336" i="3" s="1"/>
  <c r="BA337" i="3"/>
  <c r="AZ337" i="3"/>
  <c r="BL337" i="3"/>
  <c r="G338" i="3"/>
  <c r="G341" i="3"/>
  <c r="BA342" i="3"/>
  <c r="AZ342" i="3" s="1"/>
  <c r="BL342" i="3"/>
  <c r="BA344" i="3"/>
  <c r="BL344" i="3"/>
  <c r="BA346" i="3"/>
  <c r="AZ346" i="3"/>
  <c r="BA347" i="3"/>
  <c r="BL347" i="3"/>
  <c r="AZ347" i="3" s="1"/>
  <c r="G350" i="3"/>
  <c r="BA351" i="3"/>
  <c r="BL351" i="3"/>
  <c r="G352" i="3"/>
  <c r="G354" i="3"/>
  <c r="BA355" i="3"/>
  <c r="AZ355" i="3"/>
  <c r="BA356" i="3"/>
  <c r="AZ356" i="3" s="1"/>
  <c r="BL356" i="3"/>
  <c r="G357" i="3"/>
  <c r="G360" i="3"/>
  <c r="BL361" i="3"/>
  <c r="BA363" i="3"/>
  <c r="AZ363" i="3" s="1"/>
  <c r="BA364" i="3"/>
  <c r="BL364" i="3"/>
  <c r="AZ364" i="3" s="1"/>
  <c r="G365" i="3"/>
  <c r="G368" i="3"/>
  <c r="BL369" i="3"/>
  <c r="AZ369" i="3" s="1"/>
  <c r="BA371" i="3"/>
  <c r="AZ371" i="3"/>
  <c r="BA372" i="3"/>
  <c r="BL372" i="3"/>
  <c r="AZ372" i="3" s="1"/>
  <c r="G373" i="3"/>
  <c r="G376" i="3"/>
  <c r="BL377" i="3"/>
  <c r="BL379" i="3"/>
  <c r="BA381" i="3"/>
  <c r="AZ381" i="3" s="1"/>
  <c r="BA382" i="3"/>
  <c r="AZ382" i="3" s="1"/>
  <c r="BL382" i="3"/>
  <c r="G383" i="3"/>
  <c r="G386" i="3"/>
  <c r="BL387" i="3"/>
  <c r="AZ387" i="3" s="1"/>
  <c r="BA389" i="3"/>
  <c r="AZ389" i="3"/>
  <c r="BA390" i="3"/>
  <c r="BL390" i="3"/>
  <c r="G391" i="3"/>
  <c r="G394" i="3"/>
  <c r="AZ146" i="3"/>
  <c r="AZ170" i="3"/>
  <c r="AZ178" i="3"/>
  <c r="AZ182" i="3"/>
  <c r="AZ190" i="3"/>
  <c r="AZ194" i="3"/>
  <c r="AZ198" i="3"/>
  <c r="AZ202" i="3"/>
  <c r="AZ206" i="3"/>
  <c r="AZ500" i="3"/>
  <c r="BA16" i="3"/>
  <c r="AZ16" i="3"/>
  <c r="BL303" i="3"/>
  <c r="G304" i="3"/>
  <c r="BA306" i="3"/>
  <c r="AZ306" i="3" s="1"/>
  <c r="BL307" i="3"/>
  <c r="AZ307" i="3"/>
  <c r="G308" i="3"/>
  <c r="BA310" i="3"/>
  <c r="AZ310" i="3"/>
  <c r="BL311" i="3"/>
  <c r="AZ311" i="3"/>
  <c r="G312" i="3"/>
  <c r="BA314" i="3"/>
  <c r="AZ314" i="3"/>
  <c r="BL315" i="3"/>
  <c r="AZ315" i="3" s="1"/>
  <c r="G316" i="3"/>
  <c r="BA318" i="3"/>
  <c r="BL319" i="3"/>
  <c r="G320" i="3"/>
  <c r="BA322" i="3"/>
  <c r="AZ322" i="3"/>
  <c r="BL323" i="3"/>
  <c r="AZ323" i="3"/>
  <c r="G324" i="3"/>
  <c r="BA326" i="3"/>
  <c r="BL327" i="3"/>
  <c r="AZ327" i="3" s="1"/>
  <c r="G328" i="3"/>
  <c r="BA330" i="3"/>
  <c r="AZ330" i="3" s="1"/>
  <c r="BL331" i="3"/>
  <c r="AZ331" i="3" s="1"/>
  <c r="G332" i="3"/>
  <c r="BA334" i="3"/>
  <c r="AZ334" i="3" s="1"/>
  <c r="BL335" i="3"/>
  <c r="G336" i="3"/>
  <c r="BA338" i="3"/>
  <c r="AZ338" i="3"/>
  <c r="BL339" i="3"/>
  <c r="AZ339" i="3" s="1"/>
  <c r="G340" i="3"/>
  <c r="BL343" i="3"/>
  <c r="AZ343" i="3" s="1"/>
  <c r="G344" i="3"/>
  <c r="G348" i="3"/>
  <c r="G355" i="3"/>
  <c r="AZ209" i="3"/>
  <c r="AZ214" i="3"/>
  <c r="AZ218" i="3"/>
  <c r="AZ222" i="3"/>
  <c r="AZ303" i="3"/>
  <c r="AZ319" i="3"/>
  <c r="AZ335" i="3"/>
  <c r="G342" i="3"/>
  <c r="BL345" i="3"/>
  <c r="AZ345" i="3"/>
  <c r="G346" i="3"/>
  <c r="AZ348" i="3"/>
  <c r="BL349" i="3"/>
  <c r="AZ349" i="3" s="1"/>
  <c r="BL352" i="3"/>
  <c r="G353" i="3"/>
  <c r="BA357" i="3"/>
  <c r="AZ357" i="3"/>
  <c r="BL358" i="3"/>
  <c r="AZ358" i="3"/>
  <c r="G359" i="3"/>
  <c r="BA361" i="3"/>
  <c r="AZ361" i="3"/>
  <c r="BL362" i="3"/>
  <c r="G363" i="3"/>
  <c r="BA365" i="3"/>
  <c r="AZ365" i="3" s="1"/>
  <c r="BL366" i="3"/>
  <c r="AZ366" i="3"/>
  <c r="G367" i="3"/>
  <c r="BA369" i="3"/>
  <c r="BL370" i="3"/>
  <c r="G371" i="3"/>
  <c r="BA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BL392" i="3"/>
  <c r="G393" i="3"/>
  <c r="AZ263" i="3"/>
  <c r="AZ275" i="3"/>
  <c r="AZ279" i="3"/>
  <c r="AZ283" i="3"/>
  <c r="AZ287" i="3"/>
  <c r="AZ291" i="3"/>
  <c r="AZ295" i="3"/>
  <c r="AZ299" i="3"/>
  <c r="AZ317" i="3"/>
  <c r="AZ333" i="3"/>
  <c r="AZ341" i="3"/>
  <c r="AZ506" i="3"/>
  <c r="AZ496" i="3"/>
  <c r="G548" i="3"/>
  <c r="G538" i="3"/>
  <c r="G520" i="3"/>
  <c r="G502" i="3"/>
  <c r="G17" i="3"/>
  <c r="BA17" i="3"/>
  <c r="AZ350" i="3"/>
  <c r="AZ352" i="3"/>
  <c r="AZ368" i="3"/>
  <c r="BA15" i="3"/>
  <c r="AZ15" i="3"/>
  <c r="AZ392" i="3"/>
  <c r="AZ396" i="3"/>
  <c r="AZ394" i="3"/>
  <c r="AZ499" i="3"/>
  <c r="BL493" i="3"/>
  <c r="AZ491" i="3"/>
  <c r="AZ390" i="3"/>
  <c r="AZ493" i="3"/>
  <c r="U36" i="40"/>
  <c r="F36" i="43"/>
  <c r="F81" i="43"/>
  <c r="H87" i="43" s="1"/>
  <c r="H113" i="43"/>
  <c r="F48" i="43"/>
  <c r="H52" i="43" s="1"/>
  <c r="F70" i="43"/>
  <c r="M11" i="43"/>
  <c r="D17" i="43"/>
  <c r="F39" i="43"/>
  <c r="I17" i="43"/>
  <c r="F35" i="43"/>
  <c r="J17" i="43"/>
  <c r="F6" i="1"/>
  <c r="G6" i="1" s="1"/>
  <c r="S14" i="35"/>
  <c r="U43" i="21"/>
  <c r="U35" i="21"/>
  <c r="AC35" i="21"/>
  <c r="U10" i="21"/>
  <c r="G8" i="1"/>
  <c r="G9" i="1"/>
  <c r="G10" i="1"/>
  <c r="AZ563" i="3"/>
  <c r="AZ501" i="3"/>
  <c r="W37" i="37"/>
  <c r="W44" i="34"/>
  <c r="AC44" i="34"/>
  <c r="S15" i="37"/>
  <c r="U13" i="37"/>
  <c r="U12" i="40"/>
  <c r="AA12" i="40"/>
  <c r="J37" i="33"/>
  <c r="W37" i="33"/>
  <c r="AC17" i="34"/>
  <c r="F106" i="33"/>
  <c r="G106" i="33"/>
  <c r="H106" i="33" s="1"/>
  <c r="I106" i="33" s="1"/>
  <c r="J106" i="33" s="1"/>
  <c r="K106" i="33" s="1"/>
  <c r="L106" i="33" s="1"/>
  <c r="M106" i="33" s="1"/>
  <c r="J34" i="33"/>
  <c r="W34" i="33"/>
  <c r="F33" i="34"/>
  <c r="S33" i="34"/>
  <c r="W12" i="36"/>
  <c r="AC12" i="36"/>
  <c r="H20" i="36"/>
  <c r="U20" i="36" s="1"/>
  <c r="J20" i="36"/>
  <c r="W20" i="36"/>
  <c r="W24" i="36"/>
  <c r="J27" i="36"/>
  <c r="AB25" i="37"/>
  <c r="AC33" i="40"/>
  <c r="F111" i="40"/>
  <c r="G111" i="40"/>
  <c r="H111" i="40"/>
  <c r="I111" i="40" s="1"/>
  <c r="J111" i="40"/>
  <c r="K111" i="40" s="1"/>
  <c r="L111" i="40" s="1"/>
  <c r="M111" i="40" s="1"/>
  <c r="H35" i="40"/>
  <c r="AB35" i="40"/>
  <c r="AC29" i="35"/>
  <c r="W29" i="35"/>
  <c r="H35" i="37"/>
  <c r="AC14" i="35"/>
  <c r="H20" i="35"/>
  <c r="U20" i="35" s="1"/>
  <c r="F20" i="35"/>
  <c r="AA20" i="35"/>
  <c r="AB29" i="36"/>
  <c r="U29" i="36"/>
  <c r="H32" i="37"/>
  <c r="AB32" i="37"/>
  <c r="F96" i="37"/>
  <c r="H27" i="40"/>
  <c r="U27" i="40" s="1"/>
  <c r="J27" i="40"/>
  <c r="AC27" i="40"/>
  <c r="F27" i="40"/>
  <c r="S27" i="40"/>
  <c r="J30" i="40"/>
  <c r="AC30" i="40" s="1"/>
  <c r="F30" i="40"/>
  <c r="S30" i="40" s="1"/>
  <c r="AC21" i="40"/>
  <c r="S31" i="39"/>
  <c r="S11" i="40"/>
  <c r="E98" i="40"/>
  <c r="F98" i="40"/>
  <c r="G98" i="40" s="1"/>
  <c r="H98" i="40" s="1"/>
  <c r="I98" i="40" s="1"/>
  <c r="J98" i="40" s="1"/>
  <c r="K98" i="40"/>
  <c r="L98" i="40" s="1"/>
  <c r="M98" i="40" s="1"/>
  <c r="F10" i="33"/>
  <c r="S10" i="33" s="1"/>
  <c r="F34" i="33"/>
  <c r="S34" i="33" s="1"/>
  <c r="H34" i="33"/>
  <c r="U34" i="33"/>
  <c r="F35" i="33"/>
  <c r="S35" i="33"/>
  <c r="F39" i="34"/>
  <c r="S39" i="34" s="1"/>
  <c r="J39" i="34"/>
  <c r="W39" i="34" s="1"/>
  <c r="F40" i="34"/>
  <c r="S40" i="34"/>
  <c r="F43" i="34"/>
  <c r="AA43" i="34"/>
  <c r="H44" i="34"/>
  <c r="AB44" i="34" s="1"/>
  <c r="F39" i="39"/>
  <c r="S39" i="39" s="1"/>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7" i="3"/>
  <c r="AZ29" i="3"/>
  <c r="AZ31" i="3"/>
  <c r="AZ37" i="3"/>
  <c r="AZ66" i="3"/>
  <c r="AZ77" i="3"/>
  <c r="AZ82" i="3"/>
  <c r="AZ86" i="3"/>
  <c r="AZ94" i="3"/>
  <c r="AZ102" i="3"/>
  <c r="AZ110" i="3"/>
  <c r="H50" i="43"/>
  <c r="I20" i="43"/>
  <c r="F23" i="39"/>
  <c r="AA23" i="39" s="1"/>
  <c r="H27" i="36"/>
  <c r="U27" i="36" s="1"/>
  <c r="F27" i="36"/>
  <c r="AA27" i="36" s="1"/>
  <c r="H33" i="34"/>
  <c r="U33" i="34"/>
  <c r="F32" i="37"/>
  <c r="S32" i="37" s="1"/>
  <c r="AA32" i="37"/>
  <c r="G96" i="37"/>
  <c r="H96" i="37" s="1"/>
  <c r="I96" i="37" s="1"/>
  <c r="J96" i="37" s="1"/>
  <c r="K96" i="37" s="1"/>
  <c r="L96" i="37" s="1"/>
  <c r="M96" i="37" s="1"/>
  <c r="F20" i="36"/>
  <c r="AA20" i="36"/>
  <c r="J33" i="34"/>
  <c r="AC33" i="34"/>
  <c r="H23" i="39"/>
  <c r="U23" i="39" s="1"/>
  <c r="H86" i="43"/>
  <c r="K9" i="1"/>
  <c r="M9" i="1" s="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408" i="3"/>
  <c r="AZ437" i="3"/>
  <c r="AZ441" i="3"/>
  <c r="AZ457" i="3"/>
  <c r="AZ473" i="3"/>
  <c r="AZ490" i="3"/>
  <c r="AA39" i="34"/>
  <c r="BL14" i="3"/>
  <c r="AZ266" i="3"/>
  <c r="U30" i="33"/>
  <c r="AC13" i="34"/>
  <c r="AA47" i="34"/>
  <c r="W28" i="37"/>
  <c r="F12" i="33"/>
  <c r="S12" i="33" s="1"/>
  <c r="H12" i="39"/>
  <c r="AB12" i="39" s="1"/>
  <c r="F39" i="40"/>
  <c r="BA14" i="3"/>
  <c r="AZ14" i="3"/>
  <c r="AZ367" i="3"/>
  <c r="AZ213" i="3"/>
  <c r="AZ224" i="3"/>
  <c r="AZ234" i="3"/>
  <c r="AZ238" i="3"/>
  <c r="AZ250" i="3"/>
  <c r="AZ254" i="3"/>
  <c r="AZ281" i="3"/>
  <c r="AZ286" i="3"/>
  <c r="AZ297" i="3"/>
  <c r="AZ173" i="3"/>
  <c r="AZ181" i="3"/>
  <c r="AZ189" i="3"/>
  <c r="AZ19" i="3"/>
  <c r="S12" i="1"/>
  <c r="AR12" i="1" s="1"/>
  <c r="R12" i="1"/>
  <c r="B12" i="1"/>
  <c r="E12" i="1"/>
  <c r="S10" i="1"/>
  <c r="AQ10" i="1" s="1"/>
  <c r="R10" i="1"/>
  <c r="B10" i="1"/>
  <c r="E10" i="1"/>
  <c r="AZ107" i="3"/>
  <c r="AZ111" i="3"/>
  <c r="K12" i="1"/>
  <c r="M12" i="1" s="1"/>
  <c r="S13" i="1"/>
  <c r="AR13" i="1" s="1"/>
  <c r="R13" i="1"/>
  <c r="S11" i="1"/>
  <c r="AQ11" i="1" s="1"/>
  <c r="R11" i="1"/>
  <c r="S9" i="1"/>
  <c r="AR9" i="1" s="1"/>
  <c r="R9" i="1"/>
  <c r="J51" i="67"/>
  <c r="C42" i="1"/>
  <c r="H100" i="43"/>
  <c r="AC34" i="33"/>
  <c r="AA34" i="33"/>
  <c r="B41" i="1"/>
  <c r="J100" i="43"/>
  <c r="AB37" i="40"/>
  <c r="S35" i="40"/>
  <c r="U35" i="40"/>
  <c r="AC36" i="40"/>
  <c r="W38" i="40"/>
  <c r="S17" i="40"/>
  <c r="S23" i="40"/>
  <c r="AC17" i="40"/>
  <c r="AC15" i="40"/>
  <c r="AA19" i="40"/>
  <c r="S28" i="40"/>
  <c r="AA27" i="40"/>
  <c r="U21" i="40"/>
  <c r="W42" i="39"/>
  <c r="U37" i="39"/>
  <c r="W39" i="39"/>
  <c r="S37" i="39"/>
  <c r="U35" i="39"/>
  <c r="F32" i="39"/>
  <c r="AA32" i="39" s="1"/>
  <c r="AB27" i="39"/>
  <c r="U31" i="39"/>
  <c r="J21" i="39"/>
  <c r="F21" i="39"/>
  <c r="S21" i="39" s="1"/>
  <c r="H21" i="39"/>
  <c r="U21" i="39" s="1"/>
  <c r="U19" i="39"/>
  <c r="AC15" i="39"/>
  <c r="AB15" i="39"/>
  <c r="U14" i="39"/>
  <c r="AC13" i="39"/>
  <c r="U12" i="39"/>
  <c r="S23" i="36"/>
  <c r="U13" i="36"/>
  <c r="U26" i="36"/>
  <c r="S33" i="36"/>
  <c r="AA26" i="36"/>
  <c r="AA34" i="36"/>
  <c r="S29" i="36"/>
  <c r="AC26" i="36"/>
  <c r="AA22" i="36"/>
  <c r="W14" i="36"/>
  <c r="AB14" i="36"/>
  <c r="U22" i="36"/>
  <c r="AA25" i="36"/>
  <c r="S24" i="36"/>
  <c r="U24" i="36"/>
  <c r="U23" i="36"/>
  <c r="U16" i="36"/>
  <c r="S14" i="36"/>
  <c r="U10" i="36"/>
  <c r="W10" i="36"/>
  <c r="AA25"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40" i="37"/>
  <c r="S25" i="37"/>
  <c r="W27" i="37"/>
  <c r="AC29" i="37"/>
  <c r="U29" i="37"/>
  <c r="AB31" i="37"/>
  <c r="W30" i="37"/>
  <c r="S36" i="37"/>
  <c r="AA38" i="37"/>
  <c r="U32" i="37"/>
  <c r="W38" i="37"/>
  <c r="AC35" i="37"/>
  <c r="W39" i="37"/>
  <c r="S30" i="37"/>
  <c r="S37" i="37"/>
  <c r="J17" i="37"/>
  <c r="G73" i="37"/>
  <c r="F17" i="37"/>
  <c r="AA17" i="37" s="1"/>
  <c r="AB17" i="37"/>
  <c r="F75" i="37"/>
  <c r="F19" i="37"/>
  <c r="F79" i="37"/>
  <c r="G79" i="37" s="1"/>
  <c r="F23" i="37"/>
  <c r="S23" i="37"/>
  <c r="U23" i="37"/>
  <c r="U15" i="37"/>
  <c r="AC13" i="37"/>
  <c r="AA13" i="37"/>
  <c r="AA12" i="37"/>
  <c r="H10" i="37"/>
  <c r="H60" i="37"/>
  <c r="F63" i="37"/>
  <c r="F11" i="37"/>
  <c r="S27" i="34"/>
  <c r="W25" i="34"/>
  <c r="AB8" i="34"/>
  <c r="AA33" i="34"/>
  <c r="U43" i="34"/>
  <c r="AC39" i="34"/>
  <c r="W41" i="34"/>
  <c r="AC42" i="34"/>
  <c r="AB35" i="34"/>
  <c r="U39" i="34"/>
  <c r="S43" i="34"/>
  <c r="AB41" i="34"/>
  <c r="AA45" i="34"/>
  <c r="W34" i="34"/>
  <c r="AA25" i="34"/>
  <c r="S17" i="34"/>
  <c r="U27" i="34"/>
  <c r="S23" i="34"/>
  <c r="U15" i="34"/>
  <c r="S10" i="34"/>
  <c r="S13" i="34"/>
  <c r="H67" i="34"/>
  <c r="H10" i="34"/>
  <c r="AB10" i="34" s="1"/>
  <c r="F11" i="34"/>
  <c r="S11" i="34"/>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W43" i="33"/>
  <c r="S43" i="33"/>
  <c r="F91" i="33"/>
  <c r="H27" i="33"/>
  <c r="U27" i="33" s="1"/>
  <c r="F87" i="33"/>
  <c r="H25" i="33"/>
  <c r="F25" i="33"/>
  <c r="J23" i="33"/>
  <c r="F85" i="33"/>
  <c r="G85" i="33" s="1"/>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AA23" i="21" s="1"/>
  <c r="E85" i="21"/>
  <c r="AC11" i="21"/>
  <c r="AA14" i="21"/>
  <c r="AB8" i="21"/>
  <c r="S8" i="21"/>
  <c r="M3" i="43"/>
  <c r="M1" i="43"/>
  <c r="N8" i="43"/>
  <c r="D120" i="9"/>
  <c r="F34" i="67"/>
  <c r="F62" i="67" s="1"/>
  <c r="M20" i="67"/>
  <c r="F34" i="15"/>
  <c r="F62" i="15" s="1"/>
  <c r="G13" i="3"/>
  <c r="BA13" i="3"/>
  <c r="BL17" i="3"/>
  <c r="BL13" i="3"/>
  <c r="J56" i="9"/>
  <c r="J57" i="9" s="1"/>
  <c r="J59" i="9" s="1"/>
  <c r="J61" i="9" s="1"/>
  <c r="A24" i="51"/>
  <c r="B18" i="72"/>
  <c r="U29" i="34"/>
  <c r="E5" i="6"/>
  <c r="D9" i="11" s="1"/>
  <c r="C9" i="11" s="1"/>
  <c r="E32" i="6"/>
  <c r="L19" i="6"/>
  <c r="G1" i="68"/>
  <c r="K1" i="12"/>
  <c r="AQ12" i="1"/>
  <c r="AR10" i="1"/>
  <c r="T10" i="1"/>
  <c r="E19" i="68"/>
  <c r="E1" i="73"/>
  <c r="G22" i="69"/>
  <c r="G22" i="68"/>
  <c r="G26" i="12"/>
  <c r="G22" i="11"/>
  <c r="C100" i="43"/>
  <c r="E11" i="43"/>
  <c r="E10" i="43"/>
  <c r="E9" i="43"/>
  <c r="E8" i="43"/>
  <c r="C7" i="43" s="1"/>
  <c r="E81" i="43"/>
  <c r="B79" i="43" s="1"/>
  <c r="E48" i="43"/>
  <c r="B46" i="43"/>
  <c r="E70" i="43"/>
  <c r="B68" i="43"/>
  <c r="F100" i="43"/>
  <c r="H17" i="43"/>
  <c r="H81" i="43"/>
  <c r="H84" i="43"/>
  <c r="H53"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A4" i="51"/>
  <c r="B6" i="72" s="1"/>
  <c r="C4" i="12"/>
  <c r="H66" i="43"/>
  <c r="H65" i="43"/>
  <c r="H64" i="43"/>
  <c r="H63" i="43"/>
  <c r="H55" i="43"/>
  <c r="H56" i="43"/>
  <c r="H72" i="43"/>
  <c r="L20" i="6"/>
  <c r="B6" i="1"/>
  <c r="E6" i="1"/>
  <c r="S8" i="1"/>
  <c r="T8" i="1" s="1"/>
  <c r="K11" i="1"/>
  <c r="M11" i="1" s="1"/>
  <c r="AP6" i="1"/>
  <c r="B9" i="1"/>
  <c r="E9" i="1"/>
  <c r="K7" i="1"/>
  <c r="M7" i="1" s="1"/>
  <c r="O7" i="1" s="1"/>
  <c r="P7" i="1" s="1"/>
  <c r="G1" i="15"/>
  <c r="G1" i="69"/>
  <c r="G1" i="67"/>
  <c r="W23" i="40"/>
  <c r="U32" i="40"/>
  <c r="AB31" i="40"/>
  <c r="S37" i="40"/>
  <c r="AB28" i="40"/>
  <c r="W34" i="40"/>
  <c r="W19" i="40"/>
  <c r="W27" i="40"/>
  <c r="S36" i="40"/>
  <c r="W37" i="40"/>
  <c r="AC14" i="40"/>
  <c r="S13" i="40"/>
  <c r="S33" i="40"/>
  <c r="AA15" i="40"/>
  <c r="U11" i="40"/>
  <c r="S31" i="40"/>
  <c r="AB13" i="40"/>
  <c r="U15" i="40"/>
  <c r="U8" i="40"/>
  <c r="S8" i="40"/>
  <c r="AA39" i="39"/>
  <c r="AB23" i="39"/>
  <c r="AC25" i="39"/>
  <c r="U13" i="39"/>
  <c r="AB13" i="39"/>
  <c r="AA13" i="39"/>
  <c r="S13" i="39"/>
  <c r="S14" i="39"/>
  <c r="AA14" i="39"/>
  <c r="U43" i="39"/>
  <c r="AB43" i="39"/>
  <c r="AA27" i="39"/>
  <c r="S27" i="39"/>
  <c r="W17" i="39"/>
  <c r="W31" i="39"/>
  <c r="AC31" i="39"/>
  <c r="AA45" i="39"/>
  <c r="AB39" i="39"/>
  <c r="W34" i="39"/>
  <c r="S8" i="39"/>
  <c r="S20" i="36"/>
  <c r="AC25" i="36"/>
  <c r="S28" i="36"/>
  <c r="U32" i="36"/>
  <c r="W29" i="36"/>
  <c r="AC20" i="36"/>
  <c r="AB28" i="36"/>
  <c r="AA13" i="36"/>
  <c r="W22" i="36"/>
  <c r="W23" i="36"/>
  <c r="S9" i="36"/>
  <c r="AB20" i="35"/>
  <c r="AC25" i="35"/>
  <c r="U25" i="35"/>
  <c r="S24" i="35"/>
  <c r="W33" i="35"/>
  <c r="AA30" i="35"/>
  <c r="U24" i="35"/>
  <c r="S35" i="35"/>
  <c r="W35" i="35"/>
  <c r="AA16" i="35"/>
  <c r="AA35" i="37"/>
  <c r="W36" i="37"/>
  <c r="S27" i="37"/>
  <c r="S28" i="37"/>
  <c r="W32" i="37"/>
  <c r="U36" i="37"/>
  <c r="S40" i="37"/>
  <c r="U38" i="37"/>
  <c r="AB37" i="37"/>
  <c r="S33" i="37"/>
  <c r="AC34" i="37"/>
  <c r="AA31" i="37"/>
  <c r="U19" i="37"/>
  <c r="AA29" i="37"/>
  <c r="AA8" i="37"/>
  <c r="U8" i="37"/>
  <c r="AA40" i="34"/>
  <c r="AB40" i="34"/>
  <c r="U19" i="34"/>
  <c r="W19" i="34"/>
  <c r="AB33" i="34"/>
  <c r="AA31" i="34"/>
  <c r="AA30" i="34"/>
  <c r="AB45" i="34"/>
  <c r="AB47" i="34"/>
  <c r="U25" i="34"/>
  <c r="AB36" i="34"/>
  <c r="W33" i="34"/>
  <c r="AC14" i="34"/>
  <c r="AC29" i="34"/>
  <c r="W29" i="34"/>
  <c r="W46" i="34"/>
  <c r="AC46" i="34"/>
  <c r="S32" i="34"/>
  <c r="AA32" i="34"/>
  <c r="U30" i="34"/>
  <c r="AB30" i="34"/>
  <c r="S37" i="34"/>
  <c r="U38" i="34"/>
  <c r="AC40" i="34"/>
  <c r="W40" i="34"/>
  <c r="AA19" i="34"/>
  <c r="S19" i="34"/>
  <c r="AA36" i="34"/>
  <c r="S36" i="34"/>
  <c r="AA8" i="34"/>
  <c r="S8" i="34"/>
  <c r="AB9" i="34"/>
  <c r="U9" i="34"/>
  <c r="S46" i="34"/>
  <c r="AA46" i="34"/>
  <c r="U14" i="34"/>
  <c r="AB14" i="34"/>
  <c r="AC43" i="34"/>
  <c r="W43" i="34"/>
  <c r="AA11" i="34"/>
  <c r="W23" i="34"/>
  <c r="AC23" i="34"/>
  <c r="AC35" i="34"/>
  <c r="W35" i="34"/>
  <c r="U12" i="34"/>
  <c r="AB12" i="34"/>
  <c r="AB28" i="33"/>
  <c r="AC37" i="33"/>
  <c r="W46" i="33"/>
  <c r="U39" i="33"/>
  <c r="U38" i="33"/>
  <c r="S33" i="33"/>
  <c r="AB34" i="33"/>
  <c r="U44" i="33"/>
  <c r="AB44" i="33"/>
  <c r="S30" i="33"/>
  <c r="AC14" i="33"/>
  <c r="W14" i="33"/>
  <c r="AC30" i="33"/>
  <c r="W30" i="33"/>
  <c r="S31" i="33"/>
  <c r="AA31" i="33"/>
  <c r="W13" i="33"/>
  <c r="AC13" i="33"/>
  <c r="U15" i="33"/>
  <c r="S11" i="33"/>
  <c r="U37" i="33"/>
  <c r="AC28" i="33"/>
  <c r="S28" i="33"/>
  <c r="W9" i="33"/>
  <c r="W8" i="33"/>
  <c r="S44" i="21"/>
  <c r="AB42" i="21"/>
  <c r="U28" i="21"/>
  <c r="AA11" i="21"/>
  <c r="S45" i="21"/>
  <c r="K101" i="21"/>
  <c r="L101" i="21" s="1"/>
  <c r="M101" i="21" s="1"/>
  <c r="F33" i="21"/>
  <c r="AA33" i="21" s="1"/>
  <c r="J33" i="21"/>
  <c r="W33" i="21" s="1"/>
  <c r="H33" i="21"/>
  <c r="AB33" i="21" s="1"/>
  <c r="F37" i="21"/>
  <c r="AA37" i="21"/>
  <c r="AA26" i="21"/>
  <c r="AB14" i="21"/>
  <c r="AB46" i="21"/>
  <c r="U40" i="21"/>
  <c r="AB31" i="21"/>
  <c r="U31" i="21"/>
  <c r="AC15" i="21"/>
  <c r="U13" i="21"/>
  <c r="AB13" i="21"/>
  <c r="W8" i="21"/>
  <c r="S35" i="21"/>
  <c r="AB37" i="21"/>
  <c r="J37" i="21"/>
  <c r="W37" i="21" s="1"/>
  <c r="H15" i="21"/>
  <c r="U15" i="21"/>
  <c r="J17" i="21"/>
  <c r="AC17" i="21" s="1"/>
  <c r="AC19" i="21"/>
  <c r="W39" i="21"/>
  <c r="AC14" i="21"/>
  <c r="W30" i="21"/>
  <c r="S46" i="21"/>
  <c r="H45" i="21"/>
  <c r="F29" i="21"/>
  <c r="S29" i="21"/>
  <c r="F13" i="21"/>
  <c r="AA13" i="21"/>
  <c r="AC38" i="21"/>
  <c r="H32" i="21"/>
  <c r="H9" i="21"/>
  <c r="U9" i="21" s="1"/>
  <c r="J9" i="21"/>
  <c r="J32" i="21"/>
  <c r="F32" i="21"/>
  <c r="AA31" i="21"/>
  <c r="U17" i="21"/>
  <c r="W29" i="21"/>
  <c r="S19" i="21"/>
  <c r="S9" i="21"/>
  <c r="AA9" i="21"/>
  <c r="K141" i="21"/>
  <c r="K144" i="21"/>
  <c r="K143" i="21"/>
  <c r="AB25" i="21"/>
  <c r="AA30" i="21"/>
  <c r="W13" i="21"/>
  <c r="W42" i="21"/>
  <c r="AC45" i="21"/>
  <c r="F10" i="21"/>
  <c r="S10" i="21" s="1"/>
  <c r="K145" i="21"/>
  <c r="W25" i="21"/>
  <c r="AA29" i="21"/>
  <c r="W31"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F30" i="11"/>
  <c r="C48" i="11" s="1"/>
  <c r="T11" i="1"/>
  <c r="D19" i="12"/>
  <c r="C19" i="12" s="1"/>
  <c r="AQ9" i="1"/>
  <c r="T9" i="1"/>
  <c r="T13" i="1"/>
  <c r="D9" i="68"/>
  <c r="C9" i="68" s="1"/>
  <c r="S7" i="1"/>
  <c r="E7" i="70"/>
  <c r="AA39" i="40"/>
  <c r="S39" i="40"/>
  <c r="J32" i="39"/>
  <c r="AC32" i="39" s="1"/>
  <c r="H32" i="39"/>
  <c r="U32" i="39" s="1"/>
  <c r="S32" i="39"/>
  <c r="AC21" i="39"/>
  <c r="W21" i="39"/>
  <c r="S26" i="35"/>
  <c r="AB9" i="35"/>
  <c r="AA9" i="35"/>
  <c r="S9" i="35"/>
  <c r="AC26" i="35"/>
  <c r="W26" i="35"/>
  <c r="AB26" i="35"/>
  <c r="U26" i="35"/>
  <c r="S17" i="37"/>
  <c r="J19" i="37"/>
  <c r="W19" i="37" s="1"/>
  <c r="G75" i="37"/>
  <c r="S19" i="37"/>
  <c r="AA19" i="37"/>
  <c r="AA23" i="37"/>
  <c r="J23" i="37"/>
  <c r="W23" i="37" s="1"/>
  <c r="J10" i="37"/>
  <c r="AC10" i="37" s="1"/>
  <c r="I60" i="37"/>
  <c r="G63" i="37"/>
  <c r="H63" i="37" s="1"/>
  <c r="I63" i="37" s="1"/>
  <c r="J63" i="37" s="1"/>
  <c r="K63" i="37" s="1"/>
  <c r="L63" i="37" s="1"/>
  <c r="M63" i="37" s="1"/>
  <c r="H11" i="37"/>
  <c r="AB10" i="37"/>
  <c r="U10" i="37"/>
  <c r="G70" i="34"/>
  <c r="H11" i="34"/>
  <c r="U10" i="34"/>
  <c r="J10" i="34"/>
  <c r="W10" i="34" s="1"/>
  <c r="I67" i="34"/>
  <c r="AB41" i="33"/>
  <c r="U41" i="33"/>
  <c r="W35" i="33"/>
  <c r="AC35" i="33"/>
  <c r="H111" i="33"/>
  <c r="I111" i="33"/>
  <c r="J111" i="33" s="1"/>
  <c r="K111" i="33" s="1"/>
  <c r="L111" i="33" s="1"/>
  <c r="M111" i="33" s="1"/>
  <c r="J36" i="33"/>
  <c r="AC36" i="33" s="1"/>
  <c r="H36" i="33"/>
  <c r="S36" i="33"/>
  <c r="AA36" i="33"/>
  <c r="AC32" i="33"/>
  <c r="AB27" i="33"/>
  <c r="G91" i="33"/>
  <c r="H91" i="33" s="1"/>
  <c r="I91" i="33" s="1"/>
  <c r="J91" i="33" s="1"/>
  <c r="K91" i="33" s="1"/>
  <c r="L91" i="33" s="1"/>
  <c r="M91" i="33" s="1"/>
  <c r="J27" i="33"/>
  <c r="W27" i="33" s="1"/>
  <c r="U25" i="33"/>
  <c r="AB25" i="33"/>
  <c r="S25" i="33"/>
  <c r="AA25" i="33"/>
  <c r="G87" i="33"/>
  <c r="H87" i="33" s="1"/>
  <c r="I87" i="33" s="1"/>
  <c r="J87" i="33"/>
  <c r="K87" i="33" s="1"/>
  <c r="L87" i="33" s="1"/>
  <c r="M87" i="33" s="1"/>
  <c r="J25" i="33"/>
  <c r="W25" i="33" s="1"/>
  <c r="AB23" i="33"/>
  <c r="U23" i="33"/>
  <c r="F23" i="33"/>
  <c r="AA23" i="33" s="1"/>
  <c r="AC23" i="33"/>
  <c r="W23" i="33"/>
  <c r="H19" i="33"/>
  <c r="AB19" i="33" s="1"/>
  <c r="G81" i="33"/>
  <c r="G79" i="33"/>
  <c r="H17" i="33"/>
  <c r="AB17" i="33" s="1"/>
  <c r="F17" i="33"/>
  <c r="AA17" i="33" s="1"/>
  <c r="W17" i="33"/>
  <c r="AC17" i="33"/>
  <c r="U10" i="33"/>
  <c r="AB10" i="33"/>
  <c r="AC10" i="33"/>
  <c r="W10" i="33"/>
  <c r="AC37" i="21"/>
  <c r="U33" i="21"/>
  <c r="S37" i="21"/>
  <c r="AB15" i="21"/>
  <c r="J23" i="21"/>
  <c r="F85" i="21"/>
  <c r="G85" i="21" s="1"/>
  <c r="H23" i="21"/>
  <c r="U23" i="21" s="1"/>
  <c r="S13" i="21"/>
  <c r="AR8" i="1"/>
  <c r="AQ8" i="1"/>
  <c r="L27" i="6"/>
  <c r="AP7" i="1"/>
  <c r="AC33" i="21"/>
  <c r="W32" i="21"/>
  <c r="AC32" i="21"/>
  <c r="AB9" i="21"/>
  <c r="AA32" i="21"/>
  <c r="S32" i="21"/>
  <c r="W9" i="21"/>
  <c r="AC9" i="21"/>
  <c r="AB32" i="21"/>
  <c r="U32" i="21"/>
  <c r="AA10" i="21"/>
  <c r="AR7" i="1"/>
  <c r="AC23" i="37"/>
  <c r="AB11" i="37"/>
  <c r="U11" i="37"/>
  <c r="J11" i="37"/>
  <c r="AC11" i="37" s="1"/>
  <c r="U11" i="34"/>
  <c r="AB11" i="34"/>
  <c r="H70" i="34"/>
  <c r="I70" i="34" s="1"/>
  <c r="J70" i="34" s="1"/>
  <c r="K70" i="34" s="1"/>
  <c r="L70" i="34" s="1"/>
  <c r="M70" i="34" s="1"/>
  <c r="J11" i="34"/>
  <c r="W11" i="34" s="1"/>
  <c r="W36" i="33"/>
  <c r="U36" i="33"/>
  <c r="AB36" i="33"/>
  <c r="S23" i="33"/>
  <c r="AC23" i="21"/>
  <c r="W23" i="21"/>
  <c r="W11" i="37"/>
  <c r="R7" i="1"/>
  <c r="F34" i="11"/>
  <c r="F34" i="68"/>
  <c r="R8" i="1"/>
  <c r="AE7" i="1"/>
  <c r="AE8" i="1"/>
  <c r="AG6" i="1"/>
  <c r="H109" i="9"/>
  <c r="H110" i="9"/>
  <c r="D18" i="53" s="1"/>
  <c r="B35" i="72" s="1"/>
  <c r="D124" i="9"/>
  <c r="D10" i="52" s="1"/>
  <c r="D16" i="53"/>
  <c r="B34" i="72" s="1"/>
  <c r="D17" i="53"/>
  <c r="B36" i="72" s="1"/>
  <c r="AD3" i="71"/>
  <c r="J1" i="7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15" i="71"/>
  <c r="D15" i="71"/>
  <c r="D16" i="71"/>
  <c r="D17" i="71"/>
  <c r="U17" i="71" s="1"/>
  <c r="S17" i="71"/>
  <c r="T17" i="71"/>
  <c r="AB15" i="71"/>
  <c r="X13" i="71"/>
  <c r="X12" i="71"/>
  <c r="AA13" i="71"/>
  <c r="AA12" i="71"/>
  <c r="X16" i="71"/>
  <c r="Z11" i="71"/>
  <c r="Y12" i="71"/>
  <c r="Z12" i="71" s="1"/>
  <c r="AB13" i="71"/>
  <c r="AB12" i="71"/>
  <c r="S13" i="71"/>
  <c r="F14" i="71"/>
  <c r="F13" i="71"/>
  <c r="F12" i="71" s="1"/>
  <c r="F11" i="71" s="1"/>
  <c r="F10" i="71" s="1"/>
  <c r="Y13" i="71"/>
  <c r="Z13" i="71" s="1"/>
  <c r="X3" i="71"/>
  <c r="C14" i="71"/>
  <c r="D14" i="71" s="1"/>
  <c r="G20" i="43"/>
  <c r="E41" i="43"/>
  <c r="C41" i="43" s="1"/>
  <c r="C20" i="43"/>
  <c r="I59" i="34"/>
  <c r="J59" i="34" s="1"/>
  <c r="B8" i="76"/>
  <c r="B9" i="76"/>
  <c r="AO9" i="1"/>
  <c r="B7" i="76"/>
  <c r="B10" i="76"/>
  <c r="D2" i="21"/>
  <c r="M23" i="15"/>
  <c r="F13" i="15"/>
  <c r="AO7" i="1"/>
  <c r="L47" i="67"/>
  <c r="D2" i="37"/>
  <c r="E10" i="76"/>
  <c r="F43" i="15"/>
  <c r="F7" i="15"/>
  <c r="F4" i="73"/>
  <c r="D2" i="34"/>
  <c r="D6" i="73"/>
  <c r="M9" i="15"/>
  <c r="F20" i="31"/>
  <c r="C76" i="67"/>
  <c r="AO11" i="1"/>
  <c r="F16" i="67"/>
  <c r="F9" i="15"/>
  <c r="M9" i="67"/>
  <c r="L48" i="67"/>
  <c r="D2" i="35"/>
  <c r="F36" i="15"/>
  <c r="M29" i="15"/>
  <c r="F26" i="15"/>
  <c r="J15" i="15"/>
  <c r="E2" i="69"/>
  <c r="C76" i="15"/>
  <c r="F5" i="73"/>
  <c r="AO10" i="1"/>
  <c r="F41" i="67"/>
  <c r="B11" i="76"/>
  <c r="E7" i="76"/>
  <c r="E8" i="76"/>
  <c r="F42" i="67"/>
  <c r="M24" i="67"/>
  <c r="M26" i="67"/>
  <c r="F40" i="67"/>
  <c r="M29" i="67"/>
  <c r="F37" i="67"/>
  <c r="F7" i="67"/>
  <c r="F13" i="67"/>
  <c r="F40" i="15"/>
  <c r="F9" i="67"/>
  <c r="F8" i="67"/>
  <c r="F36" i="67"/>
  <c r="E13" i="76"/>
  <c r="M22" i="15"/>
  <c r="M8" i="67"/>
  <c r="E11" i="76"/>
  <c r="F3" i="73"/>
  <c r="F16" i="15"/>
  <c r="F38" i="67"/>
  <c r="F8" i="15"/>
  <c r="F42" i="15"/>
  <c r="D7" i="73"/>
  <c r="D4" i="73"/>
  <c r="F43" i="67"/>
  <c r="F35" i="67"/>
  <c r="AO12" i="1"/>
  <c r="L47" i="15"/>
  <c r="F26" i="67"/>
  <c r="M24" i="15"/>
  <c r="B13" i="76"/>
  <c r="M26" i="15"/>
  <c r="J15" i="67"/>
  <c r="B12" i="76"/>
  <c r="AO13" i="1"/>
  <c r="M28" i="15"/>
  <c r="M27" i="15"/>
  <c r="M28" i="67"/>
  <c r="F6" i="67"/>
  <c r="D2" i="36"/>
  <c r="E12" i="76"/>
  <c r="E9" i="76"/>
  <c r="M23" i="67"/>
  <c r="L48" i="15"/>
  <c r="D2" i="33"/>
  <c r="D3" i="73"/>
  <c r="M8" i="15"/>
  <c r="M22" i="67"/>
  <c r="M27" i="67"/>
  <c r="F7" i="73"/>
  <c r="F37" i="15"/>
  <c r="F38" i="15"/>
  <c r="AO8" i="1"/>
  <c r="M21" i="67"/>
  <c r="M6" i="15"/>
  <c r="E2" i="68"/>
  <c r="F6" i="73"/>
  <c r="M6" i="67"/>
  <c r="D5" i="73"/>
  <c r="W40" i="39" l="1"/>
  <c r="AC37" i="39"/>
  <c r="W37" i="39"/>
  <c r="W32" i="39"/>
  <c r="W23" i="39"/>
  <c r="W27" i="39"/>
  <c r="U11" i="39"/>
  <c r="F11" i="39"/>
  <c r="AA11" i="39" s="1"/>
  <c r="H41" i="39"/>
  <c r="U38" i="39"/>
  <c r="AC38" i="39"/>
  <c r="AC41" i="39"/>
  <c r="C40" i="11"/>
  <c r="C23" i="12"/>
  <c r="E19" i="11"/>
  <c r="A4" i="52"/>
  <c r="B41" i="72" s="1"/>
  <c r="C36" i="69"/>
  <c r="U19" i="33"/>
  <c r="H78" i="43"/>
  <c r="H75" i="43"/>
  <c r="H71" i="43"/>
  <c r="H73" i="43"/>
  <c r="BF5" i="3"/>
  <c r="U25" i="36"/>
  <c r="AB25" i="36"/>
  <c r="W29" i="33"/>
  <c r="AC29" i="33"/>
  <c r="AC28" i="40"/>
  <c r="W28" i="40"/>
  <c r="AZ569" i="3"/>
  <c r="BA568" i="3"/>
  <c r="AZ568" i="3" s="1"/>
  <c r="BO5" i="3"/>
  <c r="BL567" i="3"/>
  <c r="AZ567" i="3" s="1"/>
  <c r="BL566" i="3"/>
  <c r="BS5" i="3"/>
  <c r="H9" i="37"/>
  <c r="F9" i="37"/>
  <c r="BL572" i="3"/>
  <c r="BN5" i="3"/>
  <c r="BE5" i="3"/>
  <c r="BA572" i="3"/>
  <c r="G555" i="3"/>
  <c r="H5" i="3"/>
  <c r="BG5" i="3"/>
  <c r="BA553" i="3"/>
  <c r="AZ553" i="3" s="1"/>
  <c r="C13" i="71"/>
  <c r="W10" i="37"/>
  <c r="AA19" i="33"/>
  <c r="AB17" i="40"/>
  <c r="AA14" i="40"/>
  <c r="S14" i="40"/>
  <c r="AA43" i="39"/>
  <c r="S43" i="39"/>
  <c r="AA12" i="39"/>
  <c r="S12" i="39"/>
  <c r="AZ576" i="3"/>
  <c r="AZ575" i="3"/>
  <c r="AZ574" i="3"/>
  <c r="BI5" i="3"/>
  <c r="BA573" i="3"/>
  <c r="AZ573" i="3" s="1"/>
  <c r="BJ5" i="3"/>
  <c r="BA566" i="3"/>
  <c r="BB5" i="3"/>
  <c r="BH5" i="3"/>
  <c r="E15" i="6" s="1"/>
  <c r="BA555" i="3"/>
  <c r="BA554" i="3"/>
  <c r="AZ554" i="3" s="1"/>
  <c r="BD5" i="3"/>
  <c r="BA552" i="3"/>
  <c r="AZ552" i="3" s="1"/>
  <c r="BC5" i="3"/>
  <c r="S22" i="31"/>
  <c r="R22" i="31" s="1"/>
  <c r="H76" i="43"/>
  <c r="AC25" i="33"/>
  <c r="AC19" i="37"/>
  <c r="S33" i="21"/>
  <c r="D121" i="9"/>
  <c r="D7" i="52" s="1"/>
  <c r="D6" i="52"/>
  <c r="AZ17" i="3"/>
  <c r="J9" i="37"/>
  <c r="S32" i="40"/>
  <c r="AA32" i="40"/>
  <c r="AA15" i="34"/>
  <c r="S15" i="34"/>
  <c r="BK5" i="3"/>
  <c r="H77" i="43"/>
  <c r="AC11" i="34"/>
  <c r="AB23" i="21"/>
  <c r="AA12" i="33"/>
  <c r="U35" i="37"/>
  <c r="AB35" i="37"/>
  <c r="S29" i="34"/>
  <c r="AA29" i="34"/>
  <c r="AA46" i="33"/>
  <c r="S46" i="33"/>
  <c r="U17" i="33"/>
  <c r="S34" i="37"/>
  <c r="AA34" i="37"/>
  <c r="BL554" i="3"/>
  <c r="BM5" i="3"/>
  <c r="F29" i="6" s="1"/>
  <c r="BL552" i="3"/>
  <c r="BT5" i="3"/>
  <c r="G28" i="6" s="1"/>
  <c r="D125" i="9"/>
  <c r="D11" i="52" s="1"/>
  <c r="AC27" i="33"/>
  <c r="AA11" i="37"/>
  <c r="S11" i="37"/>
  <c r="BP5" i="3"/>
  <c r="BL555" i="3"/>
  <c r="AC45" i="34"/>
  <c r="W45" i="34"/>
  <c r="AA16" i="36"/>
  <c r="S16" i="36"/>
  <c r="W17" i="37"/>
  <c r="AC17" i="37"/>
  <c r="AZ123" i="3"/>
  <c r="G17" i="43"/>
  <c r="C16" i="43" s="1"/>
  <c r="H14" i="74"/>
  <c r="B7" i="74" s="1"/>
  <c r="S17" i="33"/>
  <c r="AC10" i="34"/>
  <c r="U45" i="21"/>
  <c r="AB45" i="21"/>
  <c r="AC27" i="36"/>
  <c r="W27" i="36"/>
  <c r="AC15" i="37"/>
  <c r="W15" i="37"/>
  <c r="U28" i="34"/>
  <c r="AB28" i="34"/>
  <c r="D9" i="69"/>
  <c r="C9" i="69" s="1"/>
  <c r="W17" i="21"/>
  <c r="H85" i="43"/>
  <c r="S27" i="36"/>
  <c r="AB27" i="40"/>
  <c r="H82" i="43"/>
  <c r="AZ378" i="3"/>
  <c r="K5" i="4"/>
  <c r="B47" i="48" s="1"/>
  <c r="BQ5" i="3"/>
  <c r="BL571" i="3"/>
  <c r="AZ571" i="3" s="1"/>
  <c r="AZ511" i="3"/>
  <c r="AZ529" i="3"/>
  <c r="AZ545" i="3"/>
  <c r="AZ582" i="3"/>
  <c r="C21" i="39"/>
  <c r="B71" i="43"/>
  <c r="T12" i="1"/>
  <c r="S23" i="21"/>
  <c r="AB20" i="36"/>
  <c r="AB19" i="40"/>
  <c r="AC5" i="3"/>
  <c r="AZ313" i="3"/>
  <c r="W28" i="35"/>
  <c r="AC28" i="35"/>
  <c r="W8" i="36"/>
  <c r="AC8" i="36"/>
  <c r="U44" i="34"/>
  <c r="AB27" i="36"/>
  <c r="AA30" i="40"/>
  <c r="AA29" i="35"/>
  <c r="S29" i="35"/>
  <c r="AZ585" i="3"/>
  <c r="AZ351" i="3"/>
  <c r="AZ344" i="3"/>
  <c r="AA41" i="34"/>
  <c r="AZ524" i="3"/>
  <c r="AZ562" i="3"/>
  <c r="AC30" i="34"/>
  <c r="J44" i="21"/>
  <c r="H44" i="21"/>
  <c r="AR11" i="1"/>
  <c r="H88" i="43"/>
  <c r="F48" i="9"/>
  <c r="O52" i="9" s="1"/>
  <c r="F28" i="85"/>
  <c r="C28" i="85" s="1"/>
  <c r="F32" i="85"/>
  <c r="F60" i="85" s="1"/>
  <c r="M18" i="85"/>
  <c r="H83" i="43"/>
  <c r="AZ380" i="3"/>
  <c r="AC13" i="36"/>
  <c r="W13" i="36"/>
  <c r="S41" i="33"/>
  <c r="AC34" i="36"/>
  <c r="BL586" i="3"/>
  <c r="AZ586" i="3" s="1"/>
  <c r="H27" i="21"/>
  <c r="F27" i="21"/>
  <c r="J27" i="21"/>
  <c r="J23" i="35"/>
  <c r="F23" i="35"/>
  <c r="H23" i="35"/>
  <c r="F45" i="33"/>
  <c r="H45" i="33"/>
  <c r="J45" i="33"/>
  <c r="H32" i="34"/>
  <c r="J32" i="34"/>
  <c r="AZ326" i="3"/>
  <c r="AZ507" i="3"/>
  <c r="AB28" i="37"/>
  <c r="U28" i="37"/>
  <c r="F12" i="21"/>
  <c r="AA44" i="33"/>
  <c r="U30" i="35"/>
  <c r="F26" i="37"/>
  <c r="H26" i="37"/>
  <c r="H44" i="39"/>
  <c r="F34" i="35"/>
  <c r="H34" i="35"/>
  <c r="J26" i="37"/>
  <c r="H40" i="40"/>
  <c r="F40" i="40"/>
  <c r="J34" i="35"/>
  <c r="H36" i="35"/>
  <c r="BA550" i="3"/>
  <c r="AZ550" i="3" s="1"/>
  <c r="J9" i="36"/>
  <c r="BL550" i="3"/>
  <c r="G570" i="3"/>
  <c r="AZ425" i="3"/>
  <c r="AZ426" i="3"/>
  <c r="AZ439" i="3"/>
  <c r="AZ440" i="3"/>
  <c r="AZ451" i="3"/>
  <c r="AZ477" i="3"/>
  <c r="AZ478" i="3"/>
  <c r="AZ479" i="3"/>
  <c r="AZ402" i="3"/>
  <c r="AZ411" i="3"/>
  <c r="AZ413" i="3"/>
  <c r="AZ438" i="3"/>
  <c r="AZ463" i="3"/>
  <c r="AZ424" i="3"/>
  <c r="AZ409" i="3"/>
  <c r="AZ432" i="3"/>
  <c r="AZ446" i="3"/>
  <c r="AZ458" i="3"/>
  <c r="AZ487" i="3"/>
  <c r="AZ430" i="3"/>
  <c r="AZ443" i="3"/>
  <c r="AZ455" i="3"/>
  <c r="AZ467" i="3"/>
  <c r="AZ468" i="3"/>
  <c r="AZ406" i="3"/>
  <c r="AZ407" i="3"/>
  <c r="AZ416" i="3"/>
  <c r="AZ418" i="3"/>
  <c r="AZ429" i="3"/>
  <c r="AZ442" i="3"/>
  <c r="AZ453" i="3"/>
  <c r="AZ482" i="3"/>
  <c r="AZ484" i="3"/>
  <c r="AZ211" i="3"/>
  <c r="AZ246" i="3"/>
  <c r="AZ258" i="3"/>
  <c r="AZ274" i="3"/>
  <c r="AZ161" i="3"/>
  <c r="BA388" i="3"/>
  <c r="AZ388" i="3" s="1"/>
  <c r="AZ208" i="3"/>
  <c r="AZ212" i="3"/>
  <c r="AZ216" i="3"/>
  <c r="AZ230" i="3"/>
  <c r="AZ272" i="3"/>
  <c r="AZ284" i="3"/>
  <c r="AZ293" i="3"/>
  <c r="AZ294" i="3"/>
  <c r="AZ126" i="3"/>
  <c r="BA385" i="3"/>
  <c r="AZ385" i="3" s="1"/>
  <c r="AZ395" i="3"/>
  <c r="AZ226" i="3"/>
  <c r="AZ244" i="3"/>
  <c r="AZ270" i="3"/>
  <c r="AZ292" i="3"/>
  <c r="AZ141" i="3"/>
  <c r="BA384" i="3"/>
  <c r="AZ384" i="3" s="1"/>
  <c r="AZ267" i="3"/>
  <c r="A15" i="62"/>
  <c r="B61" i="72" s="1"/>
  <c r="AZ220" i="3"/>
  <c r="AZ221" i="3"/>
  <c r="AZ278" i="3"/>
  <c r="AZ290" i="3"/>
  <c r="AZ255" i="3"/>
  <c r="AZ264" i="3"/>
  <c r="AZ277" i="3"/>
  <c r="AZ289" i="3"/>
  <c r="M20" i="15"/>
  <c r="M20" i="85"/>
  <c r="F34" i="85"/>
  <c r="F62" i="85" s="1"/>
  <c r="AZ121" i="3"/>
  <c r="AZ125" i="3"/>
  <c r="BL63" i="3"/>
  <c r="AZ63" i="3" s="1"/>
  <c r="BA72" i="3"/>
  <c r="AZ72" i="3" s="1"/>
  <c r="BA84" i="3"/>
  <c r="AZ84" i="3" s="1"/>
  <c r="BL87" i="3"/>
  <c r="BL88" i="3"/>
  <c r="AZ88" i="3" s="1"/>
  <c r="BL90" i="3"/>
  <c r="BA100" i="3"/>
  <c r="AZ100" i="3" s="1"/>
  <c r="BL104" i="3"/>
  <c r="G118" i="3"/>
  <c r="BA120" i="3"/>
  <c r="AZ120" i="3" s="1"/>
  <c r="BA124" i="3"/>
  <c r="AZ124" i="3" s="1"/>
  <c r="BA132" i="3"/>
  <c r="AZ132" i="3" s="1"/>
  <c r="BL137" i="3"/>
  <c r="AZ137" i="3" s="1"/>
  <c r="G138" i="3"/>
  <c r="BL138" i="3"/>
  <c r="AZ138" i="3" s="1"/>
  <c r="BA142" i="3"/>
  <c r="BL145" i="3"/>
  <c r="BA165" i="3"/>
  <c r="AZ165" i="3" s="1"/>
  <c r="BA188" i="3"/>
  <c r="AZ188" i="3" s="1"/>
  <c r="BL193" i="3"/>
  <c r="AZ193" i="3" s="1"/>
  <c r="AZ207" i="3"/>
  <c r="BA18" i="3"/>
  <c r="AZ18" i="3" s="1"/>
  <c r="BL21" i="3"/>
  <c r="AZ21" i="3" s="1"/>
  <c r="BL27" i="3"/>
  <c r="BL30" i="3"/>
  <c r="BA42" i="3"/>
  <c r="AZ42" i="3" s="1"/>
  <c r="BA54" i="3"/>
  <c r="AZ54" i="3" s="1"/>
  <c r="BL56" i="3"/>
  <c r="AZ56" i="3" s="1"/>
  <c r="BA71" i="3"/>
  <c r="AZ71" i="3" s="1"/>
  <c r="BL80" i="3"/>
  <c r="AZ80" i="3" s="1"/>
  <c r="G1" i="85"/>
  <c r="F3" i="35"/>
  <c r="BA122" i="3"/>
  <c r="AZ122" i="3" s="1"/>
  <c r="BL133" i="3"/>
  <c r="AZ133" i="3" s="1"/>
  <c r="BL135" i="3"/>
  <c r="AZ135" i="3" s="1"/>
  <c r="BL141" i="3"/>
  <c r="BL142" i="3"/>
  <c r="BA157" i="3"/>
  <c r="BA162" i="3"/>
  <c r="BL23" i="3"/>
  <c r="AZ23" i="3" s="1"/>
  <c r="AZ48" i="3"/>
  <c r="AZ52" i="3"/>
  <c r="AZ78" i="3"/>
  <c r="AZ96" i="3"/>
  <c r="BL121" i="3"/>
  <c r="BL123" i="3"/>
  <c r="BL127" i="3"/>
  <c r="AZ127" i="3" s="1"/>
  <c r="BL130" i="3"/>
  <c r="AZ130" i="3" s="1"/>
  <c r="BA156" i="3"/>
  <c r="AZ156" i="3" s="1"/>
  <c r="BA201" i="3"/>
  <c r="AZ201" i="3" s="1"/>
  <c r="BA205" i="3"/>
  <c r="BL20" i="3"/>
  <c r="BA33" i="3"/>
  <c r="AZ33" i="3" s="1"/>
  <c r="AZ40" i="3"/>
  <c r="BA45" i="3"/>
  <c r="AZ45" i="3" s="1"/>
  <c r="BL48" i="3"/>
  <c r="BL53" i="3"/>
  <c r="AZ53" i="3" s="1"/>
  <c r="BA59" i="3"/>
  <c r="AZ59" i="3" s="1"/>
  <c r="BA65" i="3"/>
  <c r="AZ65" i="3" s="1"/>
  <c r="BA74" i="3"/>
  <c r="AZ74" i="3" s="1"/>
  <c r="BL79" i="3"/>
  <c r="AZ79" i="3" s="1"/>
  <c r="BA92" i="3"/>
  <c r="AZ92" i="3" s="1"/>
  <c r="BA97" i="3"/>
  <c r="AZ97" i="3" s="1"/>
  <c r="AZ98" i="3"/>
  <c r="BL99" i="3"/>
  <c r="AZ99" i="3" s="1"/>
  <c r="BA114" i="3"/>
  <c r="AZ114" i="3" s="1"/>
  <c r="BL122" i="3"/>
  <c r="G123" i="3"/>
  <c r="BL126" i="3"/>
  <c r="G127" i="3"/>
  <c r="BA149" i="3"/>
  <c r="AZ149" i="3" s="1"/>
  <c r="BA150" i="3"/>
  <c r="AZ150" i="3" s="1"/>
  <c r="BA154" i="3"/>
  <c r="AZ154" i="3" s="1"/>
  <c r="BL158" i="3"/>
  <c r="AZ158" i="3" s="1"/>
  <c r="BL161" i="3"/>
  <c r="BL163" i="3"/>
  <c r="AZ163" i="3" s="1"/>
  <c r="AZ169" i="3"/>
  <c r="G172" i="3"/>
  <c r="BL174" i="3"/>
  <c r="AZ174" i="3" s="1"/>
  <c r="G184" i="3"/>
  <c r="BL186" i="3"/>
  <c r="AZ186" i="3" s="1"/>
  <c r="BA197" i="3"/>
  <c r="AZ197" i="3" s="1"/>
  <c r="BL205" i="3"/>
  <c r="G206" i="3"/>
  <c r="BL207" i="3"/>
  <c r="BA32" i="3"/>
  <c r="AZ34" i="3"/>
  <c r="BA36" i="3"/>
  <c r="AZ36" i="3" s="1"/>
  <c r="BA41" i="3"/>
  <c r="AZ41" i="3" s="1"/>
  <c r="BL44" i="3"/>
  <c r="AZ44" i="3" s="1"/>
  <c r="BL50" i="3"/>
  <c r="AZ50" i="3" s="1"/>
  <c r="BA58" i="3"/>
  <c r="AZ58" i="3" s="1"/>
  <c r="AZ60" i="3"/>
  <c r="BA70" i="3"/>
  <c r="AZ70" i="3" s="1"/>
  <c r="BL73" i="3"/>
  <c r="AZ73" i="3" s="1"/>
  <c r="BL76" i="3"/>
  <c r="AZ76" i="3" s="1"/>
  <c r="BA109" i="3"/>
  <c r="AZ109" i="3" s="1"/>
  <c r="AZ112" i="3"/>
  <c r="AZ145" i="3"/>
  <c r="BA196" i="3"/>
  <c r="AZ196" i="3" s="1"/>
  <c r="BA26" i="3"/>
  <c r="AZ26" i="3" s="1"/>
  <c r="AZ87" i="3"/>
  <c r="AZ90" i="3"/>
  <c r="AZ106" i="3"/>
  <c r="BL112" i="3"/>
  <c r="BA144" i="3"/>
  <c r="AZ144" i="3" s="1"/>
  <c r="BL149" i="3"/>
  <c r="BA153" i="3"/>
  <c r="AZ153" i="3" s="1"/>
  <c r="BL154" i="3"/>
  <c r="BL157" i="3"/>
  <c r="BL162" i="3"/>
  <c r="BA166" i="3"/>
  <c r="AZ166" i="3" s="1"/>
  <c r="BA177" i="3"/>
  <c r="AZ177" i="3" s="1"/>
  <c r="BL199" i="3"/>
  <c r="AZ199" i="3" s="1"/>
  <c r="AZ25" i="3"/>
  <c r="AZ27" i="3"/>
  <c r="AZ30" i="3"/>
  <c r="BL32" i="3"/>
  <c r="BA35" i="3"/>
  <c r="AZ35" i="3" s="1"/>
  <c r="BL38" i="3"/>
  <c r="AZ38" i="3" s="1"/>
  <c r="G39" i="3"/>
  <c r="G5" i="3" s="1"/>
  <c r="B3" i="3" s="1"/>
  <c r="BL40" i="3"/>
  <c r="BA61" i="3"/>
  <c r="AZ61" i="3" s="1"/>
  <c r="BL64" i="3"/>
  <c r="AZ64" i="3" s="1"/>
  <c r="BL69" i="3"/>
  <c r="AZ69" i="3" s="1"/>
  <c r="BA129" i="3"/>
  <c r="AZ129" i="3" s="1"/>
  <c r="BA134" i="3"/>
  <c r="AZ134" i="3" s="1"/>
  <c r="C32" i="71"/>
  <c r="D31" i="71"/>
  <c r="C48" i="71"/>
  <c r="D47" i="71"/>
  <c r="W21" i="21"/>
  <c r="AC21" i="21"/>
  <c r="C36" i="71"/>
  <c r="D35" i="71"/>
  <c r="C53" i="71"/>
  <c r="D52" i="71"/>
  <c r="BL106" i="3"/>
  <c r="G108" i="43"/>
  <c r="G100" i="43"/>
  <c r="BA104" i="3"/>
  <c r="AZ104" i="3" s="1"/>
  <c r="K108" i="43"/>
  <c r="K100" i="43"/>
  <c r="C19" i="71"/>
  <c r="D19" i="71" s="1"/>
  <c r="D20" i="71"/>
  <c r="BL103" i="3"/>
  <c r="AZ103" i="3" s="1"/>
  <c r="N100" i="43"/>
  <c r="F40" i="68"/>
  <c r="C40" i="68"/>
  <c r="D27" i="71"/>
  <c r="C28" i="71"/>
  <c r="C44" i="71"/>
  <c r="D43" i="71"/>
  <c r="D64" i="71"/>
  <c r="C63" i="71"/>
  <c r="D63" i="71" s="1"/>
  <c r="I10" i="66"/>
  <c r="D59" i="71"/>
  <c r="O58" i="71"/>
  <c r="O59" i="71"/>
  <c r="C40" i="71"/>
  <c r="D40" i="71" s="1"/>
  <c r="D39" i="71"/>
  <c r="T57" i="71"/>
  <c r="D57" i="71"/>
  <c r="D72" i="71"/>
  <c r="C71" i="71"/>
  <c r="D71" i="71" s="1"/>
  <c r="C25" i="40"/>
  <c r="AB18" i="36"/>
  <c r="S21" i="37"/>
  <c r="AA19" i="71"/>
  <c r="AB19" i="71"/>
  <c r="E68" i="71"/>
  <c r="E67" i="71" s="1"/>
  <c r="D61" i="71"/>
  <c r="X19" i="71"/>
  <c r="Y20" i="71"/>
  <c r="Z20" i="71" s="1"/>
  <c r="AB22" i="71"/>
  <c r="Y23" i="71"/>
  <c r="Z23" i="71" s="1"/>
  <c r="K56" i="9"/>
  <c r="AB16" i="71"/>
  <c r="AB10" i="71"/>
  <c r="AA7" i="71"/>
  <c r="W25" i="40"/>
  <c r="D60" i="71"/>
  <c r="AB18" i="71"/>
  <c r="C76" i="71"/>
  <c r="C68" i="71"/>
  <c r="O61" i="71"/>
  <c r="X18" i="71"/>
  <c r="AA28" i="71"/>
  <c r="N61" i="71"/>
  <c r="AA22" i="71"/>
  <c r="B60" i="71"/>
  <c r="U65" i="71"/>
  <c r="T73" i="71"/>
  <c r="AA12" i="43"/>
  <c r="AE12" i="43"/>
  <c r="N56" i="9"/>
  <c r="E17" i="71"/>
  <c r="Y14" i="71"/>
  <c r="Z14" i="71" s="1"/>
  <c r="X8" i="71"/>
  <c r="X6" i="71"/>
  <c r="O60" i="71"/>
  <c r="AA3" i="71"/>
  <c r="D65" i="71"/>
  <c r="Y19" i="71"/>
  <c r="Z19" i="71" s="1"/>
  <c r="X28" i="71"/>
  <c r="AA25" i="71"/>
  <c r="Y22" i="71"/>
  <c r="Z22" i="71" s="1"/>
  <c r="AA30" i="71"/>
  <c r="AB24" i="71"/>
  <c r="V61" i="71"/>
  <c r="AA17" i="71"/>
  <c r="Y16" i="71"/>
  <c r="Z16" i="71" s="1"/>
  <c r="AA14" i="71"/>
  <c r="X10" i="71"/>
  <c r="AB11" i="71"/>
  <c r="C23" i="71"/>
  <c r="AB23" i="71"/>
  <c r="F27" i="71"/>
  <c r="F28" i="71" s="1"/>
  <c r="F29" i="71" s="1"/>
  <c r="V29" i="71" s="1"/>
  <c r="X17" i="71"/>
  <c r="AA15" i="71"/>
  <c r="AA8" i="71"/>
  <c r="Y5" i="71"/>
  <c r="Z5" i="71" s="1"/>
  <c r="AB21" i="33"/>
  <c r="W18" i="36"/>
  <c r="S21" i="21"/>
  <c r="B21" i="71"/>
  <c r="Y18" i="71"/>
  <c r="Z18" i="71" s="1"/>
  <c r="X27" i="71"/>
  <c r="X26" i="71"/>
  <c r="F60" i="71"/>
  <c r="AB8" i="71"/>
  <c r="Y6" i="71"/>
  <c r="Z6" i="71" s="1"/>
  <c r="AB5" i="71"/>
  <c r="J29" i="39"/>
  <c r="AC29" i="39" s="1"/>
  <c r="S18" i="36"/>
  <c r="C79" i="71"/>
  <c r="D79" i="71" s="1"/>
  <c r="Y30" i="71"/>
  <c r="Z30" i="71" s="1"/>
  <c r="X24" i="71"/>
  <c r="E23" i="71"/>
  <c r="E24" i="71" s="1"/>
  <c r="E25" i="71" s="1"/>
  <c r="U25" i="71" s="1"/>
  <c r="AC10" i="43"/>
  <c r="AB14" i="71"/>
  <c r="AB6" i="71"/>
  <c r="F29" i="39"/>
  <c r="AA29" i="39" s="1"/>
  <c r="AA5" i="71"/>
  <c r="O6" i="1"/>
  <c r="P6" i="1" s="1"/>
  <c r="C36" i="11"/>
  <c r="C70" i="39"/>
  <c r="D68" i="39"/>
  <c r="J51" i="15"/>
  <c r="C21" i="68"/>
  <c r="C40" i="69"/>
  <c r="S17" i="39"/>
  <c r="AA21" i="39"/>
  <c r="S25" i="39"/>
  <c r="U25" i="39"/>
  <c r="S29" i="39"/>
  <c r="U42" i="39"/>
  <c r="S42" i="39"/>
  <c r="AA41" i="39"/>
  <c r="U40" i="39"/>
  <c r="S40" i="39"/>
  <c r="AB32" i="39"/>
  <c r="S23" i="39"/>
  <c r="AB21" i="39"/>
  <c r="W19" i="39"/>
  <c r="S19" i="39"/>
  <c r="U17" i="39"/>
  <c r="S15" i="39"/>
  <c r="AC11" i="39"/>
  <c r="S9" i="39"/>
  <c r="W9" i="39"/>
  <c r="U9" i="39"/>
  <c r="D5" i="43"/>
  <c r="C5" i="43"/>
  <c r="T12" i="43" s="1"/>
  <c r="V12" i="43" s="1"/>
  <c r="C29" i="39"/>
  <c r="B66" i="43"/>
  <c r="F30" i="69"/>
  <c r="F48" i="69" s="1"/>
  <c r="M18" i="15"/>
  <c r="F52" i="9"/>
  <c r="C30" i="11"/>
  <c r="F54" i="9"/>
  <c r="F32" i="15"/>
  <c r="F60" i="15" s="1"/>
  <c r="F32" i="67"/>
  <c r="F60" i="67" s="1"/>
  <c r="F28" i="67"/>
  <c r="C28" i="67" s="1"/>
  <c r="C77" i="9"/>
  <c r="C74" i="9" s="1"/>
  <c r="C13" i="12"/>
  <c r="D68" i="9"/>
  <c r="F28" i="15"/>
  <c r="C28" i="15" s="1"/>
  <c r="M18" i="67"/>
  <c r="F31" i="12"/>
  <c r="C31" i="12" s="1"/>
  <c r="F30" i="68"/>
  <c r="F53" i="9"/>
  <c r="C21" i="69"/>
  <c r="D22" i="67"/>
  <c r="O11" i="1"/>
  <c r="P11" i="1" s="1"/>
  <c r="O9" i="1"/>
  <c r="P9" i="1" s="1"/>
  <c r="AQ7" i="1"/>
  <c r="T7" i="1"/>
  <c r="O12" i="1"/>
  <c r="P12" i="1" s="1"/>
  <c r="O8" i="1"/>
  <c r="H16" i="1"/>
  <c r="Q16"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14" i="43"/>
  <c r="V14" i="43" s="1"/>
  <c r="G16" i="1"/>
  <c r="F10" i="40" s="1"/>
  <c r="D23" i="67"/>
  <c r="G25" i="12"/>
  <c r="G41" i="11"/>
  <c r="G27" i="12"/>
  <c r="G41" i="68"/>
  <c r="K59" i="34"/>
  <c r="L59" i="34" s="1"/>
  <c r="M59" i="34" s="1"/>
  <c r="N59" i="34" s="1"/>
  <c r="O59" i="34" s="1"/>
  <c r="J46" i="36"/>
  <c r="K46" i="36" s="1"/>
  <c r="L46" i="36" s="1"/>
  <c r="M46" i="36" s="1"/>
  <c r="N46" i="36" s="1"/>
  <c r="O46" i="36" s="1"/>
  <c r="F7"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A18" i="62" s="1"/>
  <c r="B64" i="72" s="1"/>
  <c r="T11" i="43"/>
  <c r="V11" i="43" s="1"/>
  <c r="Y9" i="71"/>
  <c r="Z9" i="71" s="1"/>
  <c r="Y8" i="71"/>
  <c r="Z8" i="71" s="1"/>
  <c r="AA9" i="71"/>
  <c r="AB3" i="71"/>
  <c r="C35" i="43"/>
  <c r="E35" i="43" s="1"/>
  <c r="C36" i="43"/>
  <c r="E36" i="43" s="1"/>
  <c r="C39" i="43"/>
  <c r="C37" i="43"/>
  <c r="E37" i="43" s="1"/>
  <c r="B9" i="71"/>
  <c r="X9" i="71"/>
  <c r="AB9" i="71"/>
  <c r="Y3" i="71"/>
  <c r="Z3" i="71" s="1"/>
  <c r="F9" i="71"/>
  <c r="F8" i="71" s="1"/>
  <c r="F7" i="71" s="1"/>
  <c r="F6" i="71" s="1"/>
  <c r="F5" i="71" s="1"/>
  <c r="AF3" i="71"/>
  <c r="P22" i="43" s="1"/>
  <c r="C34" i="43"/>
  <c r="C33" i="43"/>
  <c r="T16" i="43"/>
  <c r="V16" i="43" s="1"/>
  <c r="T8" i="43"/>
  <c r="V8" i="43" s="1"/>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6" i="67"/>
  <c r="C17" i="67"/>
  <c r="C16" i="15"/>
  <c r="G1" i="73"/>
  <c r="C14" i="67"/>
  <c r="I21" i="66" l="1"/>
  <c r="C29" i="66" s="1"/>
  <c r="C28" i="66"/>
  <c r="S11" i="39"/>
  <c r="U41" i="39"/>
  <c r="AB41" i="39"/>
  <c r="E246" i="3"/>
  <c r="S6" i="3"/>
  <c r="E156" i="3"/>
  <c r="E122" i="3"/>
  <c r="E207" i="3"/>
  <c r="E271" i="3"/>
  <c r="E145" i="3"/>
  <c r="E107" i="3"/>
  <c r="E347" i="3"/>
  <c r="E124" i="3"/>
  <c r="AR6" i="3"/>
  <c r="E380" i="3"/>
  <c r="E99" i="3"/>
  <c r="E180" i="3"/>
  <c r="E85" i="3"/>
  <c r="E238" i="3"/>
  <c r="E116" i="3"/>
  <c r="E105"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283" i="3"/>
  <c r="E513" i="3"/>
  <c r="E399" i="3"/>
  <c r="E270" i="3"/>
  <c r="E538" i="3"/>
  <c r="E216" i="3"/>
  <c r="E228" i="3"/>
  <c r="E140" i="3"/>
  <c r="E223" i="3"/>
  <c r="E197" i="3"/>
  <c r="E173"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34" i="3"/>
  <c r="E572" i="3"/>
  <c r="E30" i="3"/>
  <c r="E109" i="3"/>
  <c r="E480" i="3"/>
  <c r="E484" i="3"/>
  <c r="E467" i="3"/>
  <c r="E46" i="3"/>
  <c r="E160" i="3"/>
  <c r="E200" i="3"/>
  <c r="E249" i="3"/>
  <c r="E371" i="3"/>
  <c r="E492" i="3"/>
  <c r="E84" i="3"/>
  <c r="E33" i="3"/>
  <c r="E355" i="3"/>
  <c r="E68" i="3"/>
  <c r="E81" i="3"/>
  <c r="E264" i="3"/>
  <c r="E309" i="3"/>
  <c r="E21" i="3"/>
  <c r="E321" i="3"/>
  <c r="E269" i="3"/>
  <c r="E45" i="3"/>
  <c r="E177" i="3"/>
  <c r="E313" i="3"/>
  <c r="K6" i="3"/>
  <c r="R6" i="3"/>
  <c r="E405" i="3"/>
  <c r="E472" i="3"/>
  <c r="E408" i="3"/>
  <c r="E465" i="3"/>
  <c r="I3" i="6"/>
  <c r="E497" i="3"/>
  <c r="E577" i="3"/>
  <c r="E435" i="3"/>
  <c r="E470" i="3"/>
  <c r="E454" i="3"/>
  <c r="E56" i="3"/>
  <c r="E41" i="3"/>
  <c r="E146" i="3"/>
  <c r="E132" i="3"/>
  <c r="E225" i="3"/>
  <c r="E214" i="3"/>
  <c r="E292" i="3"/>
  <c r="E391" i="3"/>
  <c r="E362" i="3"/>
  <c r="E544" i="3"/>
  <c r="E94" i="3"/>
  <c r="E409" i="3"/>
  <c r="E446" i="3"/>
  <c r="E78" i="3"/>
  <c r="E137" i="3"/>
  <c r="E209" i="3"/>
  <c r="E383" i="3"/>
  <c r="AQ6" i="3"/>
  <c r="E48" i="3"/>
  <c r="E232" i="3"/>
  <c r="E364" i="3"/>
  <c r="E19" i="3"/>
  <c r="E287" i="3"/>
  <c r="E524" i="3"/>
  <c r="E583" i="3"/>
  <c r="E231" i="3"/>
  <c r="E252" i="3"/>
  <c r="E199" i="3"/>
  <c r="E369" i="3"/>
  <c r="E493" i="3"/>
  <c r="E573" i="3"/>
  <c r="E527" i="3"/>
  <c r="AA6" i="3"/>
  <c r="E533" i="3"/>
  <c r="E298" i="3"/>
  <c r="E157" i="3"/>
  <c r="E212" i="3"/>
  <c r="E193" i="3"/>
  <c r="E312" i="3"/>
  <c r="E499" i="3"/>
  <c r="T6" i="3"/>
  <c r="E437" i="3"/>
  <c r="E466" i="3"/>
  <c r="E512" i="3"/>
  <c r="E424" i="3"/>
  <c r="E255" i="3"/>
  <c r="E556" i="3"/>
  <c r="AE6" i="3"/>
  <c r="E517" i="3"/>
  <c r="E452" i="3"/>
  <c r="E496" i="3"/>
  <c r="E479" i="3"/>
  <c r="E104" i="3"/>
  <c r="E73" i="3"/>
  <c r="E152" i="3"/>
  <c r="E139" i="3"/>
  <c r="E256" i="3"/>
  <c r="E241" i="3"/>
  <c r="E332" i="3"/>
  <c r="E394" i="3"/>
  <c r="E389" i="3"/>
  <c r="E42" i="3"/>
  <c r="E32" i="3"/>
  <c r="E462" i="3"/>
  <c r="E18" i="3"/>
  <c r="E100" i="3"/>
  <c r="E163" i="3"/>
  <c r="E235" i="3"/>
  <c r="E325" i="3"/>
  <c r="E66" i="3"/>
  <c r="E49" i="3"/>
  <c r="E289" i="3"/>
  <c r="Y6" i="3"/>
  <c r="H6" i="3" s="1"/>
  <c r="E113" i="3"/>
  <c r="E265" i="3"/>
  <c r="E82" i="3"/>
  <c r="E293" i="3"/>
  <c r="E418" i="3"/>
  <c r="E188" i="3"/>
  <c r="E120" i="3"/>
  <c r="E204" i="3"/>
  <c r="E525" i="3"/>
  <c r="Q6" i="3"/>
  <c r="E502" i="3"/>
  <c r="E456" i="3"/>
  <c r="E481" i="3"/>
  <c r="E430" i="3"/>
  <c r="E451" i="3"/>
  <c r="E344" i="3"/>
  <c r="AP6" i="3"/>
  <c r="E13" i="3"/>
  <c r="E429" i="3"/>
  <c r="E55" i="3"/>
  <c r="E37" i="3"/>
  <c r="E115" i="3"/>
  <c r="E203" i="3"/>
  <c r="E274" i="3"/>
  <c r="E363" i="3"/>
  <c r="E76" i="3"/>
  <c r="E98" i="3"/>
  <c r="E307" i="3"/>
  <c r="E179" i="3"/>
  <c r="E390" i="3"/>
  <c r="E421" i="3"/>
  <c r="E416" i="3"/>
  <c r="E500" i="3"/>
  <c r="E450" i="3"/>
  <c r="E463" i="3"/>
  <c r="E57" i="3"/>
  <c r="E150" i="3"/>
  <c r="E226" i="3"/>
  <c r="E378" i="3"/>
  <c r="E110" i="3"/>
  <c r="E455" i="3"/>
  <c r="E219" i="3"/>
  <c r="E112" i="3"/>
  <c r="E62" i="3"/>
  <c r="X6" i="3"/>
  <c r="E523" i="3"/>
  <c r="E169" i="3"/>
  <c r="E117" i="3"/>
  <c r="E277" i="3"/>
  <c r="E164" i="3"/>
  <c r="E393" i="3"/>
  <c r="E532" i="3"/>
  <c r="E552" i="3"/>
  <c r="E427" i="3"/>
  <c r="E474" i="3"/>
  <c r="E398" i="3"/>
  <c r="E440" i="3"/>
  <c r="E288" i="3"/>
  <c r="E566" i="3"/>
  <c r="J6" i="3"/>
  <c r="E537" i="3"/>
  <c r="E460" i="3"/>
  <c r="E401" i="3"/>
  <c r="E475" i="3"/>
  <c r="E90" i="3"/>
  <c r="E108" i="3"/>
  <c r="E168" i="3"/>
  <c r="E155" i="3"/>
  <c r="E242" i="3"/>
  <c r="E257" i="3"/>
  <c r="E348" i="3"/>
  <c r="E333" i="3"/>
  <c r="E14" i="3"/>
  <c r="E58" i="3"/>
  <c r="E43" i="3"/>
  <c r="E473" i="3"/>
  <c r="E47" i="3"/>
  <c r="E129" i="3"/>
  <c r="E194" i="3"/>
  <c r="E266" i="3"/>
  <c r="E342" i="3"/>
  <c r="E52" i="3"/>
  <c r="E87" i="3"/>
  <c r="E251" i="3"/>
  <c r="E50" i="3"/>
  <c r="E154" i="3"/>
  <c r="E308" i="3"/>
  <c r="E101" i="3"/>
  <c r="E336" i="3"/>
  <c r="E561" i="3"/>
  <c r="E191" i="3"/>
  <c r="E89" i="3"/>
  <c r="E253" i="3"/>
  <c r="E141" i="3"/>
  <c r="E575" i="3"/>
  <c r="E534" i="3"/>
  <c r="E560" i="3"/>
  <c r="E442" i="3"/>
  <c r="E469" i="3"/>
  <c r="E406" i="3"/>
  <c r="E449" i="3"/>
  <c r="E360" i="3"/>
  <c r="E587" i="3"/>
  <c r="E554" i="3"/>
  <c r="E494" i="3"/>
  <c r="E468" i="3"/>
  <c r="E417" i="3"/>
  <c r="E26" i="3"/>
  <c r="E106" i="3"/>
  <c r="E95" i="3"/>
  <c r="E198" i="3"/>
  <c r="E171" i="3"/>
  <c r="E258" i="3"/>
  <c r="E243" i="3"/>
  <c r="E315" i="3"/>
  <c r="E349" i="3"/>
  <c r="AL6" i="3"/>
  <c r="E74" i="3"/>
  <c r="E59" i="3"/>
  <c r="E482" i="3"/>
  <c r="E79" i="3"/>
  <c r="E220" i="3"/>
  <c r="E299" i="3"/>
  <c r="E86" i="3"/>
  <c r="E284" i="3"/>
  <c r="E102" i="3"/>
  <c r="E176" i="3"/>
  <c r="E323" i="3"/>
  <c r="E83" i="3"/>
  <c r="E280" i="3"/>
  <c r="E506" i="3"/>
  <c r="E236" i="3"/>
  <c r="E149" i="3"/>
  <c r="E224" i="3"/>
  <c r="E133" i="3"/>
  <c r="E519" i="3"/>
  <c r="E542" i="3"/>
  <c r="E543" i="3"/>
  <c r="E458" i="3"/>
  <c r="E487" i="3"/>
  <c r="E422" i="3"/>
  <c r="E457" i="3"/>
  <c r="E374" i="3"/>
  <c r="AH6" i="3"/>
  <c r="AC6" i="3" s="1"/>
  <c r="E413" i="3"/>
  <c r="E483" i="3"/>
  <c r="E433" i="3"/>
  <c r="E25" i="3"/>
  <c r="E111" i="3"/>
  <c r="E187" i="3"/>
  <c r="E202" i="3"/>
  <c r="E279" i="3"/>
  <c r="E259" i="3"/>
  <c r="E346" i="3"/>
  <c r="E318" i="3"/>
  <c r="E504" i="3"/>
  <c r="E60" i="3"/>
  <c r="E75" i="3"/>
  <c r="E521" i="3"/>
  <c r="E96" i="3"/>
  <c r="E170" i="3"/>
  <c r="E248" i="3"/>
  <c r="E324" i="3"/>
  <c r="E392" i="3"/>
  <c r="E24" i="3"/>
  <c r="E340" i="3"/>
  <c r="E51" i="3"/>
  <c r="E158" i="3"/>
  <c r="E365" i="3"/>
  <c r="E491" i="3"/>
  <c r="E192" i="3"/>
  <c r="E356" i="3"/>
  <c r="E488" i="3"/>
  <c r="E190" i="3"/>
  <c r="E522" i="3"/>
  <c r="E370" i="3"/>
  <c r="E326" i="3"/>
  <c r="E181" i="3"/>
  <c r="E486" i="3"/>
  <c r="E490" i="3"/>
  <c r="E498" i="3"/>
  <c r="E520" i="3"/>
  <c r="E72" i="3"/>
  <c r="E178" i="3"/>
  <c r="E240" i="3"/>
  <c r="E351" i="3"/>
  <c r="E372" i="3"/>
  <c r="E428" i="3"/>
  <c r="E174" i="3"/>
  <c r="E35" i="3"/>
  <c r="AF6" i="3"/>
  <c r="E222" i="3"/>
  <c r="E420" i="3"/>
  <c r="E281" i="3"/>
  <c r="E580" i="3"/>
  <c r="E15" i="3"/>
  <c r="E234" i="3"/>
  <c r="E36" i="3"/>
  <c r="E20" i="3"/>
  <c r="E562" i="3"/>
  <c r="E31" i="3"/>
  <c r="E65" i="3"/>
  <c r="E386" i="3"/>
  <c r="E250" i="3"/>
  <c r="E22" i="3"/>
  <c r="E439" i="3"/>
  <c r="E148" i="3"/>
  <c r="E77" i="3"/>
  <c r="E167" i="3"/>
  <c r="E286" i="3"/>
  <c r="AD6" i="3"/>
  <c r="E564" i="3"/>
  <c r="E529" i="3"/>
  <c r="E464" i="3"/>
  <c r="E507" i="3"/>
  <c r="E438" i="3"/>
  <c r="E459" i="3"/>
  <c r="E376" i="3"/>
  <c r="W6" i="3"/>
  <c r="E582" i="3"/>
  <c r="E419" i="3"/>
  <c r="E471" i="3"/>
  <c r="E436" i="3"/>
  <c r="E40" i="3"/>
  <c r="E54" i="3"/>
  <c r="E131" i="3"/>
  <c r="E119" i="3"/>
  <c r="E208" i="3"/>
  <c r="E297" i="3"/>
  <c r="E276" i="3"/>
  <c r="E357" i="3"/>
  <c r="E375" i="3"/>
  <c r="L6" i="3"/>
  <c r="E93" i="3"/>
  <c r="E540" i="3"/>
  <c r="E412" i="3"/>
  <c r="E38" i="3"/>
  <c r="E195" i="3"/>
  <c r="E275" i="3"/>
  <c r="E339" i="3"/>
  <c r="E584" i="3"/>
  <c r="E34" i="3"/>
  <c r="E147" i="3"/>
  <c r="E341" i="3"/>
  <c r="E80" i="3"/>
  <c r="E218" i="3"/>
  <c r="E373" i="3"/>
  <c r="E354" i="3"/>
  <c r="E530" i="3"/>
  <c r="E305" i="3"/>
  <c r="E388" i="3"/>
  <c r="E410" i="3"/>
  <c r="E143" i="3"/>
  <c r="E568" i="3"/>
  <c r="E536" i="3"/>
  <c r="E453" i="3"/>
  <c r="E244" i="3"/>
  <c r="E237" i="3"/>
  <c r="E565" i="3"/>
  <c r="E17" i="3"/>
  <c r="E161" i="3"/>
  <c r="E185" i="3"/>
  <c r="E387" i="3"/>
  <c r="E514" i="3"/>
  <c r="E461" i="3"/>
  <c r="E319" i="3"/>
  <c r="E285" i="3"/>
  <c r="E434" i="3"/>
  <c r="E361" i="3"/>
  <c r="E570" i="3"/>
  <c r="E526" i="3"/>
  <c r="E322" i="3"/>
  <c r="E509" i="3"/>
  <c r="E431" i="3"/>
  <c r="E201" i="3"/>
  <c r="E495" i="3"/>
  <c r="E586" i="3"/>
  <c r="E350" i="3"/>
  <c r="E301" i="3"/>
  <c r="E114" i="3"/>
  <c r="E395" i="3"/>
  <c r="E550" i="3"/>
  <c r="E221" i="3"/>
  <c r="E130" i="3"/>
  <c r="E407" i="3"/>
  <c r="E358" i="3"/>
  <c r="E510" i="3"/>
  <c r="E571" i="3"/>
  <c r="E53" i="3"/>
  <c r="E501" i="3"/>
  <c r="E426" i="3"/>
  <c r="O6" i="3"/>
  <c r="E359" i="3"/>
  <c r="E97" i="3"/>
  <c r="E511" i="3"/>
  <c r="AK6" i="3"/>
  <c r="E306" i="3"/>
  <c r="E262" i="3"/>
  <c r="E261" i="3"/>
  <c r="E183" i="3"/>
  <c r="E503" i="3"/>
  <c r="E290" i="3"/>
  <c r="E189" i="3"/>
  <c r="AB6" i="3"/>
  <c r="E311" i="3"/>
  <c r="E567" i="3"/>
  <c r="E541" i="3"/>
  <c r="E125" i="3"/>
  <c r="E553" i="3"/>
  <c r="N6" i="3"/>
  <c r="E516" i="3"/>
  <c r="E396" i="3"/>
  <c r="E151" i="3"/>
  <c r="E518" i="3"/>
  <c r="E578" i="3"/>
  <c r="E382" i="3"/>
  <c r="E245" i="3"/>
  <c r="E278" i="3"/>
  <c r="E172" i="3"/>
  <c r="E535" i="3"/>
  <c r="E91" i="3"/>
  <c r="E230" i="3"/>
  <c r="V6" i="3"/>
  <c r="E128" i="3"/>
  <c r="E545" i="3"/>
  <c r="E316" i="3"/>
  <c r="E328" i="3"/>
  <c r="E16" i="3"/>
  <c r="E136" i="3"/>
  <c r="E61" i="3"/>
  <c r="E330" i="3"/>
  <c r="E175" i="3"/>
  <c r="E343" i="3"/>
  <c r="E508" i="3"/>
  <c r="E555" i="3"/>
  <c r="E337" i="3"/>
  <c r="E397" i="3"/>
  <c r="I6" i="3"/>
  <c r="E549" i="3"/>
  <c r="E368" i="3"/>
  <c r="E196" i="3"/>
  <c r="E304" i="3"/>
  <c r="E213" i="3"/>
  <c r="E302" i="3"/>
  <c r="E135" i="3"/>
  <c r="E215" i="3"/>
  <c r="M6" i="3"/>
  <c r="E165" i="3"/>
  <c r="E539" i="3"/>
  <c r="E338" i="3"/>
  <c r="E217" i="3"/>
  <c r="E268" i="3"/>
  <c r="AJ6" i="3"/>
  <c r="E579" i="3"/>
  <c r="E247" i="3"/>
  <c r="E353" i="3"/>
  <c r="AN6" i="3"/>
  <c r="E402" i="3"/>
  <c r="E303" i="3"/>
  <c r="E159" i="3"/>
  <c r="E415" i="3"/>
  <c r="E260" i="3"/>
  <c r="E254" i="3"/>
  <c r="E294" i="3"/>
  <c r="E551" i="3"/>
  <c r="E205" i="3"/>
  <c r="E329" i="3"/>
  <c r="E377" i="3"/>
  <c r="E366" i="3"/>
  <c r="E282" i="3"/>
  <c r="E239" i="3"/>
  <c r="E569" i="3"/>
  <c r="E229" i="3"/>
  <c r="E385" i="3"/>
  <c r="AI6" i="3"/>
  <c r="E423" i="3"/>
  <c r="E263" i="3"/>
  <c r="E69" i="3"/>
  <c r="E563" i="3"/>
  <c r="E445" i="3"/>
  <c r="E134" i="3"/>
  <c r="E320" i="3"/>
  <c r="E559" i="3"/>
  <c r="E352" i="3"/>
  <c r="E153" i="3"/>
  <c r="E574" i="3"/>
  <c r="E314" i="3"/>
  <c r="E296" i="3"/>
  <c r="E528" i="3"/>
  <c r="E335" i="3"/>
  <c r="E227" i="3"/>
  <c r="C24" i="71"/>
  <c r="D23" i="71"/>
  <c r="D76" i="71"/>
  <c r="C75" i="71"/>
  <c r="D75" i="71" s="1"/>
  <c r="D44" i="71"/>
  <c r="C45" i="71"/>
  <c r="T53" i="71"/>
  <c r="D53" i="71"/>
  <c r="AC9" i="36"/>
  <c r="W9" i="36"/>
  <c r="AA34" i="35"/>
  <c r="S34" i="35"/>
  <c r="U23" i="35"/>
  <c r="AB23" i="35"/>
  <c r="AC9" i="37"/>
  <c r="W9" i="37"/>
  <c r="AZ555" i="3"/>
  <c r="AB9" i="37"/>
  <c r="U9" i="37"/>
  <c r="N60" i="71"/>
  <c r="B59" i="71"/>
  <c r="C29" i="71"/>
  <c r="D28" i="71"/>
  <c r="F59" i="71"/>
  <c r="Q60" i="71"/>
  <c r="C37" i="71"/>
  <c r="D36" i="71"/>
  <c r="E184" i="3"/>
  <c r="AB36" i="35"/>
  <c r="U36" i="35"/>
  <c r="AB26" i="37"/>
  <c r="U26" i="37"/>
  <c r="AC23" i="35"/>
  <c r="W23" i="35"/>
  <c r="E8" i="6"/>
  <c r="E11" i="6"/>
  <c r="E14" i="6"/>
  <c r="E13" i="6"/>
  <c r="E10" i="6"/>
  <c r="AA23" i="35"/>
  <c r="S23" i="35"/>
  <c r="W29" i="39"/>
  <c r="E16" i="71"/>
  <c r="E15" i="71" s="1"/>
  <c r="E14" i="71" s="1"/>
  <c r="E13" i="71" s="1"/>
  <c r="V17" i="71"/>
  <c r="C49" i="71"/>
  <c r="D48" i="71"/>
  <c r="AZ162" i="3"/>
  <c r="AC34" i="35"/>
  <c r="W34" i="35"/>
  <c r="AA26" i="37"/>
  <c r="S26" i="37"/>
  <c r="W32" i="34"/>
  <c r="AC32" i="34"/>
  <c r="W27" i="21"/>
  <c r="AC27" i="21"/>
  <c r="BA5" i="3"/>
  <c r="E27" i="6" s="1"/>
  <c r="AZ566" i="3"/>
  <c r="AZ572" i="3"/>
  <c r="AB44" i="39"/>
  <c r="U44" i="39"/>
  <c r="AZ32" i="3"/>
  <c r="E127" i="3"/>
  <c r="AZ157" i="3"/>
  <c r="E118" i="3"/>
  <c r="AA40" i="40"/>
  <c r="S40" i="40"/>
  <c r="U32" i="34"/>
  <c r="AB32" i="34"/>
  <c r="AA27" i="21"/>
  <c r="S27" i="21"/>
  <c r="U44" i="21"/>
  <c r="AB44" i="21"/>
  <c r="F28" i="6"/>
  <c r="C33" i="71"/>
  <c r="D32" i="71"/>
  <c r="AZ142" i="3"/>
  <c r="AB40" i="40"/>
  <c r="U40" i="40"/>
  <c r="W45" i="33"/>
  <c r="AC45" i="33"/>
  <c r="AB27" i="21"/>
  <c r="U27" i="21"/>
  <c r="AC44" i="21"/>
  <c r="W44" i="21"/>
  <c r="G29" i="6"/>
  <c r="E29" i="6" s="1"/>
  <c r="K15" i="1" s="1"/>
  <c r="E12" i="6"/>
  <c r="S21" i="71"/>
  <c r="B20" i="71"/>
  <c r="B19" i="71" s="1"/>
  <c r="E39" i="3"/>
  <c r="E206" i="3"/>
  <c r="E123" i="3"/>
  <c r="AZ20" i="3"/>
  <c r="AZ5" i="3" s="1"/>
  <c r="BL5" i="3"/>
  <c r="AC26" i="37"/>
  <c r="W26" i="37"/>
  <c r="AA12" i="21"/>
  <c r="S12" i="21"/>
  <c r="AB45" i="33"/>
  <c r="U45" i="33"/>
  <c r="C12" i="71"/>
  <c r="T13" i="71"/>
  <c r="D13" i="71"/>
  <c r="U13" i="71" s="1"/>
  <c r="B8" i="71"/>
  <c r="B7" i="71" s="1"/>
  <c r="B6" i="71" s="1"/>
  <c r="B5" i="71" s="1"/>
  <c r="S9" i="71"/>
  <c r="J7" i="36"/>
  <c r="W7" i="36" s="1"/>
  <c r="D68" i="71"/>
  <c r="C67" i="71"/>
  <c r="D67" i="71" s="1"/>
  <c r="AZ205" i="3"/>
  <c r="E138" i="3"/>
  <c r="AB34" i="35"/>
  <c r="U34" i="35"/>
  <c r="S45" i="33"/>
  <c r="AA45" i="33"/>
  <c r="AA9" i="37"/>
  <c r="S9" i="37"/>
  <c r="F11" i="85"/>
  <c r="M11" i="85"/>
  <c r="T13" i="43"/>
  <c r="V13" i="43" s="1"/>
  <c r="T10" i="43"/>
  <c r="V10" i="43" s="1"/>
  <c r="T15" i="43"/>
  <c r="V15" i="43" s="1"/>
  <c r="T9" i="43"/>
  <c r="V9" i="43" s="1"/>
  <c r="J7" i="34"/>
  <c r="AC7" i="34" s="1"/>
  <c r="V49" i="34" s="1"/>
  <c r="I49" i="34" s="1"/>
  <c r="D70" i="39"/>
  <c r="E68" i="39"/>
  <c r="C48" i="69"/>
  <c r="C30" i="69"/>
  <c r="F48" i="68"/>
  <c r="C30" i="68"/>
  <c r="C48" i="68"/>
  <c r="E60" i="40"/>
  <c r="E65" i="39"/>
  <c r="E57" i="40"/>
  <c r="E62" i="39"/>
  <c r="F27" i="69"/>
  <c r="F27" i="68"/>
  <c r="F28" i="12"/>
  <c r="C29" i="12" s="1"/>
  <c r="D28" i="12" s="1"/>
  <c r="F27" i="11"/>
  <c r="O14" i="1"/>
  <c r="O16" i="1" s="1"/>
  <c r="P8" i="1"/>
  <c r="L109" i="43"/>
  <c r="L102" i="43"/>
  <c r="L105" i="43"/>
  <c r="L104" i="43"/>
  <c r="L106" i="43"/>
  <c r="L107" i="43"/>
  <c r="L103" i="43"/>
  <c r="J104" i="43"/>
  <c r="J105" i="43"/>
  <c r="J103" i="43"/>
  <c r="J106" i="43"/>
  <c r="J109" i="43"/>
  <c r="J107" i="43"/>
  <c r="J102" i="43"/>
  <c r="G105" i="43"/>
  <c r="G102" i="43"/>
  <c r="G103" i="43"/>
  <c r="G107" i="43"/>
  <c r="G104" i="43"/>
  <c r="G106" i="43"/>
  <c r="G109" i="43"/>
  <c r="E104" i="43"/>
  <c r="E107" i="43"/>
  <c r="E105" i="43"/>
  <c r="E106" i="43"/>
  <c r="E109" i="43"/>
  <c r="E102" i="43"/>
  <c r="E103" i="43"/>
  <c r="M104" i="43"/>
  <c r="M107" i="43"/>
  <c r="M105" i="43"/>
  <c r="M109" i="43"/>
  <c r="M102" i="43"/>
  <c r="M103" i="43"/>
  <c r="M106" i="43"/>
  <c r="N103" i="43"/>
  <c r="N106" i="43"/>
  <c r="N107" i="43"/>
  <c r="N109" i="43"/>
  <c r="N102" i="43"/>
  <c r="N105" i="43"/>
  <c r="N104" i="43"/>
  <c r="K107" i="43"/>
  <c r="K104" i="43"/>
  <c r="K106" i="43"/>
  <c r="K109" i="43"/>
  <c r="K103" i="43"/>
  <c r="K102" i="43"/>
  <c r="K105" i="43"/>
  <c r="H107" i="43"/>
  <c r="H106" i="43"/>
  <c r="H105" i="43"/>
  <c r="H102"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9" i="43"/>
  <c r="F104" i="43"/>
  <c r="F102" i="43"/>
  <c r="F105" i="43"/>
  <c r="J10" i="39"/>
  <c r="AC10" i="39" s="1"/>
  <c r="H10" i="40"/>
  <c r="U10" i="40" s="1"/>
  <c r="H10" i="39"/>
  <c r="AB10" i="39" s="1"/>
  <c r="J10" i="40"/>
  <c r="AC10" i="40" s="1"/>
  <c r="G36" i="43"/>
  <c r="I36" i="43" s="1"/>
  <c r="G35" i="43"/>
  <c r="I35" i="43" s="1"/>
  <c r="J7" i="37"/>
  <c r="AC7" i="37" s="1"/>
  <c r="V42" i="37" s="1"/>
  <c r="I42" i="37" s="1"/>
  <c r="H7" i="36"/>
  <c r="H7" i="34"/>
  <c r="U7" i="34" s="1"/>
  <c r="F7" i="34"/>
  <c r="H7" i="37"/>
  <c r="AB7" i="37" s="1"/>
  <c r="T42" i="37" s="1"/>
  <c r="G42" i="37" s="1"/>
  <c r="B40" i="1"/>
  <c r="F24" i="85" s="1"/>
  <c r="W10" i="39"/>
  <c r="S10" i="39"/>
  <c r="AA10" i="39"/>
  <c r="H7" i="33"/>
  <c r="J7" i="33"/>
  <c r="D65" i="40"/>
  <c r="E63" i="40"/>
  <c r="F48" i="35"/>
  <c r="S7" i="36"/>
  <c r="AA7" i="36"/>
  <c r="R36" i="36" s="1"/>
  <c r="W7" i="37"/>
  <c r="AB7" i="36"/>
  <c r="T36" i="36" s="1"/>
  <c r="G36" i="36" s="1"/>
  <c r="U7" i="36"/>
  <c r="AA7" i="34"/>
  <c r="R49" i="34" s="1"/>
  <c r="S7" i="34"/>
  <c r="AA10" i="40"/>
  <c r="S10" i="40"/>
  <c r="F7" i="33"/>
  <c r="E58" i="21"/>
  <c r="AC7" i="36"/>
  <c r="V36" i="36" s="1"/>
  <c r="I36" i="36" s="1"/>
  <c r="F7" i="37"/>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F1" i="67"/>
  <c r="Q52" i="67"/>
  <c r="Q60" i="15"/>
  <c r="Q73" i="15"/>
  <c r="Q61" i="67"/>
  <c r="Q74" i="67"/>
  <c r="Q74" i="15"/>
  <c r="Q61" i="15"/>
  <c r="M24" i="85"/>
  <c r="M28" i="85"/>
  <c r="F8" i="85"/>
  <c r="F38" i="85"/>
  <c r="L48" i="85"/>
  <c r="F7" i="85"/>
  <c r="F9" i="85"/>
  <c r="L47" i="85"/>
  <c r="M6" i="85"/>
  <c r="F43" i="85"/>
  <c r="F16" i="85"/>
  <c r="M26" i="85"/>
  <c r="M9" i="85"/>
  <c r="F40" i="85"/>
  <c r="M29" i="85"/>
  <c r="F42" i="85"/>
  <c r="AE6" i="1"/>
  <c r="F37" i="85"/>
  <c r="M22" i="85"/>
  <c r="F36" i="85"/>
  <c r="M8" i="85"/>
  <c r="F26" i="85"/>
  <c r="C76" i="85"/>
  <c r="F13" i="85"/>
  <c r="M27" i="85"/>
  <c r="M23" i="85"/>
  <c r="J15" i="85"/>
  <c r="D1" i="66" l="1"/>
  <c r="E10" i="66" s="1"/>
  <c r="C27" i="66"/>
  <c r="C32" i="66" s="1"/>
  <c r="M7" i="85"/>
  <c r="J6" i="85" s="1"/>
  <c r="J18" i="85" s="1"/>
  <c r="F50" i="85"/>
  <c r="Q71" i="85"/>
  <c r="F71" i="85"/>
  <c r="L57" i="85"/>
  <c r="L56" i="85"/>
  <c r="L60" i="85"/>
  <c r="J53" i="85"/>
  <c r="J57" i="85"/>
  <c r="J55" i="85" s="1"/>
  <c r="J58" i="85" s="1"/>
  <c r="Q50" i="85" s="1"/>
  <c r="I54" i="85"/>
  <c r="J60" i="85"/>
  <c r="Q48" i="85" s="1"/>
  <c r="J59" i="85"/>
  <c r="C27" i="85"/>
  <c r="F66" i="85"/>
  <c r="F68" i="85"/>
  <c r="F51" i="85"/>
  <c r="F64" i="85"/>
  <c r="N59" i="85"/>
  <c r="L59" i="85"/>
  <c r="L58" i="85"/>
  <c r="M59" i="85"/>
  <c r="F65" i="85"/>
  <c r="E6" i="3"/>
  <c r="E3" i="6"/>
  <c r="AY6" i="3"/>
  <c r="D24" i="71"/>
  <c r="C25" i="71"/>
  <c r="AB7" i="34"/>
  <c r="T49" i="34" s="1"/>
  <c r="G49" i="34" s="1"/>
  <c r="G53" i="34" s="1"/>
  <c r="H53" i="34" s="1"/>
  <c r="T33" i="71"/>
  <c r="D33" i="71"/>
  <c r="E58" i="40"/>
  <c r="E63" i="39"/>
  <c r="F30" i="6"/>
  <c r="E28" i="6"/>
  <c r="T49" i="71"/>
  <c r="D49" i="71"/>
  <c r="E64" i="39"/>
  <c r="E59" i="40"/>
  <c r="T29" i="71"/>
  <c r="D29" i="71"/>
  <c r="T45" i="71"/>
  <c r="D45" i="71"/>
  <c r="E61" i="39"/>
  <c r="E56" i="40"/>
  <c r="N58" i="71"/>
  <c r="N59" i="71"/>
  <c r="W7" i="34"/>
  <c r="Q59" i="71"/>
  <c r="Q58" i="71"/>
  <c r="E12" i="71"/>
  <c r="E11" i="71" s="1"/>
  <c r="E10" i="71" s="1"/>
  <c r="E9" i="71" s="1"/>
  <c r="V13" i="71"/>
  <c r="F27" i="6"/>
  <c r="E51" i="40"/>
  <c r="E16" i="6"/>
  <c r="E56" i="39"/>
  <c r="E66" i="39" s="1"/>
  <c r="C11" i="71"/>
  <c r="D12" i="71"/>
  <c r="T37" i="71"/>
  <c r="D37" i="71"/>
  <c r="G30" i="6"/>
  <c r="G31" i="6" s="1"/>
  <c r="AB10" i="40"/>
  <c r="C24" i="85"/>
  <c r="C53" i="85"/>
  <c r="U7" i="37"/>
  <c r="F68" i="39"/>
  <c r="E70" i="39"/>
  <c r="W10" i="40"/>
  <c r="P14" i="1"/>
  <c r="P16" i="1" s="1"/>
  <c r="C11" i="12" s="1"/>
  <c r="C15" i="12" s="1"/>
  <c r="K20" i="6"/>
  <c r="M20" i="6" s="1"/>
  <c r="I20" i="6" s="1"/>
  <c r="S20" i="6" s="1"/>
  <c r="K25" i="6"/>
  <c r="M25" i="6" s="1"/>
  <c r="I25" i="6" s="1"/>
  <c r="S25" i="6" s="1"/>
  <c r="K23" i="6"/>
  <c r="M23" i="6" s="1"/>
  <c r="I23" i="6" s="1"/>
  <c r="S23" i="6" s="1"/>
  <c r="K19" i="6"/>
  <c r="S6" i="1" s="1"/>
  <c r="K22" i="6"/>
  <c r="M22" i="6" s="1"/>
  <c r="I22" i="6" s="1"/>
  <c r="K21" i="6"/>
  <c r="M21" i="6" s="1"/>
  <c r="I21" i="6" s="1"/>
  <c r="C47" i="11"/>
  <c r="D45" i="11" s="1"/>
  <c r="C29" i="11"/>
  <c r="D27" i="11" s="1"/>
  <c r="C29" i="68"/>
  <c r="D27" i="68" s="1"/>
  <c r="F45" i="68"/>
  <c r="C47" i="68"/>
  <c r="D45" i="68" s="1"/>
  <c r="C47" i="69"/>
  <c r="D45" i="69" s="1"/>
  <c r="F45" i="69"/>
  <c r="C29" i="69"/>
  <c r="D27" i="69" s="1"/>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U10" i="39"/>
  <c r="I53" i="34"/>
  <c r="J53" i="34" s="1"/>
  <c r="F58" i="21"/>
  <c r="R37" i="36"/>
  <c r="E36" i="36"/>
  <c r="F63" i="40"/>
  <c r="E65" i="40"/>
  <c r="W7" i="33"/>
  <c r="AC7" i="33"/>
  <c r="V48" i="33" s="1"/>
  <c r="I48" i="33" s="1"/>
  <c r="AA7" i="37"/>
  <c r="R42" i="37" s="1"/>
  <c r="S7" i="37"/>
  <c r="I40" i="36"/>
  <c r="J40" i="36" s="1"/>
  <c r="S7" i="33"/>
  <c r="AA7" i="33"/>
  <c r="R48" i="33" s="1"/>
  <c r="R50" i="34"/>
  <c r="E49" i="34"/>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F25" i="12"/>
  <c r="F22" i="69"/>
  <c r="F41" i="69" s="1"/>
  <c r="F24" i="67"/>
  <c r="C24" i="67" s="1"/>
  <c r="F22" i="11"/>
  <c r="F22" i="68"/>
  <c r="F24" i="15"/>
  <c r="C24" i="15" s="1"/>
  <c r="C17" i="85"/>
  <c r="F41" i="85"/>
  <c r="F41" i="15"/>
  <c r="C16" i="85"/>
  <c r="C17" i="15"/>
  <c r="C30" i="66" l="1"/>
  <c r="C31" i="66"/>
  <c r="J10" i="85"/>
  <c r="J5" i="85" s="1"/>
  <c r="J24" i="85" s="1"/>
  <c r="C49" i="85"/>
  <c r="C48" i="85" s="1"/>
  <c r="G52" i="66"/>
  <c r="F31" i="6"/>
  <c r="Q66" i="85"/>
  <c r="Q57" i="85"/>
  <c r="E8" i="71"/>
  <c r="E7" i="71" s="1"/>
  <c r="E6" i="71" s="1"/>
  <c r="E5" i="71" s="1"/>
  <c r="V9" i="71"/>
  <c r="K14" i="1"/>
  <c r="E30" i="6"/>
  <c r="E31" i="6" s="1"/>
  <c r="T25" i="71"/>
  <c r="D25" i="71"/>
  <c r="Q60" i="85"/>
  <c r="Q73" i="85"/>
  <c r="E6" i="70"/>
  <c r="E2" i="70" s="1"/>
  <c r="Q61" i="85"/>
  <c r="Q74" i="85"/>
  <c r="C10" i="71"/>
  <c r="D11" i="71"/>
  <c r="AY98" i="3"/>
  <c r="AY363" i="3"/>
  <c r="AY116" i="3"/>
  <c r="AY84" i="3"/>
  <c r="AY67" i="3"/>
  <c r="AY489" i="3"/>
  <c r="AY212" i="3"/>
  <c r="AY20" i="3"/>
  <c r="AY196" i="3"/>
  <c r="AY66" i="3"/>
  <c r="AY343" i="3"/>
  <c r="AY193" i="3"/>
  <c r="AY139" i="3"/>
  <c r="AY115" i="3"/>
  <c r="AY478" i="3"/>
  <c r="AY173" i="3"/>
  <c r="AY74" i="3"/>
  <c r="AY276" i="3"/>
  <c r="AY417" i="3"/>
  <c r="AY204" i="3"/>
  <c r="AY123" i="3"/>
  <c r="AY225" i="3"/>
  <c r="AY573" i="3"/>
  <c r="AY470" i="3"/>
  <c r="AY252" i="3"/>
  <c r="AY497" i="3"/>
  <c r="AY100" i="3"/>
  <c r="AY539" i="3"/>
  <c r="AY52" i="3"/>
  <c r="AY229" i="3"/>
  <c r="AY319" i="3"/>
  <c r="AY103" i="3"/>
  <c r="AY182" i="3"/>
  <c r="BO6" i="3"/>
  <c r="AY355" i="3"/>
  <c r="AY318" i="3"/>
  <c r="AY83" i="3"/>
  <c r="AY75" i="3"/>
  <c r="AY18" i="3"/>
  <c r="AY95" i="3"/>
  <c r="AY529" i="3"/>
  <c r="AY463" i="3"/>
  <c r="AY92" i="3"/>
  <c r="AY165" i="3"/>
  <c r="AY263" i="3"/>
  <c r="AY392" i="3"/>
  <c r="BJ6" i="3"/>
  <c r="AY197" i="3"/>
  <c r="AY274" i="3"/>
  <c r="AY317" i="3"/>
  <c r="AY457" i="3"/>
  <c r="AY581" i="3"/>
  <c r="AY546" i="3"/>
  <c r="AY514" i="3"/>
  <c r="AY37" i="3"/>
  <c r="AY42" i="3"/>
  <c r="AY106" i="3"/>
  <c r="AY452" i="3"/>
  <c r="AY77" i="3"/>
  <c r="AY149" i="3"/>
  <c r="AY255" i="3"/>
  <c r="AY389" i="3"/>
  <c r="AY150" i="3"/>
  <c r="AY340" i="3"/>
  <c r="AY525" i="3"/>
  <c r="AY577" i="3"/>
  <c r="AY287" i="3"/>
  <c r="AY364" i="3"/>
  <c r="AY471" i="3"/>
  <c r="AY439" i="3"/>
  <c r="AY524" i="3"/>
  <c r="AY578" i="3"/>
  <c r="AY72" i="3"/>
  <c r="AY406" i="3"/>
  <c r="AY153" i="3"/>
  <c r="AY320" i="3"/>
  <c r="AY538" i="3"/>
  <c r="AY78" i="3"/>
  <c r="AY127" i="3"/>
  <c r="AY376" i="3"/>
  <c r="AY424" i="3"/>
  <c r="AY587" i="3"/>
  <c r="AY179" i="3"/>
  <c r="AY256" i="3"/>
  <c r="AY306" i="3"/>
  <c r="BC6" i="3"/>
  <c r="AY29" i="3"/>
  <c r="AY419" i="3"/>
  <c r="AY122" i="3"/>
  <c r="AY304" i="3"/>
  <c r="AY564" i="3"/>
  <c r="AY62" i="3"/>
  <c r="AY301" i="3"/>
  <c r="AY359" i="3"/>
  <c r="AY408" i="3"/>
  <c r="AY107" i="3"/>
  <c r="AY164" i="3"/>
  <c r="AY240" i="3"/>
  <c r="AY477" i="3"/>
  <c r="AY566" i="3"/>
  <c r="AY93" i="3"/>
  <c r="AY187" i="3"/>
  <c r="AY341" i="3"/>
  <c r="AY547" i="3"/>
  <c r="AY379" i="3"/>
  <c r="AY154" i="3"/>
  <c r="AY48" i="3"/>
  <c r="AY403" i="3"/>
  <c r="AY531" i="3"/>
  <c r="AY135" i="3"/>
  <c r="AY338" i="3"/>
  <c r="AY120" i="3"/>
  <c r="AY69" i="3"/>
  <c r="AY43" i="3"/>
  <c r="AY209" i="3"/>
  <c r="AY25" i="3"/>
  <c r="AY574" i="3"/>
  <c r="AY390" i="3"/>
  <c r="AY371" i="3"/>
  <c r="AY486" i="3"/>
  <c r="AY292" i="3"/>
  <c r="AY82" i="3"/>
  <c r="AY152" i="3"/>
  <c r="AY26" i="3"/>
  <c r="AY420" i="3"/>
  <c r="AY61" i="3"/>
  <c r="AY133" i="3"/>
  <c r="AY247" i="3"/>
  <c r="AY397" i="3"/>
  <c r="AY109" i="3"/>
  <c r="AY166" i="3"/>
  <c r="AY242" i="3"/>
  <c r="AY348" i="3"/>
  <c r="AY462" i="3"/>
  <c r="BQ6" i="3"/>
  <c r="AY495" i="3"/>
  <c r="AY582" i="3"/>
  <c r="AY194" i="3"/>
  <c r="AY281" i="3"/>
  <c r="AY180" i="3"/>
  <c r="AY433" i="3"/>
  <c r="AY45" i="3"/>
  <c r="AY126" i="3"/>
  <c r="AY239" i="3"/>
  <c r="AY365" i="3"/>
  <c r="AY130" i="3"/>
  <c r="AY308" i="3"/>
  <c r="AY516" i="3"/>
  <c r="AY112" i="3"/>
  <c r="AY282" i="3"/>
  <c r="AY345" i="3"/>
  <c r="AY484" i="3"/>
  <c r="AY423" i="3"/>
  <c r="AY502" i="3"/>
  <c r="BA6" i="3"/>
  <c r="AY181" i="3"/>
  <c r="AY503" i="3"/>
  <c r="AY113" i="3"/>
  <c r="AY479" i="3"/>
  <c r="AY522" i="3"/>
  <c r="AY46" i="3"/>
  <c r="AY285" i="3"/>
  <c r="AY362" i="3"/>
  <c r="AY437" i="3"/>
  <c r="AY91" i="3"/>
  <c r="AY148" i="3"/>
  <c r="AY224" i="3"/>
  <c r="AY490" i="3"/>
  <c r="AY511" i="3"/>
  <c r="AY161" i="3"/>
  <c r="AY580" i="3"/>
  <c r="AY298" i="3"/>
  <c r="AY492" i="3"/>
  <c r="AY575" i="3"/>
  <c r="AY30" i="3"/>
  <c r="AY296" i="3"/>
  <c r="AY347" i="3"/>
  <c r="AY421" i="3"/>
  <c r="AY102" i="3"/>
  <c r="AY175" i="3"/>
  <c r="AY208" i="3"/>
  <c r="AY474" i="3"/>
  <c r="AY583" i="3"/>
  <c r="AY540" i="3"/>
  <c r="AY335" i="3"/>
  <c r="AY261" i="3"/>
  <c r="AY535" i="3"/>
  <c r="AY58" i="3"/>
  <c r="AY31" i="3"/>
  <c r="AY253" i="3"/>
  <c r="AY260" i="3"/>
  <c r="AY549" i="3"/>
  <c r="AY125" i="3"/>
  <c r="AY262" i="3"/>
  <c r="AY73" i="3"/>
  <c r="AY145" i="3"/>
  <c r="AY316" i="3"/>
  <c r="AY585" i="3"/>
  <c r="AY101" i="3"/>
  <c r="AY158" i="3"/>
  <c r="AY228" i="3"/>
  <c r="AY28" i="3"/>
  <c r="AY254" i="3"/>
  <c r="AY243" i="3"/>
  <c r="AY527" i="3"/>
  <c r="AY266" i="3"/>
  <c r="AY453" i="3"/>
  <c r="AY509" i="3"/>
  <c r="AY258" i="3"/>
  <c r="AY250" i="3"/>
  <c r="AY551" i="3"/>
  <c r="AY346" i="3"/>
  <c r="AY55" i="3"/>
  <c r="AY391" i="3"/>
  <c r="AY215" i="3"/>
  <c r="AY218" i="3"/>
  <c r="AY203" i="3"/>
  <c r="AY330" i="3"/>
  <c r="AY39" i="3"/>
  <c r="AY375" i="3"/>
  <c r="AY567" i="3"/>
  <c r="AY404" i="3"/>
  <c r="AY491" i="3"/>
  <c r="AY366" i="3"/>
  <c r="AY206" i="3"/>
  <c r="AY226" i="3"/>
  <c r="AY205" i="3"/>
  <c r="AY458" i="3"/>
  <c r="AY63" i="3"/>
  <c r="AY434" i="3"/>
  <c r="AY314" i="3"/>
  <c r="AY119" i="3"/>
  <c r="AY498" i="3"/>
  <c r="AY385" i="3"/>
  <c r="AY548" i="3"/>
  <c r="AY485" i="3"/>
  <c r="AY351" i="3"/>
  <c r="AY178" i="3"/>
  <c r="AY444" i="3"/>
  <c r="AY147" i="3"/>
  <c r="AY441" i="3"/>
  <c r="AY278" i="3"/>
  <c r="BH6" i="3"/>
  <c r="AY259" i="3"/>
  <c r="AY472" i="3"/>
  <c r="AY571" i="3"/>
  <c r="AY409" i="3"/>
  <c r="AY138" i="3"/>
  <c r="AY211" i="3"/>
  <c r="AY129" i="3"/>
  <c r="AY410" i="3"/>
  <c r="BB6" i="3"/>
  <c r="AY21" i="3"/>
  <c r="AY505" i="3"/>
  <c r="AY378" i="3"/>
  <c r="AY184" i="3"/>
  <c r="BD6" i="3"/>
  <c r="AY174" i="3"/>
  <c r="AY47" i="3"/>
  <c r="AY576" i="3"/>
  <c r="AY272" i="3"/>
  <c r="AY105" i="3"/>
  <c r="AY412" i="3"/>
  <c r="AY284" i="3"/>
  <c r="AY36" i="3"/>
  <c r="AY562" i="3"/>
  <c r="AY244" i="3"/>
  <c r="AY268" i="3"/>
  <c r="AY334" i="3"/>
  <c r="AY163" i="3"/>
  <c r="AY111" i="3"/>
  <c r="AY300" i="3"/>
  <c r="AY401" i="3"/>
  <c r="AY76" i="3"/>
  <c r="AY118" i="3"/>
  <c r="AY231" i="3"/>
  <c r="AY381" i="3"/>
  <c r="AY104" i="3"/>
  <c r="AY177" i="3"/>
  <c r="AY210" i="3"/>
  <c r="AY332" i="3"/>
  <c r="AY446" i="3"/>
  <c r="BM6" i="3"/>
  <c r="AY510" i="3"/>
  <c r="AY519" i="3"/>
  <c r="AY189" i="3"/>
  <c r="AY168" i="3"/>
  <c r="AY245" i="3"/>
  <c r="AY513" i="3"/>
  <c r="AY60" i="3"/>
  <c r="AY134" i="3"/>
  <c r="AY270" i="3"/>
  <c r="BS6" i="3"/>
  <c r="AY279" i="3"/>
  <c r="AY467" i="3"/>
  <c r="BN6" i="3"/>
  <c r="AY49" i="3"/>
  <c r="AY251" i="3"/>
  <c r="AY329" i="3"/>
  <c r="AY468" i="3"/>
  <c r="AY407" i="3"/>
  <c r="AY565" i="3"/>
  <c r="AY99" i="3"/>
  <c r="AY121" i="3"/>
  <c r="AY572" i="3"/>
  <c r="AY267" i="3"/>
  <c r="AY476" i="3"/>
  <c r="AY515" i="3"/>
  <c r="AY35" i="3"/>
  <c r="AY280" i="3"/>
  <c r="AY331" i="3"/>
  <c r="AY405" i="3"/>
  <c r="AY86" i="3"/>
  <c r="AY159" i="3"/>
  <c r="AY213" i="3"/>
  <c r="AY459" i="3"/>
  <c r="AY504" i="3"/>
  <c r="AY275" i="3"/>
  <c r="AY536" i="3"/>
  <c r="AY235" i="3"/>
  <c r="AY461" i="3"/>
  <c r="AY537" i="3"/>
  <c r="AY19" i="3"/>
  <c r="AY265" i="3"/>
  <c r="AY315" i="3"/>
  <c r="AY500" i="3"/>
  <c r="AY71" i="3"/>
  <c r="AY143" i="3"/>
  <c r="AY386" i="3"/>
  <c r="AY443" i="3"/>
  <c r="BT6" i="3"/>
  <c r="AY68" i="3"/>
  <c r="AY269" i="3"/>
  <c r="AY350" i="3"/>
  <c r="AY44" i="3"/>
  <c r="AY374" i="3"/>
  <c r="AY388" i="3"/>
  <c r="AY430" i="3"/>
  <c r="BG6" i="3"/>
  <c r="AY236" i="3"/>
  <c r="BK6" i="3"/>
  <c r="AY117" i="3"/>
  <c r="BI6" i="3"/>
  <c r="AY464" i="3"/>
  <c r="AY32" i="3"/>
  <c r="AY313" i="3"/>
  <c r="AY579" i="3"/>
  <c r="AY94" i="3"/>
  <c r="AY520" i="3"/>
  <c r="AY445" i="3"/>
  <c r="AY192" i="3"/>
  <c r="AY249" i="3"/>
  <c r="AY558" i="3"/>
  <c r="AY128" i="3"/>
  <c r="AY448" i="3"/>
  <c r="AY586" i="3"/>
  <c r="AY552" i="3"/>
  <c r="AY450" i="3"/>
  <c r="AY530" i="3"/>
  <c r="AY233" i="3"/>
  <c r="AY13" i="3"/>
  <c r="AY136" i="3"/>
  <c r="AY432" i="3"/>
  <c r="AY53" i="3"/>
  <c r="AY16" i="3"/>
  <c r="AY291" i="3"/>
  <c r="AY518" i="3"/>
  <c r="AY344" i="3"/>
  <c r="AY542" i="3"/>
  <c r="AY543" i="3"/>
  <c r="AY545" i="3"/>
  <c r="AY517" i="3"/>
  <c r="AY367" i="3"/>
  <c r="AY532" i="3"/>
  <c r="AY172" i="3"/>
  <c r="AY54" i="3"/>
  <c r="AY400" i="3"/>
  <c r="AY455" i="3"/>
  <c r="AY311" i="3"/>
  <c r="AY144" i="3"/>
  <c r="AY219" i="3"/>
  <c r="AY202" i="3"/>
  <c r="AY333" i="3"/>
  <c r="AY411" i="3"/>
  <c r="AY494" i="3"/>
  <c r="AY124" i="3"/>
  <c r="AY465" i="3"/>
  <c r="AY108" i="3"/>
  <c r="AY271" i="3"/>
  <c r="AY186" i="3"/>
  <c r="AY556" i="3"/>
  <c r="AY369" i="3"/>
  <c r="D3" i="6"/>
  <c r="AY449" i="3"/>
  <c r="AY79" i="3"/>
  <c r="BL6" i="3"/>
  <c r="AY438" i="3"/>
  <c r="AY383" i="3"/>
  <c r="AY322" i="3"/>
  <c r="AY557" i="3"/>
  <c r="AY382" i="3"/>
  <c r="AY217" i="3"/>
  <c r="AY544" i="3"/>
  <c r="AY33" i="3"/>
  <c r="AY299" i="3"/>
  <c r="AY246" i="3"/>
  <c r="AY357" i="3"/>
  <c r="AY41" i="3"/>
  <c r="AY114" i="3"/>
  <c r="AY377" i="3"/>
  <c r="AY414" i="3"/>
  <c r="AY561" i="3"/>
  <c r="AY96" i="3"/>
  <c r="AY169" i="3"/>
  <c r="AY395" i="3"/>
  <c r="AY569" i="3"/>
  <c r="AY238" i="3"/>
  <c r="AY454" i="3"/>
  <c r="AY234" i="3"/>
  <c r="AY506" i="3"/>
  <c r="AY370" i="3"/>
  <c r="AY396" i="3"/>
  <c r="AY264" i="3"/>
  <c r="AY70" i="3"/>
  <c r="AY416" i="3"/>
  <c r="AY418" i="3"/>
  <c r="AY248" i="3"/>
  <c r="AY293" i="3"/>
  <c r="AY81" i="3"/>
  <c r="AY323" i="3"/>
  <c r="AY64" i="3"/>
  <c r="AY110" i="3"/>
  <c r="AY451" i="3"/>
  <c r="AY257" i="3"/>
  <c r="AY297" i="3"/>
  <c r="AY183" i="3"/>
  <c r="AY199" i="3"/>
  <c r="AY131" i="3"/>
  <c r="AY387" i="3"/>
  <c r="AY90" i="3"/>
  <c r="AY40" i="3"/>
  <c r="AY550" i="3"/>
  <c r="AY394" i="3"/>
  <c r="AY307" i="3"/>
  <c r="AY310" i="3"/>
  <c r="AY325" i="3"/>
  <c r="AY336" i="3"/>
  <c r="AY141" i="3"/>
  <c r="AY436" i="3"/>
  <c r="AY188" i="3"/>
  <c r="AY289" i="3"/>
  <c r="AY157" i="3"/>
  <c r="AY85" i="3"/>
  <c r="AY447" i="3"/>
  <c r="AY526" i="3"/>
  <c r="AY59" i="3"/>
  <c r="AY220" i="3"/>
  <c r="AY132" i="3"/>
  <c r="AY87" i="3"/>
  <c r="AY303" i="3"/>
  <c r="AY372" i="3"/>
  <c r="AY533" i="3"/>
  <c r="AY190" i="3"/>
  <c r="AY283" i="3"/>
  <c r="AY230" i="3"/>
  <c r="AY360" i="3"/>
  <c r="AY56" i="3"/>
  <c r="AY295" i="3"/>
  <c r="AY353" i="3"/>
  <c r="AY475" i="3"/>
  <c r="AY398" i="3"/>
  <c r="AY534" i="3"/>
  <c r="AY501" i="3"/>
  <c r="AY65" i="3"/>
  <c r="AY51" i="3"/>
  <c r="AY473" i="3"/>
  <c r="AY358" i="3"/>
  <c r="AY541" i="3"/>
  <c r="AY201" i="3"/>
  <c r="AY302" i="3"/>
  <c r="AY222" i="3"/>
  <c r="AY57" i="3"/>
  <c r="AY393" i="3"/>
  <c r="AY422" i="3"/>
  <c r="AY559" i="3"/>
  <c r="AY142" i="3"/>
  <c r="AY223" i="3"/>
  <c r="AY328" i="3"/>
  <c r="AY442" i="3"/>
  <c r="AY499" i="3"/>
  <c r="BR6" i="3"/>
  <c r="AY384" i="3"/>
  <c r="AY309" i="3"/>
  <c r="AY496" i="3"/>
  <c r="AY361" i="3"/>
  <c r="AY402" i="3"/>
  <c r="BP6" i="3"/>
  <c r="AY156" i="3"/>
  <c r="AY232" i="3"/>
  <c r="AY469" i="3"/>
  <c r="AY560" i="3"/>
  <c r="AY38" i="3"/>
  <c r="AY277" i="3"/>
  <c r="AY354" i="3"/>
  <c r="AY429" i="3"/>
  <c r="AY373" i="3"/>
  <c r="AY324" i="3"/>
  <c r="AY523" i="3"/>
  <c r="AY352" i="3"/>
  <c r="AY431" i="3"/>
  <c r="AY563" i="3"/>
  <c r="AY140" i="3"/>
  <c r="AY216" i="3"/>
  <c r="AY482" i="3"/>
  <c r="AY528" i="3"/>
  <c r="AY22" i="3"/>
  <c r="AY288" i="3"/>
  <c r="AY339" i="3"/>
  <c r="AY413" i="3"/>
  <c r="AY146" i="3"/>
  <c r="AY425" i="3"/>
  <c r="AY171" i="3"/>
  <c r="AY460" i="3"/>
  <c r="AY327" i="3"/>
  <c r="AY185" i="3"/>
  <c r="AY294" i="3"/>
  <c r="AY554" i="3"/>
  <c r="AY24" i="3"/>
  <c r="AY349" i="3"/>
  <c r="AY427" i="3"/>
  <c r="BF6" i="3"/>
  <c r="AY80" i="3"/>
  <c r="AY428" i="3"/>
  <c r="AY342" i="3"/>
  <c r="AY170" i="3"/>
  <c r="AY286" i="3"/>
  <c r="AY356" i="3"/>
  <c r="AY435" i="3"/>
  <c r="AY137" i="3"/>
  <c r="AY380" i="3"/>
  <c r="AY426" i="3"/>
  <c r="AY570" i="3"/>
  <c r="AY368" i="3"/>
  <c r="AY337" i="3"/>
  <c r="AY493" i="3"/>
  <c r="AY167" i="3"/>
  <c r="AY466" i="3"/>
  <c r="AY512" i="3"/>
  <c r="AY273" i="3"/>
  <c r="AY507" i="3"/>
  <c r="AY321" i="3"/>
  <c r="AY151" i="3"/>
  <c r="AY200" i="3"/>
  <c r="AY521" i="3"/>
  <c r="AY162" i="3"/>
  <c r="AY326" i="3"/>
  <c r="AY176" i="3"/>
  <c r="AY160" i="3"/>
  <c r="AY89" i="3"/>
  <c r="AY481" i="3"/>
  <c r="AY155" i="3"/>
  <c r="AY237" i="3"/>
  <c r="AY34" i="3"/>
  <c r="BE6" i="3"/>
  <c r="AY214" i="3"/>
  <c r="AY290" i="3"/>
  <c r="AY488" i="3"/>
  <c r="AY584" i="3"/>
  <c r="AY207" i="3"/>
  <c r="AY553" i="3"/>
  <c r="AY227" i="3"/>
  <c r="AY508" i="3"/>
  <c r="AY312" i="3"/>
  <c r="AY14" i="3"/>
  <c r="AY483" i="3"/>
  <c r="AY415" i="3"/>
  <c r="AY221" i="3"/>
  <c r="AY27" i="3"/>
  <c r="AY480" i="3"/>
  <c r="AY399" i="3"/>
  <c r="AY568" i="3"/>
  <c r="AY198" i="3"/>
  <c r="AY50" i="3"/>
  <c r="AY555" i="3"/>
  <c r="AY23" i="3"/>
  <c r="AY191" i="3"/>
  <c r="AY97" i="3"/>
  <c r="AY487" i="3"/>
  <c r="AY305" i="3"/>
  <c r="AY456" i="3"/>
  <c r="AY241" i="3"/>
  <c r="AY88" i="3"/>
  <c r="AY17" i="3"/>
  <c r="AY440" i="3"/>
  <c r="AY195" i="3"/>
  <c r="AY15" i="3"/>
  <c r="D19" i="11"/>
  <c r="C19" i="11" s="1"/>
  <c r="D3" i="37"/>
  <c r="C17" i="4"/>
  <c r="B4" i="52" s="1"/>
  <c r="B43" i="72" s="1"/>
  <c r="D3" i="21"/>
  <c r="L18" i="9"/>
  <c r="D14" i="12"/>
  <c r="E6" i="6"/>
  <c r="M18" i="9"/>
  <c r="B118" i="9" s="1"/>
  <c r="B14" i="74" s="1"/>
  <c r="B1" i="74" s="1"/>
  <c r="D3" i="34"/>
  <c r="D3" i="33"/>
  <c r="D37" i="11"/>
  <c r="C37" i="11" s="1"/>
  <c r="G54" i="34"/>
  <c r="H54" i="34" s="1"/>
  <c r="K26" i="6"/>
  <c r="M26" i="6" s="1"/>
  <c r="I26" i="6" s="1"/>
  <c r="S26" i="6" s="1"/>
  <c r="Q52" i="85"/>
  <c r="F1" i="85"/>
  <c r="K24" i="6"/>
  <c r="M24" i="6" s="1"/>
  <c r="I24" i="6" s="1"/>
  <c r="S24" i="6" s="1"/>
  <c r="L46" i="85"/>
  <c r="F69" i="85"/>
  <c r="F70" i="39"/>
  <c r="G68" i="39"/>
  <c r="F69" i="15"/>
  <c r="J29" i="15"/>
  <c r="C12" i="12"/>
  <c r="AQ6" i="1"/>
  <c r="T6" i="1"/>
  <c r="S16" i="1"/>
  <c r="AR6" i="1"/>
  <c r="M19" i="6"/>
  <c r="H23" i="6"/>
  <c r="H24" i="6"/>
  <c r="H26" i="6"/>
  <c r="S21" i="6"/>
  <c r="H21" i="6"/>
  <c r="S22" i="6"/>
  <c r="H22" i="6"/>
  <c r="H20" i="6"/>
  <c r="C19" i="68"/>
  <c r="C24" i="68" s="1"/>
  <c r="C30" i="43"/>
  <c r="E30" i="43" s="1"/>
  <c r="C27" i="43" s="1"/>
  <c r="E29" i="4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66" i="67"/>
  <c r="C60" i="67"/>
  <c r="C23" i="67"/>
  <c r="C29" i="67" s="1"/>
  <c r="E6" i="76"/>
  <c r="B6" i="76"/>
  <c r="C14" i="85"/>
  <c r="C14" i="15"/>
  <c r="E26" i="66" l="1"/>
  <c r="L26" i="66" s="1"/>
  <c r="J26" i="85"/>
  <c r="J29" i="85" s="1"/>
  <c r="C66" i="85"/>
  <c r="C60" i="85"/>
  <c r="C18" i="15"/>
  <c r="C15" i="15"/>
  <c r="C15" i="85"/>
  <c r="C18" i="85"/>
  <c r="C9" i="71"/>
  <c r="D10" i="71"/>
  <c r="M14" i="1"/>
  <c r="M16" i="1" s="1"/>
  <c r="C34" i="69"/>
  <c r="K16" i="1"/>
  <c r="T16" i="1"/>
  <c r="C20" i="11"/>
  <c r="C25" i="11" s="1"/>
  <c r="C22" i="11" s="1"/>
  <c r="C7" i="74"/>
  <c r="D10" i="69"/>
  <c r="D10" i="68"/>
  <c r="D20" i="12"/>
  <c r="C20" i="12" s="1"/>
  <c r="D10" i="11"/>
  <c r="C10" i="11" s="1"/>
  <c r="D17" i="12"/>
  <c r="C17" i="12" s="1"/>
  <c r="C14" i="12"/>
  <c r="C16" i="12" s="1"/>
  <c r="D6" i="6"/>
  <c r="D25" i="6"/>
  <c r="R25" i="6" s="1"/>
  <c r="D13" i="6"/>
  <c r="D14" i="6"/>
  <c r="D8" i="6"/>
  <c r="D15" i="6"/>
  <c r="D28" i="6"/>
  <c r="D12" i="6"/>
  <c r="D22" i="6"/>
  <c r="R22" i="6" s="1"/>
  <c r="E61" i="40"/>
  <c r="D11" i="6"/>
  <c r="D21" i="6"/>
  <c r="R21" i="6" s="1"/>
  <c r="D19" i="6"/>
  <c r="L19" i="9"/>
  <c r="D5" i="6"/>
  <c r="D24" i="6"/>
  <c r="R24" i="6" s="1"/>
  <c r="D26" i="6"/>
  <c r="R26" i="6" s="1"/>
  <c r="D29" i="6"/>
  <c r="D20" i="6"/>
  <c r="R20" i="6" s="1"/>
  <c r="C18" i="4"/>
  <c r="H25" i="6"/>
  <c r="D10" i="6"/>
  <c r="M19" i="9"/>
  <c r="C118" i="9" s="1"/>
  <c r="C14" i="74" s="1"/>
  <c r="B2" i="74" s="1"/>
  <c r="D9" i="6"/>
  <c r="D23" i="6"/>
  <c r="R23" i="6" s="1"/>
  <c r="K27" i="6"/>
  <c r="G70" i="39"/>
  <c r="H68" i="39"/>
  <c r="I19" i="6"/>
  <c r="M27" i="6"/>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6" i="67"/>
  <c r="C33" i="67"/>
  <c r="C31" i="67" s="1"/>
  <c r="J14" i="67"/>
  <c r="C13" i="67"/>
  <c r="J19" i="67"/>
  <c r="J17" i="67" s="1"/>
  <c r="C57" i="67"/>
  <c r="Q49" i="67"/>
  <c r="J59" i="67"/>
  <c r="J60" i="67" s="1"/>
  <c r="C28" i="11" l="1"/>
  <c r="C27" i="11" s="1"/>
  <c r="C31" i="11" s="1"/>
  <c r="C19" i="15"/>
  <c r="C20" i="15" s="1"/>
  <c r="C26" i="15" s="1"/>
  <c r="C19" i="85"/>
  <c r="C20" i="85" s="1"/>
  <c r="C26" i="85" s="1"/>
  <c r="A10" i="51"/>
  <c r="B9" i="72" s="1"/>
  <c r="C4" i="52"/>
  <c r="B45" i="72" s="1"/>
  <c r="A7" i="51"/>
  <c r="B7" i="72" s="1"/>
  <c r="C10" i="68"/>
  <c r="D19" i="68"/>
  <c r="D37" i="68" s="1"/>
  <c r="C37" i="68" s="1"/>
  <c r="C8" i="71"/>
  <c r="T9" i="71"/>
  <c r="D9" i="71"/>
  <c r="U9" i="71" s="1"/>
  <c r="C10" i="69"/>
  <c r="C8" i="69" s="1"/>
  <c r="C5" i="69" s="1"/>
  <c r="D19" i="69"/>
  <c r="D7" i="74"/>
  <c r="D30" i="6"/>
  <c r="C35" i="69"/>
  <c r="C38" i="69"/>
  <c r="D27" i="6"/>
  <c r="D16" i="6"/>
  <c r="N16" i="1"/>
  <c r="L16" i="1"/>
  <c r="C34" i="11"/>
  <c r="C34" i="68"/>
  <c r="I68" i="39"/>
  <c r="H70" i="39"/>
  <c r="S19" i="6"/>
  <c r="S27" i="6" s="1"/>
  <c r="H19" i="6"/>
  <c r="I27" i="6"/>
  <c r="B3" i="76"/>
  <c r="I63" i="40"/>
  <c r="H65" i="40"/>
  <c r="I58" i="21"/>
  <c r="J58" i="21" s="1"/>
  <c r="K58" i="21" s="1"/>
  <c r="L58" i="21" s="1"/>
  <c r="M58" i="21" s="1"/>
  <c r="N58" i="21" s="1"/>
  <c r="O58" i="21" s="1"/>
  <c r="H7" i="21" s="1"/>
  <c r="F7" i="21"/>
  <c r="J48" i="35"/>
  <c r="J13" i="67"/>
  <c r="J23" i="67" s="1"/>
  <c r="J22" i="67"/>
  <c r="C61" i="67"/>
  <c r="C59" i="67" s="1"/>
  <c r="C64" i="67"/>
  <c r="Q48" i="67"/>
  <c r="L46" i="67"/>
  <c r="C56" i="67"/>
  <c r="C65" i="67" s="1"/>
  <c r="C75" i="67"/>
  <c r="Q70" i="67"/>
  <c r="C37" i="67"/>
  <c r="C30" i="67" s="1"/>
  <c r="C39" i="67" s="1"/>
  <c r="F6" i="85"/>
  <c r="F6" i="15"/>
  <c r="L51" i="67"/>
  <c r="B29" i="1" l="1"/>
  <c r="C8" i="68" s="1"/>
  <c r="C6" i="15"/>
  <c r="C10" i="15" s="1"/>
  <c r="C6" i="85"/>
  <c r="C23" i="15"/>
  <c r="C29" i="15" s="1"/>
  <c r="J59" i="15" s="1"/>
  <c r="J60" i="15" s="1"/>
  <c r="Q48" i="15" s="1"/>
  <c r="C23" i="85"/>
  <c r="C29" i="85" s="1"/>
  <c r="C57" i="85" s="1"/>
  <c r="D31" i="6"/>
  <c r="C23" i="69"/>
  <c r="C35" i="68"/>
  <c r="C38" i="68"/>
  <c r="D8" i="71"/>
  <c r="C7" i="71"/>
  <c r="C38" i="11"/>
  <c r="C35" i="11"/>
  <c r="F50" i="69"/>
  <c r="F50" i="11"/>
  <c r="F50" i="68"/>
  <c r="C19" i="69"/>
  <c r="D37" i="69"/>
  <c r="C37" i="69" s="1"/>
  <c r="C33" i="69" s="1"/>
  <c r="I70" i="39"/>
  <c r="J68" i="39"/>
  <c r="H27" i="6"/>
  <c r="R19" i="6"/>
  <c r="J7" i="21"/>
  <c r="AC7" i="21" s="1"/>
  <c r="V48" i="21" s="1"/>
  <c r="I48" i="21" s="1"/>
  <c r="U7" i="21"/>
  <c r="AB7" i="21"/>
  <c r="T48" i="21" s="1"/>
  <c r="G48" i="21" s="1"/>
  <c r="S7" i="21"/>
  <c r="AA7" i="21"/>
  <c r="R48" i="21" s="1"/>
  <c r="J63" i="40"/>
  <c r="I65" i="40"/>
  <c r="K48" i="35"/>
  <c r="L48" i="35" s="1"/>
  <c r="M48" i="35" s="1"/>
  <c r="N48" i="35" s="1"/>
  <c r="O48" i="35" s="1"/>
  <c r="H7" i="35" s="1"/>
  <c r="J7" i="35"/>
  <c r="J16" i="67"/>
  <c r="J25" i="67" s="1"/>
  <c r="C80" i="67"/>
  <c r="C79" i="67" s="1"/>
  <c r="C58" i="67"/>
  <c r="C67" i="67" s="1"/>
  <c r="C68" i="67" s="1"/>
  <c r="Q69" i="67"/>
  <c r="Q68" i="67" s="1"/>
  <c r="C40" i="67"/>
  <c r="C18" i="12" l="1"/>
  <c r="C21" i="12" s="1"/>
  <c r="C33" i="85"/>
  <c r="C32" i="85"/>
  <c r="C10" i="85"/>
  <c r="C5" i="85" s="1"/>
  <c r="C38" i="85" s="1"/>
  <c r="C32" i="15"/>
  <c r="C5" i="15"/>
  <c r="C38" i="15" s="1"/>
  <c r="Q49" i="15"/>
  <c r="C33" i="15"/>
  <c r="C33" i="11"/>
  <c r="C39" i="11" s="1"/>
  <c r="C43" i="11" s="1"/>
  <c r="J14" i="15"/>
  <c r="J13" i="15" s="1"/>
  <c r="J23" i="15" s="1"/>
  <c r="C13" i="15"/>
  <c r="C37" i="15" s="1"/>
  <c r="J19" i="15"/>
  <c r="C57" i="15"/>
  <c r="C64" i="15" s="1"/>
  <c r="C36" i="15"/>
  <c r="C33" i="68"/>
  <c r="C39" i="68" s="1"/>
  <c r="C13" i="85"/>
  <c r="C75" i="85" s="1"/>
  <c r="J14" i="85"/>
  <c r="J22" i="85" s="1"/>
  <c r="Q49" i="85"/>
  <c r="J19" i="85"/>
  <c r="C36" i="85"/>
  <c r="C22" i="12"/>
  <c r="C30" i="12" s="1"/>
  <c r="C28" i="12" s="1"/>
  <c r="D7" i="71"/>
  <c r="C6" i="71"/>
  <c r="I6" i="6"/>
  <c r="I5" i="6"/>
  <c r="W7" i="21"/>
  <c r="C42" i="69"/>
  <c r="C39" i="69"/>
  <c r="C43" i="69" s="1"/>
  <c r="C91" i="9"/>
  <c r="C20" i="69"/>
  <c r="C25" i="69" s="1"/>
  <c r="C24" i="69"/>
  <c r="C64" i="85"/>
  <c r="C61" i="85"/>
  <c r="K68" i="39"/>
  <c r="J70" i="39"/>
  <c r="R27" i="6"/>
  <c r="R6" i="1"/>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85"/>
  <c r="F35" i="15"/>
  <c r="M21" i="15"/>
  <c r="M21" i="85"/>
  <c r="C42" i="11" l="1"/>
  <c r="J22" i="15"/>
  <c r="C61" i="15"/>
  <c r="Q70" i="15"/>
  <c r="C42" i="68"/>
  <c r="C75" i="15"/>
  <c r="C56" i="15"/>
  <c r="C65" i="15" s="1"/>
  <c r="J13" i="85"/>
  <c r="J23" i="85" s="1"/>
  <c r="C41" i="69"/>
  <c r="Q70" i="85"/>
  <c r="C37" i="85"/>
  <c r="C56" i="85"/>
  <c r="C65" i="85" s="1"/>
  <c r="C22" i="69"/>
  <c r="C28" i="69"/>
  <c r="C27" i="69" s="1"/>
  <c r="C46" i="69"/>
  <c r="C45" i="69" s="1"/>
  <c r="C27" i="12"/>
  <c r="C25" i="12" s="1"/>
  <c r="C32" i="12" s="1"/>
  <c r="B2" i="12" s="1"/>
  <c r="B3" i="12" s="1"/>
  <c r="C41" i="11"/>
  <c r="C46" i="11"/>
  <c r="C45" i="11" s="1"/>
  <c r="C43" i="68"/>
  <c r="C46" i="68"/>
  <c r="C45" i="68" s="1"/>
  <c r="D6" i="71"/>
  <c r="C5" i="71"/>
  <c r="C92" i="9"/>
  <c r="F63" i="85"/>
  <c r="C62" i="85" s="1"/>
  <c r="C59" i="85" s="1"/>
  <c r="C34" i="85"/>
  <c r="C31" i="85" s="1"/>
  <c r="J20" i="85"/>
  <c r="J17" i="85" s="1"/>
  <c r="L68" i="39"/>
  <c r="K70" i="39"/>
  <c r="J20" i="15"/>
  <c r="J17" i="15" s="1"/>
  <c r="F63" i="15"/>
  <c r="C62" i="15" s="1"/>
  <c r="C34" i="15"/>
  <c r="C31" i="15" s="1"/>
  <c r="C30" i="15" s="1"/>
  <c r="C39" i="15" s="1"/>
  <c r="R16" i="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59" i="15" l="1"/>
  <c r="C58" i="15" s="1"/>
  <c r="C67" i="15" s="1"/>
  <c r="C68" i="15" s="1"/>
  <c r="C71" i="15" s="1"/>
  <c r="J16" i="15"/>
  <c r="J25" i="15" s="1"/>
  <c r="J16" i="85"/>
  <c r="J25" i="85" s="1"/>
  <c r="C41" i="68"/>
  <c r="C49" i="68" s="1"/>
  <c r="C51" i="68" s="1"/>
  <c r="C49" i="69"/>
  <c r="C51" i="69" s="1"/>
  <c r="C58" i="85"/>
  <c r="C67" i="85" s="1"/>
  <c r="C68" i="85" s="1"/>
  <c r="C71" i="85" s="1"/>
  <c r="C31" i="69"/>
  <c r="C30" i="85"/>
  <c r="C39" i="85" s="1"/>
  <c r="Q69" i="85" s="1"/>
  <c r="Q68" i="85" s="1"/>
  <c r="M20" i="43"/>
  <c r="D5" i="71"/>
  <c r="C49" i="11"/>
  <c r="C51" i="11" s="1"/>
  <c r="L70" i="39"/>
  <c r="M68" i="39"/>
  <c r="L57" i="15"/>
  <c r="L60" i="15" s="1"/>
  <c r="Q67" i="15"/>
  <c r="C80" i="15"/>
  <c r="C79" i="15" s="1"/>
  <c r="Q69" i="15"/>
  <c r="Q68" i="15" s="1"/>
  <c r="C40" i="15"/>
  <c r="R39" i="35"/>
  <c r="E38" i="35"/>
  <c r="M63" i="40"/>
  <c r="L65" i="40"/>
  <c r="C46" i="15" l="1"/>
  <c r="C52" i="69"/>
  <c r="B2" i="69" s="1"/>
  <c r="B3" i="69" s="1"/>
  <c r="C80" i="85"/>
  <c r="C79" i="85" s="1"/>
  <c r="C40" i="85"/>
  <c r="C46" i="85" s="1"/>
  <c r="C52" i="11"/>
  <c r="B2" i="11" s="1"/>
  <c r="B3" i="11" s="1"/>
  <c r="N68" i="39"/>
  <c r="M70" i="39"/>
  <c r="Q56" i="15"/>
  <c r="C43" i="15"/>
  <c r="C83" i="15"/>
  <c r="C82" i="15" s="1"/>
  <c r="Q65" i="15"/>
  <c r="Q47" i="15"/>
  <c r="Q53" i="15" s="1"/>
  <c r="L46" i="15"/>
  <c r="B2" i="15" s="1"/>
  <c r="Q57" i="15"/>
  <c r="Q66" i="15"/>
  <c r="C39" i="35"/>
  <c r="B2" i="35" s="1"/>
  <c r="B3" i="35" s="1"/>
  <c r="C38" i="35"/>
  <c r="N63" i="40"/>
  <c r="M65" i="40"/>
  <c r="E43" i="35"/>
  <c r="F43" i="35" s="1"/>
  <c r="E42" i="35"/>
  <c r="F42" i="35" s="1"/>
  <c r="I43" i="35"/>
  <c r="J43" i="35" s="1"/>
  <c r="D19" i="9"/>
  <c r="L51" i="85"/>
  <c r="AO6" i="1"/>
  <c r="Q67" i="85" l="1"/>
  <c r="C57" i="69"/>
  <c r="C56" i="69" s="1"/>
  <c r="Q47" i="85"/>
  <c r="Q53" i="85" s="1"/>
  <c r="C43" i="85"/>
  <c r="B2" i="85"/>
  <c r="B3" i="85" s="1"/>
  <c r="C83" i="85"/>
  <c r="C82" i="85" s="1"/>
  <c r="Q56" i="85"/>
  <c r="Q62" i="85" s="1"/>
  <c r="Q65" i="85"/>
  <c r="Q75" i="85" s="1"/>
  <c r="Q75" i="15"/>
  <c r="C56" i="11"/>
  <c r="C57" i="11" s="1"/>
  <c r="O68" i="39"/>
  <c r="O70" i="39" s="1"/>
  <c r="J7" i="39" s="1"/>
  <c r="N70" i="39"/>
  <c r="H7" i="39"/>
  <c r="D102" i="9"/>
  <c r="D21" i="9"/>
  <c r="B6" i="70"/>
  <c r="B2" i="70" s="1"/>
  <c r="B3" i="70" s="1"/>
  <c r="B3" i="15"/>
  <c r="Q62" i="15"/>
  <c r="O63" i="40"/>
  <c r="O65" i="40" s="1"/>
  <c r="N65" i="40"/>
  <c r="D20" i="9"/>
  <c r="D35" i="9"/>
  <c r="D34" i="9"/>
  <c r="W7" i="39" l="1"/>
  <c r="AC7" i="39"/>
  <c r="V47" i="39" s="1"/>
  <c r="I47" i="39" s="1"/>
  <c r="U7" i="39"/>
  <c r="AB7" i="39"/>
  <c r="T47" i="39" s="1"/>
  <c r="G47" i="39" s="1"/>
  <c r="F7" i="39"/>
  <c r="D103" i="9"/>
  <c r="J7" i="40"/>
  <c r="F7" i="40"/>
  <c r="H7" i="40"/>
  <c r="G52" i="39" l="1"/>
  <c r="H52" i="39" s="1"/>
  <c r="G51" i="39"/>
  <c r="H51" i="39" s="1"/>
  <c r="I51" i="39"/>
  <c r="J51" i="39" s="1"/>
  <c r="S7" i="39"/>
  <c r="AA7" i="39"/>
  <c r="R47" i="39" s="1"/>
  <c r="U7" i="40"/>
  <c r="AB7" i="40"/>
  <c r="T42" i="40" s="1"/>
  <c r="G42" i="40" s="1"/>
  <c r="AA7" i="40"/>
  <c r="R42" i="40" s="1"/>
  <c r="S7" i="40"/>
  <c r="AC7" i="40"/>
  <c r="V42" i="40" s="1"/>
  <c r="I42" i="40" s="1"/>
  <c r="W7" i="40"/>
  <c r="E47" i="39" l="1"/>
  <c r="R48" i="39"/>
  <c r="I46" i="40"/>
  <c r="J46" i="40" s="1"/>
  <c r="R43" i="40"/>
  <c r="E42" i="40"/>
  <c r="G47" i="40"/>
  <c r="H47" i="40" s="1"/>
  <c r="G46" i="40"/>
  <c r="H46" i="40" s="1"/>
  <c r="C47" i="39" l="1"/>
  <c r="C48" i="39"/>
  <c r="E51" i="39"/>
  <c r="F51" i="39" s="1"/>
  <c r="E52" i="39"/>
  <c r="F52" i="39" s="1"/>
  <c r="I52" i="39"/>
  <c r="J52" i="39" s="1"/>
  <c r="C42" i="40"/>
  <c r="C43" i="40"/>
  <c r="E47" i="40"/>
  <c r="F47" i="40" s="1"/>
  <c r="E46" i="40"/>
  <c r="F46" i="40" s="1"/>
  <c r="I47" i="40"/>
  <c r="J47" i="40" s="1"/>
  <c r="B57" i="39" l="1"/>
  <c r="F57" i="39" s="1"/>
  <c r="B58" i="39"/>
  <c r="F58" i="39" s="1"/>
  <c r="B63" i="39"/>
  <c r="F63" i="39" s="1"/>
  <c r="B59" i="39"/>
  <c r="F59" i="39" s="1"/>
  <c r="B62" i="39"/>
  <c r="F62" i="39" s="1"/>
  <c r="B56" i="39"/>
  <c r="F56" i="39" s="1"/>
  <c r="B64" i="39"/>
  <c r="F64" i="39" s="1"/>
  <c r="B65" i="39"/>
  <c r="F65" i="39" s="1"/>
  <c r="B61" i="39"/>
  <c r="F61" i="39" s="1"/>
  <c r="B60" i="39"/>
  <c r="F60"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66" i="39" l="1"/>
  <c r="B2" i="39" s="1"/>
  <c r="C6" i="68" s="1"/>
  <c r="B3" i="39" l="1"/>
  <c r="C7" i="68"/>
  <c r="C5" i="68" s="1"/>
  <c r="C20" i="68" l="1"/>
  <c r="C25" i="68" s="1"/>
  <c r="C23" i="68"/>
  <c r="C28" i="68" l="1"/>
  <c r="C27" i="68" s="1"/>
  <c r="C22" i="68"/>
  <c r="C31" i="68" l="1"/>
  <c r="C52" i="68" s="1"/>
  <c r="C57" i="68" s="1"/>
  <c r="C56" i="68" s="1"/>
  <c r="B2" i="68" l="1"/>
  <c r="C19" i="9"/>
  <c r="C21" i="9" l="1"/>
  <c r="C102" i="9"/>
  <c r="D22" i="9"/>
  <c r="G19" i="9"/>
  <c r="G21" i="9" s="1"/>
  <c r="B3" i="68"/>
  <c r="C20" i="9"/>
  <c r="C103" i="9" l="1"/>
  <c r="G20" i="9"/>
  <c r="C32" i="9" s="1"/>
  <c r="C35" i="9" s="1"/>
  <c r="H118" i="9" l="1"/>
  <c r="C104" i="9" s="1"/>
  <c r="C34" i="9"/>
  <c r="D118" i="9" s="1"/>
  <c r="F118" i="9"/>
  <c r="H4" i="52" l="1"/>
  <c r="H119" i="9"/>
  <c r="H5" i="52" s="1"/>
  <c r="I118" i="9"/>
  <c r="I4" i="52" s="1"/>
  <c r="H101" i="9"/>
  <c r="D45" i="9" s="1"/>
  <c r="D14" i="74"/>
  <c r="B5" i="74" s="1"/>
  <c r="F4" i="52"/>
  <c r="B51" i="72" s="1"/>
  <c r="G118" i="9"/>
  <c r="G4" i="52" s="1"/>
  <c r="B52" i="72" s="1"/>
  <c r="F119" i="9"/>
  <c r="F5" i="52" s="1"/>
  <c r="B53" i="72" s="1"/>
  <c r="D4" i="52"/>
  <c r="B47" i="72" s="1"/>
  <c r="D119" i="9"/>
  <c r="D5" i="52" s="1"/>
  <c r="B49" i="72" s="1"/>
  <c r="M48" i="9" l="1"/>
  <c r="D5" i="53"/>
  <c r="B20" i="72" s="1"/>
  <c r="E14" i="74"/>
  <c r="C105" i="9"/>
  <c r="H107" i="9"/>
  <c r="D13" i="53" s="1"/>
  <c r="F14" i="74"/>
  <c r="H102" i="9"/>
  <c r="D7" i="53" s="1"/>
  <c r="B21" i="72" s="1"/>
  <c r="D5" i="74"/>
  <c r="C5" i="74"/>
  <c r="E118" i="9"/>
  <c r="E4" i="52" s="1"/>
  <c r="B48" i="72" s="1"/>
  <c r="C78" i="9"/>
  <c r="C73" i="9" s="1"/>
  <c r="D52" i="9"/>
  <c r="C72" i="9"/>
  <c r="C64" i="9"/>
  <c r="C63" i="9" s="1"/>
  <c r="C67" i="9" s="1"/>
  <c r="D53" i="9"/>
  <c r="D48" i="9" s="1"/>
  <c r="M52" i="9" s="1"/>
  <c r="C93" i="9"/>
  <c r="C86" i="9" s="1"/>
  <c r="D55" i="9"/>
  <c r="M53" i="9" s="1"/>
  <c r="C85" i="9"/>
  <c r="D6" i="53" l="1"/>
  <c r="B22" i="72" s="1"/>
  <c r="M49" i="9"/>
  <c r="L65" i="9" s="1"/>
  <c r="M65" i="9" s="1"/>
  <c r="H108" i="9"/>
  <c r="D15" i="53" s="1"/>
  <c r="B31" i="72" s="1"/>
  <c r="D122" i="9"/>
  <c r="D123" i="9" s="1"/>
  <c r="D9" i="52" s="1"/>
  <c r="C79" i="9"/>
  <c r="C80" i="9" s="1"/>
  <c r="E80" i="9" s="1"/>
  <c r="E81" i="9" s="1"/>
  <c r="C95" i="9"/>
  <c r="C96" i="9" s="1"/>
  <c r="E96" i="9" s="1"/>
  <c r="E97" i="9" s="1"/>
  <c r="D14" i="53"/>
  <c r="B32" i="72" s="1"/>
  <c r="B30" i="72"/>
  <c r="C68" i="9"/>
  <c r="D54" i="9" s="1"/>
  <c r="D59" i="9"/>
  <c r="M55" i="9" s="1"/>
  <c r="D8" i="52" l="1"/>
  <c r="G14" i="74"/>
  <c r="B6" i="74" s="1"/>
  <c r="C6" i="74" s="1"/>
  <c r="L66" i="9"/>
  <c r="M66" i="9" s="1"/>
  <c r="L67" i="9"/>
  <c r="M67" i="9" s="1"/>
  <c r="L63" i="9"/>
  <c r="M63" i="9" s="1"/>
  <c r="L68" i="9"/>
  <c r="M68" i="9" s="1"/>
  <c r="L64" i="9"/>
  <c r="M64" i="9" s="1"/>
  <c r="C81" i="9"/>
  <c r="C97" i="9"/>
  <c r="D58" i="9" s="1"/>
  <c r="D56" i="9" s="1"/>
  <c r="M54" i="9" s="1"/>
  <c r="N57" i="9" s="1"/>
  <c r="D6" i="74" l="1"/>
  <c r="M69" i="9"/>
  <c r="N69" i="9" s="1"/>
  <c r="N58" i="9"/>
  <c r="N59" i="9"/>
  <c r="H111" i="9" s="1"/>
  <c r="D19" i="53" l="1"/>
  <c r="D126" i="9"/>
  <c r="N60" i="9"/>
  <c r="N61" i="9"/>
  <c r="H112" i="9" s="1"/>
  <c r="D21" i="53" s="1"/>
  <c r="B39" i="72" s="1"/>
  <c r="I14" i="74" l="1"/>
  <c r="B8" i="74" s="1"/>
  <c r="D12" i="52"/>
  <c r="D127" i="9"/>
  <c r="D13" i="52"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K20" authorId="0">
      <text>
        <r>
          <rPr>
            <b/>
            <sz val="9"/>
            <color indexed="81"/>
            <rFont val="宋体"/>
            <family val="3"/>
            <charset val="134"/>
          </rPr>
          <t>权重验证</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<sst xmlns="http://schemas.openxmlformats.org/spreadsheetml/2006/main" count="8997" uniqueCount="3672">
  <si>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</si>
  <si>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</si>
  <si>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</si>
  <si>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</si>
  <si>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</si>
  <si>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</si>
  <si>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</si>
  <si>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</si>
  <si>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</si>
  <si>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</si>
  <si>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</si>
  <si>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</si>
  <si>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</si>
  <si>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</si>
  <si>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</si>
  <si>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</si>
  <si>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</si>
  <si>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</si>
  <si>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</si>
  <si>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</si>
  <si>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</si>
  <si>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</si>
  <si>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</si>
  <si>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</si>
  <si>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</si>
  <si>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</si>
  <si>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</si>
  <si>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</si>
  <si>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</si>
  <si>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</si>
  <si>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</si>
  <si>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</si>
  <si>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</si>
  <si>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</si>
  <si>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</si>
  <si>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</si>
  <si>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</si>
  <si>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</si>
  <si>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</si>
  <si>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</si>
  <si>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</si>
  <si>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</si>
  <si>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</si>
  <si>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</si>
  <si>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</si>
  <si>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</si>
  <si>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</si>
  <si>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</si>
  <si>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</si>
  <si>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</si>
  <si>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</si>
  <si>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</si>
  <si>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</si>
  <si>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</si>
  <si>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</si>
  <si>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</si>
  <si>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</si>
  <si>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</si>
  <si>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</si>
  <si>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</si>
  <si>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</si>
  <si>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</si>
  <si>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</si>
  <si>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</si>
  <si>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</si>
  <si>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</si>
  <si>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</si>
  <si>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</si>
  <si>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</si>
  <si>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</si>
  <si>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</si>
  <si>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</si>
  <si>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</si>
  <si>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</si>
  <si>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</si>
  <si>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</si>
  <si>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</si>
  <si>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</si>
  <si>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</si>
  <si>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</si>
  <si>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</si>
  <si>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</si>
  <si>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</si>
  <si>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</si>
  <si>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</si>
  <si>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</si>
  <si>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</si>
  <si>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</si>
  <si>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</si>
  <si>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</si>
  <si>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</si>
  <si>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</si>
  <si>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</si>
  <si>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</si>
  <si>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</si>
  <si>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</si>
  <si>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</si>
  <si>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</si>
  <si>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</si>
  <si>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</si>
  <si>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</si>
  <si>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</si>
  <si>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</si>
  <si>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</si>
  <si>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</si>
  <si>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</si>
  <si>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</si>
  <si>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</si>
  <si>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</si>
  <si>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</si>
  <si>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</si>
  <si>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</si>
  <si>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</si>
  <si>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</si>
  <si>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</si>
  <si>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</si>
  <si>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</si>
  <si>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</si>
  <si>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</si>
  <si>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</si>
  <si>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</si>
  <si>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</si>
  <si>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</si>
  <si>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</si>
  <si>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</si>
  <si>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</si>
  <si>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</si>
  <si>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</si>
  <si>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</si>
  <si>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</si>
  <si>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</si>
  <si>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</si>
  <si>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</si>
  <si>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</si>
  <si>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</si>
  <si>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</si>
  <si>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</si>
  <si>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</si>
  <si>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</si>
  <si>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</si>
  <si>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</si>
  <si>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</si>
  <si>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</si>
  <si>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</si>
  <si>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</si>
  <si>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</si>
  <si>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</si>
  <si>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</si>
  <si>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</si>
  <si>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</si>
  <si>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</si>
  <si>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</si>
  <si>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</si>
  <si>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</si>
  <si>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</si>
  <si>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</si>
  <si>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</si>
  <si>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</si>
  <si>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</si>
  <si>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</si>
  <si>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</si>
  <si>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</si>
  <si>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</si>
  <si>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</si>
  <si>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</si>
  <si>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</si>
  <si>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</si>
  <si>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</si>
  <si>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</si>
  <si>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</si>
  <si>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</si>
  <si>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</si>
  <si>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</si>
  <si>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</si>
  <si>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</si>
  <si>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</si>
  <si>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</si>
  <si>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</si>
  <si>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</si>
  <si>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</si>
  <si>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</si>
  <si>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</si>
  <si>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</si>
  <si>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</si>
  <si>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</si>
  <si>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</si>
  <si>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</si>
  <si>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</si>
  <si>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</si>
  <si>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</si>
  <si>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</si>
  <si>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</si>
  <si>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</si>
  <si>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</si>
  <si>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</si>
  <si>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</si>
  <si>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</si>
  <si>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</si>
  <si>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</si>
  <si>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</si>
  <si>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</si>
  <si>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</si>
  <si>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</si>
  <si>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</si>
  <si>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</si>
  <si>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</si>
  <si>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</si>
  <si>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</si>
  <si>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</si>
  <si>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</si>
  <si>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</si>
  <si>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</si>
  <si>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</si>
  <si>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</si>
  <si>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</si>
  <si>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</si>
  <si>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</si>
  <si>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</si>
  <si>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</si>
  <si>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</si>
  <si>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</si>
  <si>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</si>
  <si>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</si>
  <si>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</si>
  <si>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</si>
  <si>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</si>
  <si>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</si>
  <si>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</si>
  <si>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</si>
  <si>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</si>
  <si>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</si>
  <si>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</si>
  <si>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</si>
  <si>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</si>
  <si>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</si>
  <si>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</si>
  <si>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</si>
  <si>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</si>
  <si>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</si>
  <si>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</si>
  <si>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</si>
  <si>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</si>
  <si>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</si>
  <si>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</si>
  <si>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</si>
  <si>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</si>
  <si>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</si>
  <si>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</si>
  <si>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</si>
  <si>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</si>
  <si>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</si>
  <si>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</si>
  <si>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</si>
  <si>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</si>
  <si>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</si>
  <si>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</si>
  <si>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</si>
  <si>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</si>
  <si>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</si>
  <si>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</si>
  <si>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</si>
  <si>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</si>
  <si>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</si>
  <si>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</si>
  <si>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</si>
  <si>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</si>
  <si>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</si>
  <si>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</si>
  <si>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</si>
  <si>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</si>
  <si>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</si>
  <si>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</si>
  <si>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</si>
  <si>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</si>
  <si>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</si>
  <si>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</si>
  <si>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</si>
  <si>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</si>
  <si>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</si>
  <si>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</si>
  <si>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</si>
  <si>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</si>
  <si>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</si>
  <si>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</si>
  <si>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</si>
  <si>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</si>
  <si>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</si>
  <si>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</si>
  <si>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</si>
  <si>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</si>
  <si>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</si>
  <si>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</si>
  <si>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</si>
  <si>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</si>
  <si>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</si>
  <si>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</si>
  <si>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</si>
  <si>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</si>
  <si>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</si>
  <si>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</si>
  <si>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</si>
  <si>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</si>
  <si>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</si>
  <si>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</si>
  <si>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</si>
  <si>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</si>
  <si>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</si>
  <si>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</si>
  <si>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</si>
  <si>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</si>
  <si>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</si>
  <si>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</si>
  <si>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</si>
  <si>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</si>
  <si>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</si>
  <si>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</si>
  <si>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</si>
  <si>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</si>
  <si>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</si>
  <si>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</si>
  <si>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</si>
  <si>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</si>
  <si>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</si>
  <si>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</si>
  <si>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</si>
  <si>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</si>
  <si>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</si>
  <si>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</si>
  <si>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</si>
  <si>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</si>
  <si>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</si>
  <si>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</si>
  <si>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</si>
  <si>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</si>
  <si>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</si>
  <si>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</si>
  <si>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</si>
  <si>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</si>
  <si>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</si>
  <si>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</si>
  <si>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</si>
  <si>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</si>
  <si>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</si>
  <si>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</si>
  <si>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</si>
  <si>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</si>
  <si>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</si>
  <si>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</si>
  <si>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</si>
  <si>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</si>
  <si>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</si>
  <si>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</si>
  <si>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</si>
  <si>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</si>
  <si>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</si>
  <si>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</si>
  <si>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</si>
  <si>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</si>
  <si>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</si>
  <si>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</si>
  <si>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</si>
  <si>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</si>
  <si>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</si>
  <si>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</si>
  <si>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</si>
  <si>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</si>
  <si>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</si>
  <si>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</si>
  <si>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</si>
  <si>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</si>
  <si>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</si>
  <si>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</si>
  <si>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</si>
  <si>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</si>
  <si>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</si>
  <si>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</si>
  <si>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</si>
  <si>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</si>
  <si>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</si>
  <si>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</si>
  <si>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</si>
  <si>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</si>
  <si>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</si>
  <si>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</si>
  <si>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</si>
  <si>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</si>
  <si>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</si>
  <si>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</si>
  <si>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</si>
  <si>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</si>
  <si>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</si>
  <si>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</si>
  <si>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</si>
  <si>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</si>
  <si>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</si>
  <si>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</si>
  <si>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</si>
  <si>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</si>
  <si>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</si>
  <si>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</si>
  <si>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</si>
  <si>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</si>
  <si>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</si>
  <si>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</si>
  <si>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</si>
  <si>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</si>
  <si>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</si>
  <si>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</si>
  <si>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</si>
  <si>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</si>
  <si>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</si>
  <si>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</si>
  <si>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</si>
  <si>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</si>
  <si>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</si>
  <si>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</si>
  <si>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</si>
  <si>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</si>
  <si>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</si>
  <si>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</si>
  <si>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</si>
  <si>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</si>
  <si>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</si>
  <si>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</si>
  <si>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</si>
  <si>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</si>
  <si>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</si>
  <si>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</si>
  <si>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</si>
  <si>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</si>
  <si>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</si>
  <si>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</si>
  <si>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</si>
  <si>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</si>
  <si>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</si>
  <si>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</si>
  <si>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</si>
  <si>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</si>
  <si>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</si>
  <si>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</si>
  <si>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</si>
  <si>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</si>
  <si>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</si>
  <si>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</si>
  <si>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</si>
  <si>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</si>
  <si>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</si>
  <si>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</si>
  <si>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</si>
  <si>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</si>
  <si>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</si>
  <si>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</si>
  <si>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</si>
  <si>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</si>
  <si>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</si>
  <si>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</si>
  <si>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</si>
  <si>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</si>
  <si>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</si>
  <si>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</si>
  <si>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</si>
  <si>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</si>
  <si>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</si>
  <si>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</si>
  <si>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</si>
  <si>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</si>
  <si>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</si>
  <si>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</si>
  <si>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</si>
  <si>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</si>
  <si>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</si>
  <si>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</si>
  <si>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</si>
  <si>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</si>
  <si>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</si>
  <si>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</si>
  <si>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</si>
  <si>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</si>
  <si>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</si>
  <si>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</si>
  <si>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</si>
  <si>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</si>
  <si>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</si>
  <si>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</si>
  <si>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</si>
  <si>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</si>
  <si>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</si>
  <si>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</si>
  <si>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</si>
  <si>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</si>
  <si>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</si>
  <si>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</si>
  <si>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</si>
  <si>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</si>
  <si>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</si>
  <si>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</si>
  <si>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</si>
  <si>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</si>
  <si>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</si>
  <si>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</si>
  <si>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</si>
  <si>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</si>
  <si>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</si>
  <si>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</si>
  <si>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</si>
  <si>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</si>
  <si>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</si>
  <si>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</si>
  <si>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</si>
  <si>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</si>
  <si>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</si>
  <si>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</si>
  <si>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</si>
  <si>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</si>
  <si>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</si>
  <si>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</si>
  <si>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</si>
  <si>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</si>
  <si>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</si>
  <si>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</si>
  <si>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</si>
  <si>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</si>
  <si>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</si>
  <si>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</si>
  <si>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</si>
  <si>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</si>
  <si>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</si>
  <si>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</si>
  <si>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</si>
  <si>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</si>
  <si>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</si>
  <si>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</si>
  <si>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</si>
  <si>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</si>
  <si>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</si>
  <si>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</si>
  <si>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</si>
  <si>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</si>
  <si>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</si>
  <si>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</si>
  <si>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</si>
  <si>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</si>
  <si>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</si>
  <si>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</si>
  <si>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</si>
  <si>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</si>
  <si>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</si>
  <si>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</si>
  <si>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</si>
  <si>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</si>
  <si>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</si>
  <si>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</si>
  <si>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</si>
  <si>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</si>
  <si>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</si>
  <si>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</si>
  <si>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</si>
  <si>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</si>
  <si>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</si>
  <si>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</si>
  <si>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</si>
  <si>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</si>
  <si>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</si>
  <si>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</si>
  <si>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</si>
  <si>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</si>
  <si>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</si>
  <si>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</si>
  <si>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</si>
  <si>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</si>
  <si>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</si>
  <si>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</si>
  <si>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</si>
  <si>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</si>
  <si>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</si>
  <si>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</si>
  <si>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</si>
  <si>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</si>
  <si>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</si>
  <si>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</si>
  <si>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</si>
  <si>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</si>
  <si>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</si>
  <si>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</si>
  <si>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</si>
  <si>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</si>
  <si>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</si>
  <si>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</si>
  <si>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</si>
  <si>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</si>
  <si>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</si>
  <si>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</si>
  <si>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</si>
  <si>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</si>
  <si>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</si>
  <si>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</si>
  <si>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</si>
  <si>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</si>
  <si>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</si>
  <si>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</si>
  <si>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</si>
  <si>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</si>
  <si>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</si>
  <si>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</si>
  <si>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</si>
  <si>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</si>
  <si>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</si>
  <si>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</si>
  <si>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</si>
  <si>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</si>
  <si>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</si>
  <si>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</si>
  <si>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</si>
  <si>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</si>
  <si>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</si>
  <si>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</si>
  <si>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</si>
  <si>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</si>
  <si>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</si>
  <si>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</si>
  <si>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</si>
  <si>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</si>
  <si>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</si>
  <si>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</si>
  <si>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</si>
  <si>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</si>
  <si>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</si>
  <si>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</si>
  <si>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</si>
  <si>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</si>
  <si>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</si>
  <si>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</si>
  <si>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</si>
  <si>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</si>
  <si>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</si>
  <si>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</si>
  <si>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</si>
  <si>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</si>
  <si>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</si>
  <si>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</si>
  <si>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</si>
  <si>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</si>
  <si>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</si>
  <si>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</si>
  <si>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</si>
  <si>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</si>
  <si>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</si>
  <si>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</si>
  <si>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</si>
  <si>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</si>
  <si>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</si>
  <si>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</si>
  <si>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</si>
  <si>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</si>
  <si>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</si>
  <si>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</si>
  <si>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</si>
  <si>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</si>
  <si>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</si>
  <si>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</si>
  <si>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</si>
  <si>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</si>
  <si>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</si>
  <si>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</si>
  <si>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</si>
  <si>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</si>
  <si>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</si>
  <si>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</si>
  <si>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</si>
  <si>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</si>
  <si>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</si>
  <si>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</si>
  <si>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</si>
  <si>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</si>
  <si>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</si>
  <si>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</si>
  <si>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</si>
  <si>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</si>
  <si>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</si>
  <si>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</si>
  <si>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</si>
  <si>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</si>
  <si>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</si>
  <si>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</si>
  <si>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</si>
  <si>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</si>
  <si>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</si>
  <si>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</si>
  <si>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</si>
  <si>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</si>
  <si>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</si>
  <si>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</si>
  <si>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</si>
  <si>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</si>
  <si>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</si>
  <si>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</si>
  <si>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</si>
  <si>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</si>
  <si>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</si>
  <si>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</si>
  <si>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</si>
  <si>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</si>
  <si>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</si>
  <si>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</si>
  <si>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</si>
  <si>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</si>
  <si>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</si>
  <si>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</si>
  <si>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</si>
  <si>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</si>
  <si>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</si>
  <si>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</si>
  <si>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</si>
  <si>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</si>
  <si>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</si>
  <si>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</si>
  <si>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</si>
  <si>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</si>
  <si>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</si>
  <si>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</si>
  <si>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</si>
  <si>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</si>
  <si>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</si>
  <si>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</si>
  <si>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</si>
  <si>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</si>
  <si>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</si>
  <si>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</si>
  <si>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</si>
  <si>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</si>
  <si>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</si>
  <si>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</si>
  <si>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</si>
  <si>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</si>
  <si>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</si>
  <si>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</si>
  <si>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</si>
  <si>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</si>
  <si>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</si>
  <si>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</si>
  <si>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</si>
  <si>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</si>
  <si>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</si>
  <si>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</si>
  <si>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</si>
  <si>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</si>
  <si>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</si>
  <si>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</si>
  <si>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</si>
  <si>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</si>
  <si>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</si>
  <si>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</si>
  <si>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</si>
  <si>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</si>
  <si>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</si>
  <si>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</si>
  <si>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</si>
  <si>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</si>
  <si>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</si>
  <si>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</si>
  <si>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</si>
  <si>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</si>
  <si>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</si>
  <si>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</si>
  <si>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</si>
  <si>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</si>
  <si>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</si>
  <si>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</si>
  <si>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</si>
  <si>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</si>
  <si>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</si>
  <si>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</si>
  <si>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</si>
  <si>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</si>
  <si>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</si>
  <si>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</si>
  <si>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</si>
  <si>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</si>
  <si>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</si>
  <si>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</si>
  <si>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</si>
  <si>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</si>
  <si>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</si>
  <si>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</si>
  <si>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</si>
  <si>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</si>
  <si>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</si>
  <si>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</si>
  <si>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</si>
  <si>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</si>
  <si>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</si>
  <si>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</si>
  <si>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</si>
  <si>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</si>
  <si>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</si>
  <si>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</si>
  <si>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</si>
  <si>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</si>
  <si>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</si>
  <si>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</si>
  <si>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</si>
  <si>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</si>
  <si>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</si>
  <si>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</si>
  <si>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</si>
  <si>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</si>
  <si>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</si>
  <si>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</si>
  <si>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</si>
  <si>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</si>
  <si>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</si>
  <si>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</si>
  <si>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</si>
  <si>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</si>
  <si>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</si>
  <si>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</si>
  <si>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</si>
  <si>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</si>
  <si>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</si>
  <si>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</si>
  <si>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</si>
  <si>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</si>
  <si>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</si>
  <si>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</si>
  <si>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</si>
  <si>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</si>
  <si>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</si>
  <si>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</si>
  <si>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</si>
  <si>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</si>
  <si>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</si>
  <si>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</si>
  <si>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</si>
  <si>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</si>
  <si>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</si>
  <si>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</si>
  <si>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</si>
  <si>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</si>
  <si>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</si>
  <si>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</si>
  <si>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</si>
  <si>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</si>
  <si>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</si>
  <si>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</si>
  <si>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</si>
  <si>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</si>
  <si>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</si>
  <si>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</si>
  <si>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</si>
  <si>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</si>
  <si>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</si>
  <si>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</si>
  <si>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</si>
  <si>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</si>
  <si>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</si>
  <si>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</si>
  <si>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</si>
  <si>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</si>
  <si>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</si>
  <si>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</si>
  <si>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</si>
  <si>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</si>
  <si>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</si>
  <si>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</si>
  <si>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</si>
  <si>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</si>
  <si>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</si>
  <si>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</si>
  <si>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</si>
  <si>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</si>
  <si>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</si>
  <si>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</si>
  <si>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</si>
  <si>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</si>
  <si>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</si>
  <si>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</si>
  <si>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</si>
  <si>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</si>
  <si>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</si>
  <si>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</si>
  <si>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</si>
  <si>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</si>
  <si>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</si>
  <si>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</si>
  <si>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</si>
  <si>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</si>
  <si>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</si>
  <si>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</si>
  <si>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</si>
  <si>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</si>
  <si>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</si>
  <si>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</si>
  <si>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</si>
  <si>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</si>
  <si>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</si>
  <si>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</si>
  <si>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</si>
  <si>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</si>
  <si>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</si>
  <si>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</si>
  <si>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</si>
  <si>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</si>
  <si>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</si>
  <si>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</si>
  <si>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</si>
  <si>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</si>
  <si>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</si>
  <si>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</si>
  <si>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</si>
  <si>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</si>
  <si>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</si>
  <si>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</si>
  <si>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</si>
  <si>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</si>
  <si>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</si>
  <si>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</si>
  <si>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</si>
  <si>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</si>
  <si>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</si>
  <si>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</si>
  <si>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</si>
  <si>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</si>
  <si>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</si>
  <si>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</si>
  <si>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</si>
  <si>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</si>
  <si>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</si>
  <si>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</si>
  <si>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</si>
  <si>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</si>
  <si>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</si>
  <si>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</si>
  <si>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</si>
  <si>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</si>
  <si>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</si>
  <si>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</si>
  <si>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</si>
  <si>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</si>
  <si>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</si>
  <si>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</si>
  <si>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</si>
  <si>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</si>
  <si>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</si>
  <si>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</si>
  <si>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</si>
  <si>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</si>
  <si>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</si>
  <si>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</si>
  <si>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</si>
  <si>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</si>
  <si>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</si>
  <si>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</si>
  <si>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</si>
  <si>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</si>
  <si>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</si>
  <si>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</si>
  <si>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</si>
  <si>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</si>
  <si>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</si>
  <si>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</si>
  <si>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</si>
  <si>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</si>
  <si>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</si>
  <si>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</si>
  <si>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</si>
  <si>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</si>
  <si>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</si>
  <si>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</si>
  <si>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</si>
  <si>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</si>
  <si>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</si>
  <si>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</si>
  <si>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</si>
  <si>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</si>
  <si>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</si>
  <si>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</si>
  <si>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</si>
  <si>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</si>
  <si>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</si>
  <si>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</si>
  <si>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</si>
  <si>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</si>
  <si>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</si>
  <si>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</si>
  <si>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</si>
  <si>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</si>
  <si>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</si>
  <si>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</si>
  <si>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</si>
  <si>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</si>
  <si>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</si>
  <si>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</si>
  <si>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</si>
  <si>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</si>
  <si>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</si>
  <si>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</si>
  <si>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</si>
  <si>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</si>
  <si>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</si>
  <si>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</si>
  <si>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</si>
  <si>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</si>
  <si>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</si>
  <si>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</si>
  <si>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</si>
  <si>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</si>
  <si>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</si>
  <si>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</si>
  <si>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</si>
  <si>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</si>
  <si>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</si>
  <si>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</si>
  <si>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</si>
  <si>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</si>
  <si>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</si>
  <si>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</si>
  <si>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</si>
  <si>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</si>
  <si>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</si>
  <si>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</si>
  <si>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</si>
  <si>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</si>
  <si>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</si>
  <si>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</si>
  <si>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</si>
  <si>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</si>
  <si>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</si>
  <si>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</si>
  <si>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</si>
  <si>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</si>
  <si>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</si>
  <si>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</si>
  <si>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</si>
  <si>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</si>
  <si>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</si>
  <si>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</si>
  <si>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</si>
  <si>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</si>
  <si>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</si>
  <si>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</si>
  <si>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</si>
  <si>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</si>
  <si>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</si>
  <si>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</si>
  <si>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</si>
  <si>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</si>
  <si>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</si>
  <si>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</si>
  <si>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</si>
  <si>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</si>
  <si>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</si>
  <si>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</si>
  <si>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</si>
  <si>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</si>
  <si>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</si>
  <si>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</si>
  <si>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</si>
  <si>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</si>
  <si>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</si>
  <si>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</si>
  <si>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</si>
  <si>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</si>
  <si>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</si>
  <si>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</si>
  <si>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</si>
  <si>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</si>
  <si>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</si>
  <si>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</si>
  <si>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</si>
  <si>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</si>
  <si>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</si>
  <si>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</si>
  <si>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</si>
  <si>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</si>
  <si>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</si>
  <si>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</si>
  <si>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</si>
  <si>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</si>
  <si>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</si>
  <si>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</si>
  <si>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</si>
  <si>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</si>
  <si>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</si>
  <si>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</si>
  <si>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</si>
  <si>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</si>
  <si>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</si>
  <si>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</si>
  <si>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</si>
  <si>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</si>
  <si>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</si>
  <si>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</si>
  <si>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</si>
  <si>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</si>
  <si>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</si>
  <si>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</si>
  <si>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</si>
  <si>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</si>
  <si>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</si>
  <si>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</si>
  <si>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</si>
  <si>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</si>
  <si>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</si>
  <si>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</si>
  <si>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</si>
  <si>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</si>
  <si>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</si>
  <si>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</si>
  <si>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</si>
  <si>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</si>
  <si>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</si>
  <si>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</si>
  <si>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</si>
  <si>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</si>
  <si>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</si>
  <si>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</si>
  <si>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</si>
  <si>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</si>
  <si>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</si>
  <si>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</si>
  <si>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</si>
  <si>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</si>
  <si>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</si>
  <si>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</si>
  <si>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</si>
  <si>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</si>
  <si>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</si>
  <si>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</si>
  <si>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</si>
  <si>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</si>
  <si>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</si>
  <si>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</si>
  <si>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</si>
  <si>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</si>
  <si>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</si>
  <si>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</si>
  <si>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</si>
  <si>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</si>
  <si>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</si>
  <si>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</si>
  <si>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</si>
  <si>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</si>
  <si>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</si>
  <si>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</si>
  <si>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</si>
  <si>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</si>
  <si>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</si>
  <si>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</si>
  <si>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</si>
  <si>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</si>
  <si>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</si>
  <si>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</si>
  <si>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</si>
  <si>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</si>
  <si>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</si>
  <si>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</si>
  <si>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</si>
  <si>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</si>
  <si>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</si>
  <si>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</si>
  <si>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</si>
  <si>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</si>
  <si>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</si>
  <si>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</si>
  <si>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</si>
  <si>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</si>
  <si>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</si>
  <si>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</si>
  <si>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</si>
  <si>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</si>
  <si>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</si>
  <si>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</si>
  <si>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</si>
  <si>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</si>
  <si>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</si>
  <si>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</si>
  <si>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</si>
  <si>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</si>
  <si>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</si>
  <si>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</si>
  <si>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</si>
  <si>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</si>
  <si>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</si>
  <si>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</si>
  <si>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</si>
  <si>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</si>
  <si>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</si>
  <si>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</si>
  <si>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</si>
  <si>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</si>
  <si>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</si>
  <si>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</si>
  <si>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</si>
  <si>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</si>
  <si>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</si>
  <si>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</si>
  <si>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</si>
  <si>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</si>
  <si>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</si>
  <si>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</si>
  <si>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</si>
  <si>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</si>
  <si>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</si>
  <si>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</si>
  <si>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</si>
  <si>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</si>
  <si>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</si>
  <si>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</si>
  <si>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</si>
  <si>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</si>
  <si>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</si>
  <si>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</si>
  <si>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</si>
  <si>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</si>
  <si>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</si>
  <si>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</si>
  <si>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</si>
  <si>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</si>
  <si>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</si>
  <si>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</si>
  <si>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</si>
  <si>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</si>
  <si>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</si>
  <si>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</si>
  <si>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</si>
  <si>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</si>
  <si>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</si>
  <si>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</si>
  <si>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</si>
  <si>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</si>
  <si>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</si>
  <si>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</si>
  <si>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</si>
  <si>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</si>
  <si>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</si>
  <si>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</si>
  <si>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</si>
  <si>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</si>
  <si>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</si>
  <si>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</si>
  <si>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</si>
  <si>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</si>
  <si>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</si>
  <si>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</si>
  <si>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</si>
  <si>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</si>
  <si>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</si>
  <si>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</si>
  <si>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</si>
  <si>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</si>
  <si>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</si>
  <si>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</si>
  <si>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</si>
  <si>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</si>
  <si>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</si>
  <si>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</si>
  <si>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</si>
  <si>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</si>
  <si>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</si>
  <si>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</si>
  <si>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</si>
  <si>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</si>
  <si>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</si>
  <si>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</si>
  <si>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</si>
  <si>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</si>
  <si>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</si>
  <si>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</si>
  <si>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</si>
  <si>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</si>
  <si>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</si>
  <si>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</si>
  <si>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</si>
  <si>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</si>
  <si>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</si>
  <si>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</si>
  <si>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</si>
  <si>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</si>
  <si>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</si>
  <si>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</si>
  <si>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</si>
  <si>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</si>
  <si>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</si>
  <si>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</si>
  <si>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</si>
  <si>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</si>
  <si>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</si>
  <si>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</si>
  <si>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</si>
  <si>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</si>
  <si>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</si>
  <si>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</si>
  <si>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</si>
  <si>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</si>
  <si>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</si>
  <si>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</si>
  <si>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</si>
  <si>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</si>
  <si>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</si>
  <si>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</si>
  <si>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</si>
  <si>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</si>
  <si>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</si>
  <si>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</si>
  <si>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</si>
  <si>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</si>
  <si>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</si>
  <si>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</si>
  <si>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</si>
  <si>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</si>
  <si>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</si>
  <si>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</si>
  <si>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</si>
  <si>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</si>
  <si>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</si>
  <si>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</si>
  <si>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</si>
  <si>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</si>
  <si>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</si>
  <si>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</si>
  <si>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</si>
  <si>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</si>
  <si>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</si>
  <si>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</si>
  <si>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</si>
  <si>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</si>
  <si>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</si>
  <si>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</si>
  <si>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</si>
  <si>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</si>
  <si>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</si>
  <si>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</si>
  <si>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</si>
  <si>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</si>
  <si>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</si>
  <si>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</si>
  <si>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</si>
  <si>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</si>
  <si>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</si>
  <si>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</si>
  <si>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</si>
  <si>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</si>
  <si>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</si>
  <si>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</si>
  <si>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</si>
  <si>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</si>
  <si>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</si>
  <si>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</si>
  <si>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</si>
  <si>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</si>
  <si>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</si>
  <si>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</si>
  <si>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</si>
  <si>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</si>
  <si>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</si>
  <si>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</si>
  <si>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</si>
  <si>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</si>
  <si>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</si>
  <si>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</si>
  <si>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</si>
  <si>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</si>
  <si>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</si>
  <si>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</si>
  <si>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</si>
  <si>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</si>
  <si>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</si>
  <si>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</si>
  <si>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</si>
  <si>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</si>
  <si>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</si>
  <si>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</si>
  <si>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</si>
  <si>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</si>
  <si>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</si>
  <si>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</si>
  <si>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</si>
  <si>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</si>
  <si>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</si>
  <si>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</si>
  <si>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</si>
  <si>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</si>
  <si>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</si>
  <si>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</si>
  <si>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</si>
  <si>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</si>
  <si>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</si>
  <si>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</si>
  <si>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</si>
  <si>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</si>
  <si>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</si>
  <si>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</si>
  <si>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</si>
  <si>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</si>
  <si>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</si>
  <si>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</si>
  <si>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</si>
  <si>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</si>
  <si>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</si>
  <si>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</si>
  <si>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</si>
  <si>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</si>
  <si>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</si>
  <si>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</si>
  <si>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</si>
  <si>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</si>
  <si>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</si>
  <si>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</si>
  <si>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</si>
  <si>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</si>
  <si>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</si>
  <si>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</si>
  <si>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</si>
  <si>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</si>
  <si>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</si>
  <si>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</si>
  <si>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</si>
  <si>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</si>
  <si>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</si>
  <si>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</si>
  <si>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</si>
  <si>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</si>
  <si>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</si>
  <si>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</si>
  <si>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</si>
  <si>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</si>
  <si>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</si>
  <si>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</si>
  <si>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</si>
  <si>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</si>
  <si>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</si>
  <si>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</si>
  <si>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</si>
  <si>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</si>
  <si>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</si>
  <si>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</si>
  <si>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</si>
  <si>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</si>
  <si>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</si>
  <si>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</si>
  <si>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</si>
  <si>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</si>
  <si>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</si>
  <si>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</si>
  <si>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</si>
  <si>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</si>
  <si>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</si>
  <si>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</si>
  <si>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</si>
  <si>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</si>
  <si>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</si>
  <si>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</si>
  <si>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</si>
  <si>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</si>
  <si>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</si>
  <si>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</si>
  <si>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</si>
  <si>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</si>
  <si>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</si>
  <si>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</si>
  <si>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</si>
  <si>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</si>
  <si>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</si>
  <si>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</si>
  <si>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</si>
  <si>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</si>
  <si>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</si>
  <si>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</si>
  <si>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</si>
  <si>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</si>
  <si>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</si>
  <si>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</si>
  <si>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</si>
  <si>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</si>
  <si>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</si>
  <si>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</si>
  <si>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</si>
  <si>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</si>
  <si>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</si>
  <si>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</si>
  <si>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</si>
  <si>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</si>
  <si>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</si>
  <si>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</si>
  <si>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</si>
  <si>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</si>
  <si>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</si>
  <si>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</si>
  <si>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</si>
  <si>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</si>
  <si>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</si>
  <si>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</si>
  <si>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</si>
  <si>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</si>
  <si>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</si>
  <si>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</si>
  <si>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</si>
  <si>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</si>
  <si>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</si>
  <si>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</si>
  <si>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</si>
  <si>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</si>
  <si>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</si>
  <si>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</si>
  <si>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</si>
  <si>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</si>
  <si>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</si>
  <si>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</si>
  <si>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</si>
  <si>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</si>
  <si>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</si>
  <si>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</si>
  <si>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</si>
  <si>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</si>
  <si>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</si>
  <si>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</si>
  <si>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</si>
  <si>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</si>
  <si>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</si>
  <si>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</si>
  <si>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</si>
  <si>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</si>
  <si>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</si>
  <si>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</si>
  <si>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</si>
  <si>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</si>
  <si>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</si>
  <si>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</si>
  <si>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</si>
  <si>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</si>
  <si>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</si>
  <si>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</si>
  <si>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</si>
  <si>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</si>
  <si>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</si>
  <si>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</si>
  <si>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</si>
  <si>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</si>
  <si>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</si>
  <si>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</si>
  <si>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</si>
  <si>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</si>
  <si>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</si>
  <si>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</si>
  <si>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</si>
  <si>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</si>
  <si>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</si>
  <si>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</si>
  <si>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</si>
  <si>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</si>
  <si>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</si>
  <si>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</si>
  <si>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</si>
  <si>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</si>
  <si>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</si>
  <si>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</si>
  <si>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</si>
  <si>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</si>
  <si>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</si>
  <si>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</si>
  <si>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</si>
  <si>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</si>
  <si>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</si>
  <si>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</si>
  <si>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</si>
  <si>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</si>
  <si>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</si>
  <si>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</si>
  <si>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</si>
  <si>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</si>
  <si>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</si>
  <si>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</si>
  <si>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</si>
  <si>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</si>
  <si>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</si>
  <si>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</si>
  <si>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</si>
  <si>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</si>
  <si>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</si>
  <si>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</si>
  <si>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</si>
  <si>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</si>
  <si>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</si>
  <si>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</si>
  <si>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</si>
  <si>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</si>
  <si>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</si>
  <si>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</si>
  <si>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</si>
  <si>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</si>
  <si>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</si>
  <si>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</si>
  <si>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</si>
  <si>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</si>
  <si>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</si>
  <si>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</si>
  <si>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</si>
  <si>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</si>
  <si>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</si>
  <si>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</si>
  <si>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</si>
  <si>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</si>
  <si>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</si>
  <si>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</si>
  <si>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</si>
  <si>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</si>
  <si>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</si>
  <si>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</si>
  <si>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</si>
  <si>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</si>
  <si>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</si>
  <si>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</si>
  <si>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</si>
  <si>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</si>
  <si>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</si>
  <si>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</si>
  <si>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</si>
  <si>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</si>
  <si>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</si>
  <si>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</si>
  <si>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</si>
  <si>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</si>
  <si>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</si>
  <si>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</si>
  <si>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</si>
  <si>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</si>
  <si>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</si>
  <si>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</si>
  <si>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</si>
  <si>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</si>
  <si>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</si>
  <si>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</si>
  <si>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</si>
  <si>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</si>
  <si>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</si>
  <si>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</si>
  <si>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</si>
  <si>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</si>
  <si>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</si>
  <si>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</si>
  <si>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</si>
  <si>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</si>
  <si>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</si>
  <si>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</si>
  <si>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</si>
  <si>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</si>
  <si>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</si>
  <si>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</si>
  <si>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</si>
  <si>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</si>
  <si>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</si>
  <si>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</si>
  <si>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</si>
  <si>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</si>
  <si>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</si>
  <si>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</si>
  <si>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</si>
  <si>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</si>
  <si>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</si>
  <si>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</si>
  <si>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</si>
  <si>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</si>
  <si>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</si>
  <si>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</si>
  <si>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</si>
  <si>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</si>
  <si>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</si>
  <si>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</si>
  <si>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</si>
  <si>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</si>
  <si>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</si>
  <si>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</si>
  <si>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</si>
  <si>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</si>
  <si>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</si>
  <si>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</si>
  <si>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</si>
  <si>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</si>
  <si>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</si>
  <si>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</si>
  <si>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</si>
  <si>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</si>
  <si>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</si>
  <si>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</si>
  <si>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</si>
  <si>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</si>
  <si>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</si>
  <si>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</si>
  <si>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</si>
  <si>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</si>
  <si>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</si>
  <si>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</si>
  <si>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</si>
  <si>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</si>
  <si>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</si>
  <si>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</si>
  <si>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</si>
  <si>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</si>
  <si>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</si>
  <si>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</si>
  <si>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</si>
  <si>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</si>
  <si>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</si>
  <si>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</si>
  <si>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</si>
  <si>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</si>
  <si>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</si>
  <si>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</si>
  <si>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</si>
  <si>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</si>
  <si>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</si>
  <si>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</si>
  <si>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</si>
  <si>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</si>
  <si>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</si>
  <si>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</si>
  <si>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</si>
  <si>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</si>
  <si>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</si>
  <si>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</si>
  <si>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</si>
  <si>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</si>
  <si>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</si>
  <si>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</si>
  <si>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</si>
  <si>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</si>
  <si>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</si>
  <si>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</si>
  <si>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</si>
  <si>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</si>
  <si>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</si>
  <si>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</si>
  <si>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</si>
  <si>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</si>
  <si>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</si>
  <si>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</si>
  <si>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</si>
  <si>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</si>
  <si>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</si>
  <si>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</si>
  <si>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</si>
  <si>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</si>
  <si>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</si>
  <si>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</si>
  <si>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</si>
  <si>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</si>
  <si>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</si>
  <si>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</si>
  <si>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</si>
  <si>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</si>
  <si>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</si>
  <si>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</si>
  <si>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</si>
  <si>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</si>
  <si>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</si>
  <si>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</si>
  <si>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</si>
  <si>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</si>
  <si>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</si>
  <si>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</si>
  <si>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</si>
  <si>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</si>
  <si>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</si>
  <si>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</si>
  <si>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</si>
  <si>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</si>
  <si>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</si>
  <si>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</si>
  <si>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</si>
  <si>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</si>
  <si>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</si>
  <si>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</si>
  <si>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</si>
  <si>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</si>
  <si>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</si>
  <si>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</si>
  <si>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</si>
  <si>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</si>
  <si>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</si>
  <si>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</si>
  <si>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</si>
  <si>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</si>
  <si>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</si>
  <si>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</si>
  <si>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</si>
  <si>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</si>
  <si>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</si>
  <si>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</si>
  <si>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</si>
  <si>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</si>
  <si>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</si>
  <si>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</si>
  <si>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</si>
  <si>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</si>
  <si>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</si>
  <si>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</si>
  <si>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</si>
  <si>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</si>
  <si>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</si>
  <si>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</si>
  <si>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</si>
  <si>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</si>
  <si>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</si>
  <si>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</si>
  <si>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</si>
  <si>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</si>
  <si>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</si>
  <si>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</si>
  <si>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</si>
  <si>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</si>
  <si>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</si>
  <si>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</si>
  <si>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</si>
  <si>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</si>
  <si>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</si>
  <si>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</si>
  <si>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</si>
  <si>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</si>
  <si>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</si>
  <si>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</si>
  <si>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</si>
  <si>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</si>
  <si>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</si>
  <si>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</si>
  <si>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</si>
  <si>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</si>
  <si>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</si>
  <si>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</si>
  <si>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</si>
  <si>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</si>
  <si>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</si>
  <si>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</si>
  <si>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</si>
  <si>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</si>
  <si>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</si>
  <si>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</si>
  <si>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</si>
  <si>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</si>
  <si>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</si>
  <si>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</si>
  <si>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</si>
  <si>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</si>
  <si>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</si>
  <si>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</si>
  <si>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</si>
  <si>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</si>
  <si>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</si>
  <si>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</si>
  <si>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</si>
  <si>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</si>
  <si>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</si>
  <si>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</si>
  <si>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</si>
  <si>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</si>
  <si>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</si>
  <si>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</si>
  <si>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</si>
  <si>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</si>
  <si>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</si>
  <si>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</si>
  <si>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</si>
  <si>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</si>
  <si>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</si>
  <si>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</si>
  <si>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</si>
  <si>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</si>
  <si>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</si>
  <si>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</si>
  <si>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</si>
  <si>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</si>
  <si>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</si>
  <si>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</si>
  <si>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</si>
  <si>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</si>
  <si>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</si>
  <si>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</si>
  <si>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</si>
  <si>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</si>
  <si>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</si>
  <si>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</si>
  <si>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</si>
  <si>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</si>
  <si>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</si>
  <si>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</si>
  <si>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</si>
  <si>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</si>
  <si>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</si>
  <si>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</si>
  <si>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</si>
  <si>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</si>
  <si>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</si>
  <si>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</si>
  <si>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</si>
  <si>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</si>
  <si>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</si>
  <si>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</si>
  <si>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</si>
  <si>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</si>
  <si>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</si>
  <si>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</si>
  <si>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</si>
  <si>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</si>
  <si>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</si>
  <si>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</si>
  <si>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</si>
  <si>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</si>
  <si>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</si>
  <si>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</si>
  <si>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</si>
  <si>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</si>
  <si>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</si>
  <si>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</si>
  <si>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</si>
  <si>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</si>
  <si>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</si>
  <si>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</si>
  <si>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</si>
  <si>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</si>
  <si>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</si>
  <si>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</si>
  <si>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</si>
  <si>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</si>
  <si>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</si>
  <si>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</si>
  <si>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</si>
  <si>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</si>
  <si>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</si>
  <si>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</si>
  <si>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</si>
  <si>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</si>
  <si>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</si>
  <si>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</si>
  <si>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</si>
  <si>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</si>
  <si>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</si>
  <si>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</si>
  <si>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</si>
  <si>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</si>
  <si>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</si>
  <si>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</si>
  <si>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</si>
  <si>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</si>
  <si>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</si>
  <si>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</si>
  <si>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</si>
  <si>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</si>
  <si>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</si>
  <si>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</si>
  <si>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</si>
  <si>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</si>
  <si>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</si>
  <si>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</si>
  <si>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</si>
  <si>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</si>
  <si>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</si>
  <si>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</si>
  <si>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</si>
  <si>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</si>
  <si>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</si>
  <si>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</si>
  <si>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</si>
  <si>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</si>
  <si>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</si>
  <si>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</si>
  <si>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</si>
  <si>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</si>
  <si>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</si>
  <si>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</si>
  <si>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</si>
  <si>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</si>
  <si>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</si>
  <si>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</si>
  <si>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</si>
  <si>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</si>
  <si>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</si>
  <si>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</si>
  <si>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</si>
  <si>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</si>
  <si>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</si>
  <si>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</si>
  <si>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</si>
  <si>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</si>
  <si>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</si>
  <si>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</si>
  <si>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</si>
  <si>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</si>
  <si>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</si>
  <si>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</si>
  <si>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</si>
  <si>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</si>
  <si>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</si>
  <si>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</si>
  <si>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</si>
  <si>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</si>
  <si>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</si>
  <si>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</si>
  <si>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</si>
  <si>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</si>
  <si>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</si>
  <si>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</si>
  <si>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</si>
  <si>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</si>
  <si>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</si>
  <si>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</si>
  <si>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</si>
  <si>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</si>
  <si>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</si>
  <si>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</si>
  <si>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</si>
  <si>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</si>
  <si>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</si>
  <si>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</si>
  <si>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</si>
  <si>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</si>
  <si>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</si>
  <si>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</si>
  <si>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</si>
  <si>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</si>
  <si>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</si>
  <si>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</si>
  <si>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</si>
  <si>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</si>
  <si>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</si>
  <si>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</si>
  <si>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</si>
  <si>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</si>
  <si>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</si>
  <si>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</si>
  <si>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</si>
  <si>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</si>
  <si>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</si>
  <si>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</si>
  <si>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</si>
  <si>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</si>
  <si>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</si>
  <si>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</si>
  <si>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</si>
  <si>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</si>
  <si>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</si>
  <si>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</si>
  <si>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</si>
  <si>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</si>
  <si>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</si>
  <si>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</si>
  <si>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</si>
  <si>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</si>
  <si>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</si>
  <si>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</si>
  <si>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</si>
  <si>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</si>
  <si>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</si>
  <si>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</si>
  <si>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</si>
  <si>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</si>
  <si>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</si>
  <si>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</si>
  <si>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</si>
  <si>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</si>
  <si>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</si>
  <si>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</si>
  <si>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</si>
  <si>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</si>
  <si>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</si>
  <si>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</si>
  <si>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</si>
  <si>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</si>
  <si>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</si>
  <si>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</si>
  <si>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</si>
  <si>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</si>
  <si>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</si>
  <si>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</si>
  <si>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</si>
  <si>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</si>
  <si>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</si>
  <si>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</si>
  <si>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</si>
  <si>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</si>
  <si>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</si>
  <si>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</si>
  <si>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</si>
  <si>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</si>
  <si>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</si>
  <si>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</si>
  <si>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</si>
  <si>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</si>
  <si>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</si>
  <si>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</si>
  <si>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</si>
  <si>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</si>
  <si>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</si>
  <si>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</si>
  <si>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</si>
  <si>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</si>
  <si>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</si>
  <si>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</si>
  <si>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</si>
  <si>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</si>
  <si>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</si>
  <si>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</si>
  <si>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</si>
  <si>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</si>
  <si>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</si>
  <si>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</si>
  <si>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</si>
  <si>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</si>
  <si>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</si>
  <si>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</si>
  <si>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</si>
  <si>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</si>
  <si>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</si>
  <si>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</si>
  <si>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</si>
  <si>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</si>
  <si>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</si>
  <si>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</si>
  <si>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</si>
  <si>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</si>
  <si>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</si>
  <si>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</si>
  <si>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</si>
  <si>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</si>
  <si>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</si>
  <si>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</si>
  <si>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</si>
  <si>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</si>
  <si>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</si>
  <si>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</si>
  <si>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</si>
  <si>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</si>
  <si>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</si>
  <si>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</si>
  <si>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</si>
  <si>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</si>
  <si>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</si>
  <si>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</si>
  <si>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</si>
  <si>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</si>
  <si>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</si>
  <si>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</si>
  <si>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</si>
  <si>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</si>
  <si>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</si>
  <si>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</si>
  <si>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</si>
  <si>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</si>
  <si>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</si>
  <si>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</si>
  <si>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</si>
  <si>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</si>
  <si>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</si>
  <si>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</si>
  <si>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</si>
  <si>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</si>
  <si>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</si>
  <si>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</si>
  <si>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</si>
  <si>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</si>
  <si>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</si>
  <si>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</si>
  <si>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</si>
  <si>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</si>
  <si>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</si>
  <si>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</si>
  <si>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</si>
  <si>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</si>
  <si>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</si>
  <si>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</si>
  <si>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</si>
  <si>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</si>
  <si>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</si>
  <si>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</si>
  <si>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</si>
  <si>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</si>
  <si>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</si>
  <si>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</si>
  <si>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</si>
  <si>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</si>
  <si>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</si>
  <si>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</si>
  <si>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</si>
  <si>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</si>
  <si>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</si>
  <si>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</si>
  <si>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</si>
  <si>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</si>
  <si>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</si>
  <si>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</si>
  <si>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</si>
  <si>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</si>
  <si>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</si>
  <si>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</si>
  <si>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</si>
  <si>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</si>
  <si>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</si>
  <si>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</si>
  <si>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</si>
  <si>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</si>
  <si>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</si>
  <si>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</si>
  <si>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</si>
  <si>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</si>
  <si>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</si>
  <si>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</si>
  <si>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</si>
  <si>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</si>
  <si>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</si>
  <si>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</si>
  <si>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</si>
  <si>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</si>
  <si>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</si>
  <si>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</si>
  <si>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</si>
  <si>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</si>
  <si>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</si>
  <si>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</si>
  <si>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</si>
  <si>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</si>
  <si>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</si>
  <si>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</si>
  <si>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</si>
  <si>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</si>
  <si>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</si>
  <si>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</si>
  <si>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</si>
  <si>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</si>
  <si>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</si>
  <si>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</si>
  <si>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</si>
  <si>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</si>
  <si>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</si>
  <si>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</si>
  <si>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</si>
  <si>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</si>
  <si>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</si>
  <si>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</si>
  <si>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</si>
  <si>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</si>
  <si>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</si>
  <si>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</si>
  <si>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</si>
  <si>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</si>
  <si>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</si>
  <si>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</si>
  <si>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</si>
  <si>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</si>
  <si>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</si>
  <si>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</si>
  <si>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</si>
  <si>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</si>
  <si>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</si>
  <si>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</si>
  <si>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</si>
  <si>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</si>
  <si>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</si>
  <si>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</si>
  <si>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</si>
  <si>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</si>
  <si>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</si>
  <si>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</si>
  <si>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</si>
  <si>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</si>
  <si>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</si>
  <si>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</si>
  <si>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</si>
  <si>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</si>
  <si>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</si>
  <si>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</si>
  <si>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</si>
  <si>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</si>
  <si>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</si>
  <si>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</si>
  <si>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</si>
  <si>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</si>
  <si>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</si>
  <si>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</si>
  <si>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</si>
  <si>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</si>
  <si>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</si>
  <si>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</si>
  <si>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</si>
  <si>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</si>
  <si>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</si>
  <si>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</si>
  <si>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</si>
  <si>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</si>
  <si>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</si>
  <si>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</si>
  <si>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</si>
  <si>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</si>
  <si>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</si>
  <si>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</si>
  <si>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</si>
  <si>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</si>
  <si>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</si>
  <si>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</si>
  <si>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</si>
  <si>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</si>
  <si>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</si>
  <si>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</si>
  <si>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</si>
  <si>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</si>
  <si>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</si>
  <si>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</si>
  <si>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</si>
  <si>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</si>
  <si>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</si>
  <si>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</si>
  <si>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</si>
  <si>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</si>
  <si>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</si>
  <si>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</si>
  <si>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</si>
  <si>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</si>
  <si>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</si>
  <si>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</si>
  <si>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</si>
  <si>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</si>
  <si>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</si>
  <si>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</si>
  <si>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</si>
  <si>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</si>
  <si>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</si>
  <si>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</si>
  <si>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</si>
  <si>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</si>
  <si>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</si>
  <si>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</si>
  <si>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</si>
  <si>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</si>
  <si>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</si>
  <si>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</si>
  <si>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</si>
  <si>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</si>
  <si>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</si>
  <si>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</si>
  <si>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</si>
  <si>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</si>
  <si>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</si>
  <si>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</si>
  <si>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</si>
  <si>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</si>
  <si>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</si>
  <si>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</si>
  <si>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</si>
  <si>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</si>
  <si>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</si>
  <si>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</si>
  <si>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</si>
  <si>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</si>
  <si>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</si>
  <si>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</si>
  <si>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</si>
  <si>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</si>
  <si>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</si>
  <si>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</si>
  <si>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</si>
  <si>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</si>
  <si>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</si>
  <si>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</si>
  <si>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</si>
  <si>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</si>
  <si>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</si>
  <si>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</si>
  <si>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</si>
  <si>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</si>
  <si>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</si>
  <si>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</si>
  <si>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</si>
  <si>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</si>
  <si>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</si>
  <si>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</si>
  <si>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</si>
  <si>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</si>
  <si>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</si>
  <si>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</si>
  <si>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</si>
  <si>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</si>
  <si>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</si>
  <si>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</si>
  <si>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</si>
  <si>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</si>
  <si>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</si>
  <si>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</si>
  <si>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</si>
  <si>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</si>
  <si>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</si>
  <si>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</si>
  <si>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</si>
  <si>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</si>
  <si>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</si>
  <si>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</si>
  <si>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</si>
  <si>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</si>
  <si>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</si>
  <si>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</si>
  <si>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</si>
  <si>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</si>
  <si>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</si>
  <si>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</si>
  <si>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</si>
  <si>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</si>
  <si>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</si>
  <si>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</si>
  <si>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</si>
  <si>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</si>
  <si>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</si>
  <si>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</si>
  <si>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</si>
  <si>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</si>
  <si>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</si>
  <si>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</si>
  <si>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</si>
  <si>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</si>
  <si>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</si>
  <si>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</si>
  <si>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</si>
  <si>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</si>
  <si>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</si>
  <si>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</si>
  <si>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</si>
  <si>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</si>
  <si>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</si>
  <si>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</si>
  <si>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</si>
  <si>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</si>
  <si>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</si>
  <si>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</si>
  <si>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</si>
  <si>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</si>
  <si>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</si>
  <si>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</si>
  <si>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</si>
  <si>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</si>
  <si>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</si>
  <si>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</si>
  <si>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</si>
  <si>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</si>
  <si>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</si>
  <si>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</si>
  <si>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</si>
  <si>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</si>
  <si>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</si>
  <si>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</si>
  <si>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</si>
  <si>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</si>
  <si>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</si>
  <si>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</si>
  <si>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</si>
  <si>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</si>
  <si>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</si>
  <si>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</si>
  <si>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</si>
  <si>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</si>
  <si>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</si>
  <si>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</si>
  <si>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</si>
  <si>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</si>
  <si>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</si>
  <si>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</si>
  <si>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</si>
  <si>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</si>
  <si>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</si>
  <si>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</si>
  <si>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</si>
  <si>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</si>
  <si>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</si>
  <si>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</si>
  <si>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</si>
  <si>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</si>
  <si>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</si>
  <si>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</si>
  <si>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</si>
  <si>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</si>
  <si>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</si>
  <si>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</si>
  <si>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</si>
  <si>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</si>
  <si>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</si>
  <si>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</si>
  <si>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</si>
  <si>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</si>
  <si>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</si>
  <si>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</si>
  <si>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</si>
  <si>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</si>
  <si>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</si>
  <si>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</si>
  <si>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</si>
  <si>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</si>
  <si>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</si>
  <si>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</si>
  <si>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</si>
  <si>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</si>
  <si>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</si>
  <si>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</si>
  <si>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</si>
  <si>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</si>
  <si>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</si>
  <si>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</si>
  <si>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</si>
  <si>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</si>
  <si>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</si>
  <si>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</si>
  <si>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</si>
  <si>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</si>
  <si>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</si>
  <si>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</si>
  <si>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</si>
  <si>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</si>
  <si>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</si>
  <si>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</si>
  <si>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</si>
  <si>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</si>
  <si>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</si>
  <si>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</si>
  <si>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</si>
  <si>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</si>
  <si>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</si>
  <si>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</si>
  <si>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</si>
  <si>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</si>
  <si>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</si>
  <si>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</si>
  <si>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</si>
  <si>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</si>
  <si>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</si>
  <si>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</si>
  <si>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</si>
  <si>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</si>
  <si>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</si>
  <si>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</si>
  <si>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</si>
  <si>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</si>
  <si>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</si>
  <si>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</si>
  <si>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</si>
  <si>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</si>
  <si>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</si>
  <si>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</si>
  <si>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</si>
  <si>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</si>
  <si>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</si>
  <si>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</si>
  <si>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</si>
  <si>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</si>
  <si>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</si>
  <si>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</si>
  <si>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</si>
  <si>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</si>
  <si>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</si>
  <si>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</si>
  <si>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</si>
  <si>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</si>
  <si>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</si>
  <si>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</si>
  <si>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</si>
  <si>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</si>
  <si>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</si>
  <si>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</si>
  <si>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</si>
  <si>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</si>
  <si>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</si>
  <si>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</si>
  <si>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</si>
  <si>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</si>
  <si>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</si>
  <si>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</si>
  <si>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</si>
  <si>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</si>
  <si>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</si>
  <si>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</si>
  <si>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</si>
  <si>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</si>
  <si>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</si>
  <si>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</si>
  <si>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</si>
  <si>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</si>
  <si>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</si>
  <si>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</si>
  <si>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</si>
  <si>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</si>
  <si>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</si>
  <si>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</si>
  <si>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</si>
  <si>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</si>
  <si>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</si>
  <si>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</si>
  <si>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</si>
  <si>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</si>
  <si>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</si>
  <si>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</si>
  <si>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</si>
  <si>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</si>
  <si>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</si>
  <si>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</si>
  <si>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</si>
  <si>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</si>
  <si>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</si>
  <si>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</si>
  <si>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</si>
  <si>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</si>
  <si>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</si>
  <si>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</si>
  <si>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</si>
  <si>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</si>
  <si>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</si>
  <si>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</si>
  <si>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</si>
  <si>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</si>
  <si>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</si>
  <si>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</si>
  <si>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</si>
  <si>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</si>
  <si>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</si>
  <si>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</si>
  <si>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</si>
  <si>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</si>
  <si>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</si>
  <si>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</si>
  <si>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</si>
  <si>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</si>
  <si>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</si>
  <si>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</si>
  <si>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</si>
  <si>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</si>
  <si>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</si>
  <si>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</si>
  <si>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</si>
  <si>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</si>
  <si>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</si>
  <si>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</si>
  <si>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</si>
  <si>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</si>
  <si>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</si>
  <si>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</si>
  <si>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</si>
  <si>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</si>
  <si>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</si>
  <si>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</si>
  <si>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</si>
  <si>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</si>
  <si>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</si>
  <si>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</si>
  <si>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</si>
  <si>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</si>
  <si>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</si>
  <si>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</si>
  <si>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</si>
  <si>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</si>
  <si>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</si>
  <si>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</si>
  <si>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</si>
  <si>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</si>
  <si>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</si>
  <si>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</si>
  <si>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</si>
  <si>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</si>
  <si>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</si>
  <si>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</si>
  <si>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</si>
  <si>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</si>
  <si>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</si>
  <si>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</si>
  <si>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</si>
  <si>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</si>
  <si>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</si>
  <si>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</si>
  <si>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</si>
  <si>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</si>
  <si>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</si>
  <si>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</si>
  <si>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</si>
  <si>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</si>
  <si>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</si>
  <si>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</si>
  <si>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</si>
  <si>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</si>
  <si>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</si>
  <si>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</si>
  <si>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</si>
  <si>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</si>
  <si>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</si>
  <si>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</si>
  <si>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</si>
  <si>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</si>
  <si>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</si>
  <si>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</si>
  <si>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</si>
  <si>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</si>
  <si>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</si>
  <si>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</si>
  <si>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</si>
  <si>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</si>
  <si>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</si>
  <si>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</si>
  <si>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</si>
  <si>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</si>
  <si>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</si>
  <si>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</si>
  <si>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</si>
  <si>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</si>
  <si>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</si>
  <si>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</si>
  <si>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</si>
  <si>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</si>
  <si>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</si>
  <si>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</si>
  <si>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</si>
  <si>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</si>
  <si>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</si>
  <si>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</si>
  <si>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</si>
  <si>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</si>
  <si>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</si>
  <si>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</si>
  <si>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</si>
  <si>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</si>
  <si>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</si>
  <si>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</si>
  <si>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</si>
  <si>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</si>
  <si>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</si>
  <si>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</si>
  <si>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</si>
  <si>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</si>
  <si>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</si>
  <si>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</si>
  <si>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</si>
  <si>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</si>
  <si>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</si>
  <si>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</si>
  <si>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</si>
  <si>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</si>
  <si>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</si>
  <si>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</si>
  <si>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</si>
  <si>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</si>
  <si>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</si>
  <si>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</si>
  <si>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</si>
  <si>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</si>
  <si>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</si>
  <si>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</si>
  <si>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</si>
  <si>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</si>
  <si>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</si>
  <si>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</si>
  <si>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</si>
  <si>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</si>
  <si>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</si>
  <si>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</si>
  <si>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</si>
  <si>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</si>
  <si>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</si>
  <si>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</si>
  <si>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</si>
  <si>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</si>
  <si>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</si>
  <si>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</si>
  <si>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</si>
  <si>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</si>
  <si>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</si>
  <si>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</si>
  <si>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</si>
  <si>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</si>
  <si>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</si>
  <si>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</si>
  <si>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</si>
  <si>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</si>
  <si>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</si>
  <si>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</si>
  <si>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</si>
  <si>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</si>
  <si>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</si>
  <si>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</si>
  <si>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</si>
  <si>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</si>
  <si>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</si>
  <si>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</si>
  <si>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</si>
  <si>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</si>
  <si>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</si>
  <si>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</si>
  <si>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</si>
  <si>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</si>
  <si>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</si>
  <si>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</si>
  <si>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</si>
  <si>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</si>
  <si>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</si>
  <si>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</si>
  <si>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</si>
  <si>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</si>
  <si>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</si>
  <si>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</si>
  <si>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</si>
  <si>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</si>
  <si>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</si>
  <si>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</si>
  <si>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</si>
  <si>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</si>
  <si>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</si>
  <si>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</si>
  <si>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</si>
  <si>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</si>
  <si>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</si>
  <si>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</si>
  <si>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</si>
  <si>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</si>
  <si>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</si>
  <si>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</si>
  <si>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</si>
  <si>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</si>
  <si>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</si>
  <si>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</si>
  <si>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</si>
  <si>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</si>
  <si>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</si>
  <si>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</si>
  <si>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</si>
  <si>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</si>
  <si>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</si>
  <si>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</si>
  <si>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</si>
  <si>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</si>
  <si>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</si>
  <si>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</si>
  <si>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</si>
  <si>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</si>
  <si>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</si>
  <si>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</si>
  <si>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</si>
  <si>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</si>
  <si>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</si>
  <si>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</si>
  <si>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</si>
  <si>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</si>
  <si>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</si>
  <si>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</si>
  <si>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</si>
  <si>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</si>
  <si>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</si>
  <si>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</si>
  <si>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</si>
  <si>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</si>
  <si>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</si>
  <si>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</si>
  <si>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</si>
  <si>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</si>
  <si>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</si>
  <si>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</si>
  <si>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</si>
  <si>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</si>
  <si>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</si>
  <si>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</si>
  <si>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</si>
  <si>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</si>
  <si>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</si>
  <si>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</si>
  <si>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</si>
  <si>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</si>
  <si>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</si>
  <si>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</si>
  <si>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</si>
  <si>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</si>
  <si>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</si>
  <si>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</si>
  <si>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</si>
  <si>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</si>
  <si>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</si>
  <si>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</si>
  <si>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</si>
  <si>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</si>
  <si>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</si>
  <si>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</si>
  <si>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</si>
  <si>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</si>
  <si>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</si>
  <si>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</si>
  <si>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</si>
  <si>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</si>
  <si>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</si>
  <si>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</si>
  <si>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</si>
  <si>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</si>
  <si>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</si>
  <si>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</si>
  <si>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</si>
  <si>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</si>
  <si>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</si>
  <si>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</si>
  <si>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</si>
  <si>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</si>
  <si>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</si>
  <si>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</si>
  <si>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</si>
  <si>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</si>
  <si>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</si>
  <si>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</si>
  <si>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</si>
  <si>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</si>
  <si>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</si>
  <si>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</si>
  <si>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</si>
  <si>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</si>
  <si>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</si>
  <si>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</si>
  <si>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</si>
  <si>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</si>
  <si>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</si>
  <si>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</si>
  <si>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</si>
  <si>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</si>
  <si>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</si>
  <si>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</si>
  <si>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</si>
  <si>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</si>
  <si>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</si>
  <si>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</si>
  <si>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</si>
  <si>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</si>
  <si>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</si>
  <si>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</si>
  <si>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</si>
  <si>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</si>
  <si>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</si>
  <si>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</si>
  <si>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</si>
  <si>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</si>
  <si>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</si>
  <si>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</si>
  <si>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</si>
  <si>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</si>
  <si>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</si>
  <si>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</si>
  <si>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</si>
  <si>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</si>
  <si>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</si>
  <si>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</si>
  <si>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</si>
  <si>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</si>
  <si>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</si>
  <si>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</si>
  <si>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</si>
  <si>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</si>
  <si>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</si>
  <si>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</si>
  <si>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</si>
  <si>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</si>
  <si>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</si>
  <si>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</si>
  <si>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</si>
  <si>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</si>
  <si>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</si>
  <si>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</si>
  <si>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</si>
  <si>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</si>
  <si>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</si>
  <si>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</si>
  <si>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</si>
  <si>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</si>
  <si>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</si>
  <si>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</si>
  <si>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</si>
  <si>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</si>
  <si>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</si>
  <si>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</si>
  <si>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</si>
  <si>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</si>
  <si>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</si>
  <si>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</si>
  <si>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</si>
  <si>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</si>
  <si>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</si>
  <si>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</si>
  <si>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</si>
  <si>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</si>
  <si>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</si>
  <si>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</si>
  <si>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</si>
  <si>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</si>
  <si>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</si>
  <si>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</si>
  <si>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</si>
  <si>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</si>
  <si>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</si>
  <si>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</si>
  <si>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</si>
  <si>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</si>
  <si>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</si>
  <si>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</si>
  <si>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</si>
  <si>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</si>
  <si>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</si>
  <si>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</si>
  <si>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</si>
  <si>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</si>
  <si>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</si>
  <si>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</si>
  <si>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</si>
  <si>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</si>
  <si>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</si>
  <si>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</si>
  <si>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</si>
  <si>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</si>
  <si>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</si>
  <si>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</si>
  <si>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</si>
  <si>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</si>
  <si>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</si>
  <si>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</si>
  <si>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</si>
  <si>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</si>
  <si>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</si>
  <si>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</si>
  <si>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</si>
  <si>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</si>
  <si>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</si>
  <si>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</si>
  <si>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</si>
  <si>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</si>
  <si>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</si>
  <si>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</si>
  <si>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</si>
  <si>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</si>
  <si>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</si>
  <si>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</si>
  <si>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</si>
  <si>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</si>
  <si>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</si>
  <si>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</si>
  <si>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</si>
  <si>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</si>
  <si>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</si>
  <si>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</si>
  <si>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</si>
  <si>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</si>
  <si>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</si>
  <si>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</si>
  <si>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</si>
  <si>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</si>
  <si>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</si>
  <si>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</si>
  <si>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</si>
  <si>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</si>
  <si>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</si>
  <si>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</si>
  <si>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</si>
  <si>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</si>
  <si>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</si>
  <si>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</si>
  <si>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</si>
  <si>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</si>
  <si>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</si>
  <si>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</si>
  <si>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2021-1</t>
    <phoneticPr fontId="141" type="noConversion"/>
  </si>
  <si>
    <t>2020-4</t>
    <phoneticPr fontId="4" type="noConversion"/>
  </si>
  <si>
    <t>LPR</t>
  </si>
  <si>
    <t>华澳信托</t>
    <phoneticPr fontId="7" type="noConversion"/>
  </si>
  <si>
    <t>可域酒店置业管理江阴有限公司</t>
    <phoneticPr fontId="7" type="noConversion"/>
  </si>
  <si>
    <t>抵押</t>
  </si>
  <si>
    <t>房地产抵押价值</t>
  </si>
  <si>
    <t>其他：</t>
  </si>
  <si>
    <t>企业</t>
  </si>
  <si>
    <t>出让</t>
  </si>
  <si>
    <r>
      <rPr>
        <sz val="10"/>
        <color theme="9" tint="-0.249977111117893"/>
        <rFont val="宋体"/>
        <family val="3"/>
        <charset val="134"/>
      </rPr>
      <t>商业</t>
    </r>
    <r>
      <rPr>
        <sz val="10"/>
        <color theme="9" tint="-0.249977111117893"/>
        <rFont val="Arial"/>
        <family val="2"/>
      </rPr>
      <t>29.53</t>
    </r>
    <r>
      <rPr>
        <sz val="10"/>
        <color theme="9" tint="-0.249977111117893"/>
        <rFont val="宋体"/>
        <family val="3"/>
        <charset val="134"/>
      </rPr>
      <t>年</t>
    </r>
    <phoneticPr fontId="7" type="noConversion"/>
  </si>
  <si>
    <t>商业</t>
    <phoneticPr fontId="7" type="noConversion"/>
  </si>
  <si>
    <t>是</t>
  </si>
  <si>
    <t>酒店</t>
  </si>
  <si>
    <t>酒店</t>
    <phoneticPr fontId="4" type="noConversion"/>
  </si>
  <si>
    <t>地上</t>
  </si>
  <si>
    <t>成新度</t>
  </si>
  <si>
    <t>一般</t>
  </si>
  <si>
    <t>一般</t>
    <phoneticPr fontId="26" type="noConversion"/>
  </si>
  <si>
    <t>较好</t>
  </si>
  <si>
    <t>较好</t>
    <phoneticPr fontId="42" type="noConversion"/>
  </si>
  <si>
    <t>六通</t>
  </si>
  <si>
    <t>六通</t>
    <phoneticPr fontId="26" type="noConversion"/>
  </si>
  <si>
    <t>城市次干道——人民东路</t>
    <phoneticPr fontId="26" type="noConversion"/>
  </si>
  <si>
    <t>收益法</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</si>
  <si>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</si>
  <si>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</si>
  <si>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</si>
  <si>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</si>
  <si>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</si>
  <si>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</si>
  <si>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</si>
  <si>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</si>
  <si>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</si>
  <si>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</si>
  <si>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</si>
  <si>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</si>
  <si>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</si>
  <si>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</si>
  <si>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</si>
  <si>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</si>
  <si>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澄地2020-C-48</t>
  </si>
  <si>
    <t>无锡市</t>
  </si>
  <si>
    <t>商业/办公用地</t>
  </si>
  <si>
    <t>≤0.8</t>
  </si>
  <si>
    <t>挂牌</t>
  </si>
  <si>
    <t>商务金融用地</t>
  </si>
  <si>
    <t>2021-02-03</t>
  </si>
  <si>
    <t>江阴振江生物科技有限公司</t>
  </si>
  <si>
    <t>2星</t>
  </si>
  <si>
    <t>江阴市新桥镇太清河东、庄园路南、新民路西、规划道路北侧</t>
  </si>
  <si>
    <t>≤1</t>
  </si>
  <si>
    <t>商业用地</t>
  </si>
  <si>
    <t>2020-12-02</t>
  </si>
  <si>
    <t>江阴桃园山庄休闲度假有限公司</t>
  </si>
  <si>
    <t>江阴市华士镇民族路南侧</t>
  </si>
  <si>
    <t>商服用地</t>
  </si>
  <si>
    <t>2020-07-21</t>
  </si>
  <si>
    <t>江阴市华士镇华西新市村村民委员会</t>
  </si>
  <si>
    <t>1星</t>
  </si>
  <si>
    <t>江阴市澄江街道青山路北、通渡路西</t>
  </si>
  <si>
    <t>≥1.40且≤1.50</t>
  </si>
  <si>
    <t>2019-12-10</t>
  </si>
  <si>
    <t>江苏长博集团有限公司</t>
  </si>
  <si>
    <t>4星</t>
  </si>
  <si>
    <t>江阴市祝塘镇东至纵二路、西至香草花苑、南至镇北路</t>
  </si>
  <si>
    <t>≤2</t>
  </si>
  <si>
    <t>2019-09-04</t>
  </si>
  <si>
    <t>徐军</t>
  </si>
  <si>
    <t>江阴市城东街道石山路西、龙泉路北</t>
  </si>
  <si>
    <t>≤1.2</t>
  </si>
  <si>
    <t>零售商业用地</t>
  </si>
  <si>
    <t>2019-05-10</t>
  </si>
  <si>
    <t>张新炯</t>
  </si>
  <si>
    <t>3星</t>
  </si>
  <si>
    <t>江阴市顾山镇行政区域范围内东至香山北路、南至人民西路</t>
  </si>
  <si>
    <t>≤2.3</t>
  </si>
  <si>
    <t>其他商服用地</t>
  </si>
  <si>
    <t>2019-01-18</t>
  </si>
  <si>
    <t>鸿杉置业(江阴)有限公司</t>
  </si>
  <si>
    <t>江阴市城东街道创富路东、滨江东路南、秦望山路西、规划道路北</t>
  </si>
  <si>
    <t>≥2.4并且≤2.8</t>
  </si>
  <si>
    <t>2018-12-14</t>
  </si>
  <si>
    <t>深圳市星河房地产开发有限公司</t>
  </si>
  <si>
    <t>江阴市城东街道秦望山路东、滨江东路南、定山路西、规划道路北</t>
  </si>
  <si>
    <t>≥1.6并且≤1.9</t>
  </si>
  <si>
    <t>江阴市澄江街道虹桥路东、青果路西、塘前路北侧</t>
  </si>
  <si>
    <t>≥1并且≤1.2</t>
  </si>
  <si>
    <t>江阴城建产业发展有限公司</t>
  </si>
  <si>
    <t>5星</t>
  </si>
  <si>
    <t>江阴市周庄镇龙云路东侧、老澄杨路北侧</t>
  </si>
  <si>
    <t>≤0.5</t>
  </si>
  <si>
    <t>批发零售用地</t>
  </si>
  <si>
    <t>2018-11-13</t>
  </si>
  <si>
    <t>中国石油天然气股份有限公司江苏无锡销售分公司</t>
  </si>
  <si>
    <t>江阴市青阳镇张塘浜南、文秀路西、北环路北侧</t>
  </si>
  <si>
    <t>2018-05-26</t>
  </si>
  <si>
    <t>江阴青北油品有限公司</t>
  </si>
  <si>
    <t>澄地2018-C-1(A)</t>
  </si>
  <si>
    <t>2≤容积率≤2.20</t>
  </si>
  <si>
    <t>2018-03-30</t>
  </si>
  <si>
    <t>无锡红豆置业有限公司</t>
  </si>
  <si>
    <t>澄地2018-C-3</t>
  </si>
  <si>
    <t>容积率≤1</t>
  </si>
  <si>
    <t>海澜集团有限公司</t>
  </si>
  <si>
    <t>澄地2017-C-15</t>
  </si>
  <si>
    <t>1≤容积率≤1.50</t>
  </si>
  <si>
    <t>2017-09-14</t>
  </si>
  <si>
    <t>江苏传澄服饰有限公司</t>
  </si>
  <si>
    <t>澄地2017-C-1</t>
  </si>
  <si>
    <t>容积率≤0.50</t>
  </si>
  <si>
    <t>2017-03-17</t>
  </si>
  <si>
    <t>江阴市申国石油化工加油有限公司</t>
  </si>
  <si>
    <t>澄地2017-C-4</t>
  </si>
  <si>
    <t>2017-03-10</t>
  </si>
  <si>
    <t>澄地2016-C-17</t>
  </si>
  <si>
    <t>2017-01-17</t>
  </si>
  <si>
    <t>江阴市倪家巷加油有限公司</t>
  </si>
  <si>
    <t>澄地2016-C-6</t>
  </si>
  <si>
    <t>0.70≤容积率≤1.10</t>
  </si>
  <si>
    <t>2017-01-06</t>
  </si>
  <si>
    <t>迪卡侬(上海)投资有限公司</t>
  </si>
  <si>
    <t>澄地2016-C-12</t>
  </si>
  <si>
    <t>3≤容积率≤3.20</t>
  </si>
  <si>
    <t>2016-11-24</t>
  </si>
  <si>
    <t>江阴鼎盛置业有限公司</t>
  </si>
  <si>
    <t>澄地2016-C-9</t>
  </si>
  <si>
    <t>1≤容积率≤1.20</t>
  </si>
  <si>
    <t>梦阳光旅游发展有限公司</t>
  </si>
  <si>
    <t>江阴市新桥镇黄河村西环路西、新郁西路北地块</t>
  </si>
  <si>
    <t>2016-08-19</t>
  </si>
  <si>
    <t>江阴市水木柴门农林生态园有限公司</t>
  </si>
  <si>
    <t>江阴市澄江街道行政区域范围内规划道路西、花北路北侧地块</t>
  </si>
  <si>
    <t>容积率≤0.80</t>
  </si>
  <si>
    <t>江阴市飞达出租汽车有限公司</t>
  </si>
  <si>
    <t>江阴市华士镇芙蓉大道北侧、红旗路东侧</t>
  </si>
  <si>
    <t>2016-04-15</t>
  </si>
  <si>
    <t>中海油销售江苏有限公司</t>
  </si>
  <si>
    <t>江阴市长泾镇华长路东侧</t>
  </si>
  <si>
    <t>不大于0.5</t>
  </si>
  <si>
    <t>2016-01-29</t>
  </si>
  <si>
    <t>中国石化销售有限公司江苏江阴石油分公司</t>
  </si>
  <si>
    <t>江阴市长泾镇南至暨南大道</t>
  </si>
  <si>
    <t>江阴市城东街道凤蟠路南、新河港东</t>
  </si>
  <si>
    <t>2015-12-31</t>
  </si>
  <si>
    <t>江苏高桥新能源发展有限公司</t>
  </si>
  <si>
    <t>江阴市澄江街道澄江西路南、通江路西侧</t>
  </si>
  <si>
    <t>容积率≤3.30</t>
  </si>
  <si>
    <t>2015-12-26</t>
  </si>
  <si>
    <t>江苏法尔胜泓昇集团有限公司</t>
  </si>
  <si>
    <t>江阴市南闸街道站西路南、白玉路西侧</t>
  </si>
  <si>
    <t>不大于1.5</t>
  </si>
  <si>
    <t>其他公用设施营业网点用地</t>
  </si>
  <si>
    <t>2015-12-15</t>
  </si>
  <si>
    <t>江苏江南水务股份有限公司</t>
  </si>
  <si>
    <t>江阴市城东街道长山大道东、滨江路南、渡江路西</t>
  </si>
  <si>
    <t>不小于1.5,不大于1.8</t>
  </si>
  <si>
    <t>商务用地</t>
  </si>
  <si>
    <t>江阴兴澄特种钢铁有限公司</t>
  </si>
  <si>
    <t>江阴市临港街道兴港路东侧、滨江路南侧、利三路北侧</t>
  </si>
  <si>
    <t>不小于1.2,不大于1.4</t>
  </si>
  <si>
    <t>2015-08-18</t>
  </si>
  <si>
    <t>江阴星六甲房地产开发有限公司</t>
  </si>
  <si>
    <t>江阴市云亭街道行政区域范围内迎瑞路东、敔山路北侧</t>
  </si>
  <si>
    <t>不小于0.5,不大于0.8</t>
  </si>
  <si>
    <t>江阴市新东晨置业有限公司</t>
  </si>
  <si>
    <t>江阴市临港街道兴港路西侧、滨江路南侧、利三路北侧</t>
  </si>
  <si>
    <t>江阴市新桥镇南环路以北,新郁河东侧、民乐路西侧</t>
  </si>
  <si>
    <t>江阴市海澜投资控股有限公司</t>
  </si>
  <si>
    <t>江阴市新桥镇西环路以东、南环路以北、新郁河西侧</t>
  </si>
  <si>
    <t>不小于2.5,不大于3.5</t>
  </si>
  <si>
    <t>江阴市临港街道兴港路西侧、大寨路南侧、丁墅路北侧</t>
  </si>
  <si>
    <t>不小于1.7,不大于1.9</t>
  </si>
  <si>
    <t>江阴市宏泽氯碱设备制造有限公司</t>
  </si>
  <si>
    <t>江阴市云亭街道行政区域范围内长山大道东、迎瑞路西、敔山路北侧</t>
  </si>
  <si>
    <t>江阴市城东街道新长铁路西、延陵路北</t>
  </si>
  <si>
    <t>1.30≤容积率≤1.50</t>
  </si>
  <si>
    <t>商业其他商服用地</t>
  </si>
  <si>
    <t>2015-06-12</t>
  </si>
  <si>
    <t>刘清</t>
  </si>
  <si>
    <t>江阴市华士镇张家港河东侧、金塔路以南、民族路以北</t>
  </si>
  <si>
    <t>不小于5.0,不大于6.0</t>
  </si>
  <si>
    <t>2015-02-27</t>
  </si>
  <si>
    <t>江阴市龙希国际大酒店有限公司</t>
  </si>
  <si>
    <t>江阴市城东街道大寨河东、东盛路南</t>
  </si>
  <si>
    <t>不小于2.5,不大于3.0</t>
  </si>
  <si>
    <t>2014-12-02</t>
  </si>
  <si>
    <t>江阴龙泉置业有限公司</t>
  </si>
  <si>
    <t>江阴市城东街道南方管件有限公司东、延陵路北</t>
  </si>
  <si>
    <t>不小于3.0,不大于3.5</t>
  </si>
  <si>
    <t>江阴市城东街道长山大道东、东盛路南</t>
  </si>
  <si>
    <t>不小于1.5,不大于2.0</t>
  </si>
  <si>
    <t>江阴市新桥镇东环路东侧、新桥客运站南侧</t>
  </si>
  <si>
    <t>不小于1.1,不大于1.3</t>
  </si>
  <si>
    <t>2014-09-10</t>
  </si>
  <si>
    <t>江阴市新桥神龙生态农林园</t>
  </si>
  <si>
    <t>江阴市新桥镇南环路北侧</t>
  </si>
  <si>
    <t>不大于1.0</t>
  </si>
  <si>
    <t>江阴市城东街道龙泉路北、石山路西</t>
  </si>
  <si>
    <t>不小于1.3,不大于1.8</t>
  </si>
  <si>
    <t>江阴市富源置业有限公司</t>
  </si>
  <si>
    <t>江阴市澄江街道行政区域范围内征存路东、环城南路南、虹桥南路西、仲伟路北侧</t>
  </si>
  <si>
    <t>不小于3.5,不大于4.0</t>
  </si>
  <si>
    <t>商业用地+商务用地</t>
  </si>
  <si>
    <t>2014-06-12</t>
  </si>
  <si>
    <t>上海品龙投资管理有限公司</t>
  </si>
  <si>
    <t>江阴市周庄镇龙山西路北侧、世纪大道西侧</t>
  </si>
  <si>
    <t>不小于1.6,不大于1.8</t>
  </si>
  <si>
    <t>2014-04-02</t>
  </si>
  <si>
    <t>苏州新中天置业有限公司</t>
  </si>
  <si>
    <t>徐霞客镇峭岐徐霞客大道东侧、南苑村、北赵村南侧</t>
  </si>
  <si>
    <t>不小于1.0,不大于1.2</t>
  </si>
  <si>
    <t>2014-01-26</t>
  </si>
  <si>
    <t>江阴城市建设投资有限公司</t>
  </si>
  <si>
    <t>商业</t>
    <phoneticPr fontId="32" type="noConversion"/>
  </si>
  <si>
    <t>40</t>
    <phoneticPr fontId="32" type="noConversion"/>
  </si>
  <si>
    <t>土地比较法-住宅、综合</t>
  </si>
  <si>
    <t>未包含在土地购买价格中</t>
  </si>
  <si>
    <t>全部缴纳</t>
  </si>
  <si>
    <t>已包含在土地取得成本中</t>
  </si>
  <si>
    <t>利息：取LPR加浮动点数</t>
  </si>
  <si>
    <t>成本法</t>
  </si>
  <si>
    <t>按租金收入计税</t>
  </si>
  <si>
    <t>钢混</t>
  </si>
  <si>
    <t>非生产用房</t>
  </si>
  <si>
    <t>郑燚</t>
  </si>
  <si>
    <t>吴薇</t>
  </si>
  <si>
    <t>总价</t>
  </si>
  <si>
    <t>收益比率</t>
  </si>
  <si>
    <t>宗地面积</t>
    <phoneticPr fontId="141" type="noConversion"/>
  </si>
  <si>
    <t>容积率</t>
    <phoneticPr fontId="141" type="noConversion"/>
  </si>
  <si>
    <t>建筑面积</t>
    <phoneticPr fontId="141" type="noConversion"/>
  </si>
  <si>
    <t>地价款</t>
    <phoneticPr fontId="141" type="noConversion"/>
  </si>
  <si>
    <t>地面</t>
    <phoneticPr fontId="141" type="noConversion"/>
  </si>
  <si>
    <t>楼面</t>
    <phoneticPr fontId="141" type="noConversion"/>
  </si>
  <si>
    <t>可域酒店置业管理江阴有限公司</t>
  </si>
  <si>
    <t>可域酒店置业管理江阴有限公司</t>
    <phoneticPr fontId="7" type="noConversion"/>
  </si>
  <si>
    <t>情况3</t>
  </si>
  <si>
    <t>正常</t>
  </si>
  <si>
    <t>自行开发建设</t>
  </si>
  <si>
    <t>利润表</t>
  </si>
  <si>
    <t>资产负债表</t>
  </si>
  <si>
    <t>会企02表</t>
  </si>
  <si>
    <t>会企01 表</t>
  </si>
  <si>
    <t>2020年12月</t>
  </si>
  <si>
    <t>单位：元</t>
  </si>
  <si>
    <t>2020年12月31日</t>
  </si>
  <si>
    <t>单位: 元</t>
  </si>
  <si>
    <t>项目</t>
  </si>
  <si>
    <t>本期数</t>
  </si>
  <si>
    <t>本年累计数</t>
  </si>
  <si>
    <t>资产</t>
  </si>
  <si>
    <t>年初余额</t>
  </si>
  <si>
    <t>期末余额</t>
  </si>
  <si>
    <t>负债和所有者权益</t>
  </si>
  <si>
    <t>一、营业收入</t>
  </si>
  <si>
    <t>流动资产：</t>
  </si>
  <si>
    <t>流动负债：</t>
  </si>
  <si>
    <t xml:space="preserve">        其中：主营业务收入</t>
  </si>
  <si>
    <t xml:space="preserve">    货币资金</t>
  </si>
  <si>
    <t xml:space="preserve">    短期借款</t>
  </si>
  <si>
    <t xml:space="preserve">              其他业务收入</t>
  </si>
  <si>
    <t xml:space="preserve">    交易性金融资产</t>
  </si>
  <si>
    <t xml:space="preserve">    交易性金融负债</t>
  </si>
  <si>
    <t xml:space="preserve">    减：营业成本</t>
  </si>
  <si>
    <t xml:space="preserve">    应收票据</t>
  </si>
  <si>
    <t xml:space="preserve">    应付票据</t>
  </si>
  <si>
    <t xml:space="preserve">        其中：主营业务成本 </t>
  </si>
  <si>
    <t xml:space="preserve">    应收账款</t>
  </si>
  <si>
    <t xml:space="preserve">    应付账款</t>
  </si>
  <si>
    <t xml:space="preserve">              其他业务支出   </t>
  </si>
  <si>
    <t xml:space="preserve">    减：应收帐款坏账准备              </t>
  </si>
  <si>
    <t xml:space="preserve">    预收帐款</t>
  </si>
  <si>
    <t xml:space="preserve">        营业税金及附加</t>
  </si>
  <si>
    <t xml:space="preserve">    应收账款净额              </t>
  </si>
  <si>
    <t xml:space="preserve">    其他应付款</t>
  </si>
  <si>
    <t xml:space="preserve">        销售费用</t>
  </si>
  <si>
    <t xml:space="preserve">    预付帐款</t>
  </si>
  <si>
    <t xml:space="preserve">    应付职工薪酬</t>
  </si>
  <si>
    <t xml:space="preserve">        管理费用</t>
  </si>
  <si>
    <t xml:space="preserve">    应收内部单位款</t>
  </si>
  <si>
    <t xml:space="preserve">    应付内部单位款</t>
  </si>
  <si>
    <t xml:space="preserve">        财务费用（收益以“-”号填列）</t>
  </si>
  <si>
    <t xml:space="preserve">    应收股利</t>
  </si>
  <si>
    <t xml:space="preserve">    应交税费</t>
  </si>
  <si>
    <t xml:space="preserve">        资产减值损失</t>
  </si>
  <si>
    <t xml:space="preserve">    应收利息</t>
  </si>
  <si>
    <t xml:space="preserve">    应付利息</t>
  </si>
  <si>
    <t xml:space="preserve">    加：其他收益</t>
  </si>
  <si>
    <t xml:space="preserve">    其他应收款</t>
  </si>
  <si>
    <t xml:space="preserve">    应付股利</t>
  </si>
  <si>
    <t xml:space="preserve">        投资收益（损失以“-”号填列）</t>
  </si>
  <si>
    <t xml:space="preserve">    存货</t>
  </si>
  <si>
    <t xml:space="preserve">    一年内到期的非流动负债</t>
  </si>
  <si>
    <t xml:space="preserve">        其中：对联营企业和合营企业的投资收益</t>
  </si>
  <si>
    <t xml:space="preserve">    减：存货跌价准备      </t>
  </si>
  <si>
    <t xml:space="preserve">    其他流动负债</t>
  </si>
  <si>
    <t xml:space="preserve">        公允价值变动收益（损失以“-”号填列）</t>
  </si>
  <si>
    <t xml:space="preserve">    存货净额</t>
  </si>
  <si>
    <t xml:space="preserve">        资产处置收益（损失以“-”号填列）</t>
  </si>
  <si>
    <t xml:space="preserve">    一年内到期的非流动资产</t>
  </si>
  <si>
    <t>二、营业利润（亏损以“-”号填列）</t>
  </si>
  <si>
    <t xml:space="preserve">    其他流动资产</t>
  </si>
  <si>
    <t xml:space="preserve">    加：营业外收入</t>
  </si>
  <si>
    <t xml:space="preserve">        流动资产合计</t>
  </si>
  <si>
    <t xml:space="preserve">         流动负债合计</t>
  </si>
  <si>
    <t xml:space="preserve">    减：营业外支出</t>
  </si>
  <si>
    <t>非流动资产：</t>
  </si>
  <si>
    <t>非流动负债：</t>
  </si>
  <si>
    <t xml:space="preserve">        其中：非流动资产处理净损失（净收益以“-”号填列）</t>
  </si>
  <si>
    <t xml:space="preserve">    可供出售金融资产</t>
  </si>
  <si>
    <t xml:space="preserve">    长期借款</t>
  </si>
  <si>
    <t>三、利润总额（亏损总额以“-”号填列）</t>
  </si>
  <si>
    <t xml:space="preserve">    持有至到期投资</t>
  </si>
  <si>
    <t xml:space="preserve">    应付债券</t>
  </si>
  <si>
    <t xml:space="preserve">    减：所得税费用</t>
  </si>
  <si>
    <t xml:space="preserve">    投资性房地产</t>
  </si>
  <si>
    <t xml:space="preserve">    长期应付款</t>
  </si>
  <si>
    <t>四、净利润（净亏损以“-”号填列）</t>
  </si>
  <si>
    <t xml:space="preserve">    长期股权投资</t>
  </si>
  <si>
    <t xml:space="preserve">    专项应付款</t>
  </si>
  <si>
    <t xml:space="preserve">    归属于母公司的净利润</t>
  </si>
  <si>
    <t xml:space="preserve">    长期应收款</t>
  </si>
  <si>
    <t xml:space="preserve">    递延所得税负债</t>
  </si>
  <si>
    <t xml:space="preserve">    少数股东损益</t>
  </si>
  <si>
    <t xml:space="preserve">    预计负债</t>
  </si>
  <si>
    <t>五、每股收益：</t>
  </si>
  <si>
    <t xml:space="preserve"> 固定资产：                  </t>
  </si>
  <si>
    <t xml:space="preserve">    其他非流动负债 </t>
  </si>
  <si>
    <t xml:space="preserve">    基本每股收益</t>
  </si>
  <si>
    <t xml:space="preserve">     固定资产原价              </t>
  </si>
  <si>
    <t xml:space="preserve">    稀释每股收益</t>
  </si>
  <si>
    <t xml:space="preserve">       减：累计折旧              </t>
  </si>
  <si>
    <t xml:space="preserve">        非流动负债合计</t>
  </si>
  <si>
    <t xml:space="preserve">       减：固定资产减值准备            </t>
  </si>
  <si>
    <t xml:space="preserve">        负债合计</t>
  </si>
  <si>
    <t xml:space="preserve">       固定资产净值              </t>
  </si>
  <si>
    <t xml:space="preserve">    固定资产清理              </t>
  </si>
  <si>
    <t xml:space="preserve">所有者权益： </t>
  </si>
  <si>
    <t xml:space="preserve">    在建工程</t>
  </si>
  <si>
    <t xml:space="preserve">    实收资本</t>
  </si>
  <si>
    <t xml:space="preserve">    工程物资</t>
  </si>
  <si>
    <t xml:space="preserve">    资本公积</t>
  </si>
  <si>
    <t xml:space="preserve">    无形资产</t>
  </si>
  <si>
    <t xml:space="preserve">    盈余公积</t>
  </si>
  <si>
    <t xml:space="preserve">        减：无形资产减值准备</t>
  </si>
  <si>
    <t xml:space="preserve">    未分配利润</t>
  </si>
  <si>
    <t xml:space="preserve">        无形资产净值</t>
  </si>
  <si>
    <t xml:space="preserve">       其中：本年利润</t>
  </si>
  <si>
    <t xml:space="preserve">    商誉</t>
  </si>
  <si>
    <t xml:space="preserve">             利润分配</t>
  </si>
  <si>
    <t xml:space="preserve">    长期待摊费用</t>
  </si>
  <si>
    <t xml:space="preserve">    专项储备</t>
  </si>
  <si>
    <t xml:space="preserve">    递延所得税资产</t>
  </si>
  <si>
    <t xml:space="preserve">外币报表折算差额 </t>
  </si>
  <si>
    <t xml:space="preserve">    其他非流动资产</t>
  </si>
  <si>
    <t>少数股东权益</t>
  </si>
  <si>
    <t xml:space="preserve">        非流动资产合计</t>
  </si>
  <si>
    <t>所有者权益合计</t>
  </si>
  <si>
    <t xml:space="preserve"> 资产总计</t>
  </si>
  <si>
    <t>负债和所有者权益总计</t>
  </si>
  <si>
    <t>2019年12月31日</t>
  </si>
  <si>
    <t>2018年12月31日</t>
  </si>
  <si>
    <t>序号</t>
  </si>
  <si>
    <t>建筑面积</t>
  </si>
  <si>
    <t>预算指标</t>
  </si>
  <si>
    <t>金额</t>
  </si>
  <si>
    <t>占比</t>
  </si>
  <si>
    <t>（㎡）</t>
  </si>
  <si>
    <t>（元/㎡）</t>
  </si>
  <si>
    <t>（万元）</t>
  </si>
  <si>
    <r>
      <t>（</t>
    </r>
    <r>
      <rPr>
        <sz val="12"/>
        <color indexed="8"/>
        <rFont val="宋体"/>
        <family val="3"/>
        <charset val="134"/>
      </rPr>
      <t>%</t>
    </r>
    <r>
      <rPr>
        <sz val="10.5"/>
        <color indexed="8"/>
        <rFont val="宋体"/>
        <family val="3"/>
        <charset val="134"/>
      </rPr>
      <t>）</t>
    </r>
  </si>
  <si>
    <t>土地成本</t>
  </si>
  <si>
    <t>土地出让金</t>
  </si>
  <si>
    <t>契税</t>
  </si>
  <si>
    <t>开发成本</t>
  </si>
  <si>
    <t>前期工程费</t>
  </si>
  <si>
    <t>建造成本</t>
    <phoneticPr fontId="4" type="noConversion"/>
  </si>
  <si>
    <t>2.2.1</t>
    <phoneticPr fontId="4" type="noConversion"/>
  </si>
  <si>
    <t>主体建筑工程费</t>
    <phoneticPr fontId="4" type="noConversion"/>
  </si>
  <si>
    <t>2.2.2</t>
    <phoneticPr fontId="4" type="noConversion"/>
  </si>
  <si>
    <t>主体安装工程费</t>
    <phoneticPr fontId="4" type="noConversion"/>
  </si>
  <si>
    <t>2.2.3</t>
    <phoneticPr fontId="4" type="noConversion"/>
  </si>
  <si>
    <t>精装修工程费</t>
    <phoneticPr fontId="4" type="noConversion"/>
  </si>
  <si>
    <t>2.2.4</t>
    <phoneticPr fontId="4" type="noConversion"/>
  </si>
  <si>
    <t>室外工程</t>
    <phoneticPr fontId="4" type="noConversion"/>
  </si>
  <si>
    <t>2.2.5</t>
    <phoneticPr fontId="4" type="noConversion"/>
  </si>
  <si>
    <t>配套设施</t>
    <phoneticPr fontId="4" type="noConversion"/>
  </si>
  <si>
    <t>间接费用</t>
    <phoneticPr fontId="4" type="noConversion"/>
  </si>
  <si>
    <t>开发费用</t>
  </si>
  <si>
    <t>管理费用</t>
  </si>
  <si>
    <t>财务费用</t>
  </si>
  <si>
    <t>销售费用</t>
  </si>
  <si>
    <t>不可预见费</t>
  </si>
  <si>
    <t>项目总投资</t>
  </si>
  <si>
    <t>中指办公成交数据</t>
    <phoneticPr fontId="141" type="noConversion"/>
  </si>
  <si>
    <t>目前毛坯状态，没有运营</t>
    <phoneticPr fontId="4" type="noConversion"/>
  </si>
  <si>
    <t>企业提供（在右侧录入）</t>
  </si>
  <si>
    <t>收益法 (类办公)</t>
    <phoneticPr fontId="17" type="noConversion"/>
  </si>
  <si>
    <t>押一</t>
  </si>
  <si>
    <t>办公</t>
    <phoneticPr fontId="141" type="noConversion"/>
  </si>
  <si>
    <t>年租金收入1670</t>
    <phoneticPr fontId="141" type="noConversion"/>
  </si>
  <si>
    <t>办公租金</t>
    <phoneticPr fontId="141" type="noConversion"/>
  </si>
  <si>
    <t>办公验证</t>
    <phoneticPr fontId="141" type="noConversion"/>
  </si>
  <si>
    <t>设定精装</t>
    <phoneticPr fontId="141" type="noConversion"/>
  </si>
  <si>
    <t>成本法</t>
    <phoneticPr fontId="141" type="noConversion"/>
  </si>
  <si>
    <t>总值</t>
    <phoneticPr fontId="141" type="noConversion"/>
  </si>
  <si>
    <t>楼面</t>
    <phoneticPr fontId="141" type="noConversion"/>
  </si>
  <si>
    <t>收益法</t>
    <phoneticPr fontId="141" type="noConversion"/>
  </si>
  <si>
    <t>楼面单价</t>
    <phoneticPr fontId="141" type="noConversion"/>
  </si>
  <si>
    <t>成本</t>
    <phoneticPr fontId="141" type="noConversion"/>
  </si>
  <si>
    <t>收益</t>
    <phoneticPr fontId="141" type="noConversion"/>
  </si>
  <si>
    <t>建安6000</t>
    <phoneticPr fontId="141" type="noConversion"/>
  </si>
  <si>
    <t>总值</t>
    <phoneticPr fontId="141" type="noConversion"/>
  </si>
  <si>
    <t>扣除3000装修</t>
    <phoneticPr fontId="141" type="noConversion"/>
  </si>
  <si>
    <t>扣除2000装修</t>
    <phoneticPr fontId="141" type="noConversion"/>
  </si>
  <si>
    <t>3000建安</t>
    <phoneticPr fontId="141" type="noConversion"/>
  </si>
  <si>
    <t>非个人房产</t>
  </si>
  <si>
    <t>7%五年</t>
    <phoneticPr fontId="4" type="noConversion"/>
  </si>
  <si>
    <r>
      <t>按总建筑面积每㎡</t>
    </r>
    <r>
      <rPr>
        <sz val="10.5"/>
        <color indexed="8"/>
        <rFont val="Times New Roman"/>
        <family val="1"/>
      </rPr>
      <t>500</t>
    </r>
    <r>
      <rPr>
        <sz val="10.5"/>
        <color indexed="8"/>
        <rFont val="宋体"/>
        <family val="3"/>
        <charset val="134"/>
      </rPr>
      <t>元测算</t>
    </r>
    <phoneticPr fontId="141" type="noConversion"/>
  </si>
  <si>
    <t>六通</t>
    <phoneticPr fontId="32" type="noConversion"/>
  </si>
  <si>
    <t>五通</t>
    <phoneticPr fontId="32" type="noConversion"/>
  </si>
  <si>
    <t>四通</t>
    <phoneticPr fontId="32" type="noConversion"/>
  </si>
  <si>
    <t>三通</t>
  </si>
  <si>
    <t>三通</t>
    <phoneticPr fontId="32" type="noConversion"/>
  </si>
  <si>
    <t>佳兆业江阴可域酒店项目建设规模</t>
    <phoneticPr fontId="4" type="noConversion"/>
  </si>
  <si>
    <t>酒店功能</t>
    <phoneticPr fontId="4" type="noConversion"/>
  </si>
  <si>
    <t>描述</t>
  </si>
  <si>
    <t>建筑数据（㎡）</t>
  </si>
  <si>
    <t>楼层分布</t>
    <phoneticPr fontId="4" type="noConversion"/>
  </si>
  <si>
    <t>间/个</t>
  </si>
  <si>
    <t>单位面积</t>
  </si>
  <si>
    <t>总面积</t>
  </si>
  <si>
    <t>占比%</t>
    <phoneticPr fontId="4" type="noConversion"/>
  </si>
  <si>
    <t>酒店大堂</t>
    <phoneticPr fontId="4" type="noConversion"/>
  </si>
  <si>
    <t>大堂（含前厅及办公）</t>
  </si>
  <si>
    <r>
      <t>1</t>
    </r>
    <r>
      <rPr>
        <sz val="10"/>
        <color indexed="8"/>
        <rFont val="宋体"/>
        <family val="3"/>
        <charset val="134"/>
      </rPr>
      <t>-2</t>
    </r>
    <phoneticPr fontId="4" type="noConversion"/>
  </si>
  <si>
    <t>酒店客房</t>
    <phoneticPr fontId="4" type="noConversion"/>
  </si>
  <si>
    <t>客房标准间</t>
  </si>
  <si>
    <t>4-19</t>
    <phoneticPr fontId="4" type="noConversion"/>
  </si>
  <si>
    <t>间</t>
  </si>
  <si>
    <t>客房套房</t>
  </si>
  <si>
    <r>
      <t>1</t>
    </r>
    <r>
      <rPr>
        <sz val="10"/>
        <color indexed="8"/>
        <rFont val="宋体"/>
        <family val="3"/>
        <charset val="134"/>
      </rPr>
      <t>2-19</t>
    </r>
    <phoneticPr fontId="4" type="noConversion"/>
  </si>
  <si>
    <t>总统套房</t>
  </si>
  <si>
    <r>
      <t>1</t>
    </r>
    <r>
      <rPr>
        <sz val="10"/>
        <color indexed="8"/>
        <rFont val="宋体"/>
        <family val="3"/>
        <charset val="134"/>
      </rPr>
      <t>9</t>
    </r>
    <phoneticPr fontId="4" type="noConversion"/>
  </si>
  <si>
    <t>公区</t>
  </si>
  <si>
    <r>
      <t>1</t>
    </r>
    <r>
      <rPr>
        <sz val="10"/>
        <color indexed="8"/>
        <rFont val="宋体"/>
        <family val="3"/>
        <charset val="134"/>
      </rPr>
      <t>-19</t>
    </r>
    <phoneticPr fontId="4" type="noConversion"/>
  </si>
  <si>
    <t>个</t>
    <phoneticPr fontId="4" type="noConversion"/>
  </si>
  <si>
    <t>---</t>
    <phoneticPr fontId="4" type="noConversion"/>
  </si>
  <si>
    <t>餐饮\会议</t>
    <phoneticPr fontId="4" type="noConversion"/>
  </si>
  <si>
    <t>酒吧（大堂吧）</t>
  </si>
  <si>
    <t>个</t>
  </si>
  <si>
    <t>西餐厅</t>
  </si>
  <si>
    <t>2</t>
    <phoneticPr fontId="4" type="noConversion"/>
  </si>
  <si>
    <t>特色餐厅</t>
  </si>
  <si>
    <t>中餐厅</t>
  </si>
  <si>
    <t>宴会前厅</t>
    <phoneticPr fontId="4" type="noConversion"/>
  </si>
  <si>
    <t>会议室</t>
    <phoneticPr fontId="4" type="noConversion"/>
  </si>
  <si>
    <t>---</t>
  </si>
  <si>
    <t>康乐</t>
    <phoneticPr fontId="4" type="noConversion"/>
  </si>
  <si>
    <t>棋牌室</t>
  </si>
  <si>
    <t>室内健身中心</t>
  </si>
  <si>
    <t>游乐场</t>
    <phoneticPr fontId="4" type="noConversion"/>
  </si>
  <si>
    <t>娱乐</t>
    <phoneticPr fontId="4" type="noConversion"/>
  </si>
  <si>
    <t xml:space="preserve">KTV </t>
  </si>
  <si>
    <t>SPA</t>
  </si>
  <si>
    <t>淋浴、更衣、美发等</t>
    <phoneticPr fontId="4" type="noConversion"/>
  </si>
  <si>
    <t>商务中心</t>
  </si>
  <si>
    <t>商场/西饼店</t>
  </si>
  <si>
    <t>停车位</t>
  </si>
  <si>
    <r>
      <t>-</t>
    </r>
    <r>
      <rPr>
        <sz val="10"/>
        <color indexed="8"/>
        <rFont val="宋体"/>
        <family val="3"/>
        <charset val="134"/>
      </rPr>
      <t>1-2</t>
    </r>
    <phoneticPr fontId="4" type="noConversion"/>
  </si>
  <si>
    <t>后勤与机电</t>
    <phoneticPr fontId="4" type="noConversion"/>
  </si>
  <si>
    <t>合计</t>
    <phoneticPr fontId="4" type="noConversion"/>
  </si>
  <si>
    <t xml:space="preserve">各类5星级规格客房数量合计为644间31207平方米。 </t>
    <phoneticPr fontId="141" type="noConversion"/>
  </si>
  <si>
    <t>餐饮/娱乐类项目 13653平方米</t>
    <phoneticPr fontId="141" type="noConversion"/>
  </si>
  <si>
    <t>否</t>
  </si>
  <si>
    <t>出让金+开发费</t>
  </si>
  <si>
    <t>江苏省无锡市江阴市东外环路410号酒店用房</t>
    <phoneticPr fontId="7" type="noConversion"/>
  </si>
  <si>
    <t>较规则</t>
  </si>
  <si>
    <t>较规则</t>
    <phoneticPr fontId="32" type="noConversion"/>
  </si>
  <si>
    <t>较适宜</t>
  </si>
  <si>
    <t>较适宜</t>
    <phoneticPr fontId="32" type="noConversion"/>
  </si>
  <si>
    <t>较好</t>
    <phoneticPr fontId="32" type="noConversion"/>
  </si>
  <si>
    <t>比较因素</t>
  </si>
  <si>
    <t>估价对象</t>
  </si>
  <si>
    <t>案例A</t>
  </si>
  <si>
    <t>案例B</t>
  </si>
  <si>
    <t>案例C</t>
  </si>
  <si>
    <t>修正幅度</t>
  </si>
  <si>
    <t>项目位置</t>
  </si>
  <si>
    <t>系数%</t>
  </si>
  <si>
    <t>交易时间</t>
  </si>
  <si>
    <t>交易情况</t>
  </si>
  <si>
    <t>权益状况</t>
  </si>
  <si>
    <t>土地使用年限（年）</t>
  </si>
  <si>
    <t>40</t>
  </si>
  <si>
    <t>商业繁华度</t>
  </si>
  <si>
    <t>交通便捷度</t>
  </si>
  <si>
    <t>自然及人文环境状况</t>
  </si>
  <si>
    <t>公共配套设施</t>
  </si>
  <si>
    <t>基础设施水平</t>
  </si>
  <si>
    <t>实物状况</t>
  </si>
  <si>
    <t>宗地面积</t>
  </si>
  <si>
    <t>宗地形状</t>
  </si>
  <si>
    <t>临街宽度及深度</t>
  </si>
  <si>
    <t>宗地开发程度</t>
  </si>
  <si>
    <t>工程地质条件</t>
  </si>
  <si>
    <t>区位状况</t>
    <phoneticPr fontId="141" type="noConversion"/>
  </si>
  <si>
    <t>——</t>
    <phoneticPr fontId="141" type="noConversion"/>
  </si>
  <si>
    <t>——</t>
    <phoneticPr fontId="141" type="noConversion"/>
  </si>
  <si>
    <r>
      <rPr>
        <b/>
        <sz val="11"/>
        <color theme="1"/>
        <rFont val="宋体"/>
        <family val="3"/>
        <charset val="134"/>
      </rPr>
      <t>比较价值（元</t>
    </r>
    <r>
      <rPr>
        <b/>
        <sz val="11"/>
        <color theme="1"/>
        <rFont val="Arial"/>
        <family val="2"/>
      </rPr>
      <t>/</t>
    </r>
    <r>
      <rPr>
        <b/>
        <sz val="11"/>
        <color theme="1"/>
        <rFont val="宋体"/>
        <family val="3"/>
        <charset val="134"/>
      </rPr>
      <t>平方米）</t>
    </r>
    <phoneticPr fontId="141" type="noConversion"/>
  </si>
  <si>
    <r>
      <rPr>
        <b/>
        <sz val="11"/>
        <color theme="1"/>
        <rFont val="宋体"/>
        <family val="3"/>
        <charset val="134"/>
      </rPr>
      <t>楼面地价（元</t>
    </r>
    <r>
      <rPr>
        <b/>
        <sz val="11"/>
        <color theme="1"/>
        <rFont val="Arial"/>
        <family val="2"/>
      </rPr>
      <t>/</t>
    </r>
    <r>
      <rPr>
        <b/>
        <sz val="11"/>
        <color theme="1"/>
        <rFont val="宋体"/>
        <family val="3"/>
        <charset val="134"/>
      </rPr>
      <t>平方米）</t>
    </r>
    <phoneticPr fontId="141" type="noConversion"/>
  </si>
  <si>
    <r>
      <rPr>
        <b/>
        <sz val="11"/>
        <color theme="1"/>
        <rFont val="宋体"/>
        <family val="3"/>
        <charset val="134"/>
      </rPr>
      <t>楼面单价（元</t>
    </r>
    <r>
      <rPr>
        <b/>
        <sz val="11"/>
        <color theme="1"/>
        <rFont val="Arial"/>
        <family val="2"/>
      </rPr>
      <t>/</t>
    </r>
    <r>
      <rPr>
        <b/>
        <sz val="11"/>
        <color theme="1"/>
        <rFont val="宋体"/>
        <family val="3"/>
        <charset val="134"/>
      </rPr>
      <t>平方米）</t>
    </r>
    <phoneticPr fontId="141" type="noConversion"/>
  </si>
  <si>
    <r>
      <rPr>
        <sz val="11"/>
        <color theme="1"/>
        <rFont val="宋体"/>
        <family val="3"/>
        <charset val="134"/>
      </rPr>
      <t>江阴市东外环路</t>
    </r>
    <r>
      <rPr>
        <sz val="11"/>
        <color theme="1"/>
        <rFont val="Arial"/>
        <family val="2"/>
      </rPr>
      <t>410</t>
    </r>
    <r>
      <rPr>
        <sz val="11"/>
        <color theme="1"/>
        <rFont val="宋体"/>
        <family val="3"/>
        <charset val="134"/>
      </rPr>
      <t>号</t>
    </r>
    <phoneticPr fontId="141" type="noConversion"/>
  </si>
  <si>
    <t>收益法（无租约及租期内）</t>
  </si>
  <si>
    <t>收益年期(总)</t>
  </si>
  <si>
    <t>万元</t>
  </si>
  <si>
    <t>楼面单价</t>
  </si>
  <si>
    <t>元/平方米</t>
  </si>
  <si>
    <t>数额</t>
  </si>
  <si>
    <t>计算公式</t>
  </si>
  <si>
    <t>取费标准</t>
  </si>
  <si>
    <t>未来第一年年总收益</t>
  </si>
  <si>
    <t>年租金收入+押金利息收入+其他收入</t>
  </si>
  <si>
    <t>（1）</t>
  </si>
  <si>
    <t>年租金收入（年经营收入）</t>
  </si>
  <si>
    <t>租金×天数×建筑面积×（1-空置率）</t>
  </si>
  <si>
    <t>租金</t>
  </si>
  <si>
    <t>面积/个数</t>
  </si>
  <si>
    <t>天/月</t>
  </si>
  <si>
    <t>空置率（%）</t>
  </si>
  <si>
    <t>（2）</t>
  </si>
  <si>
    <t>押金利息收入</t>
  </si>
  <si>
    <t>押金×一年期存款利率</t>
  </si>
  <si>
    <t>押金方式</t>
  </si>
  <si>
    <t>（自定义押金）单位：元</t>
  </si>
  <si>
    <t>一年期存款利率</t>
  </si>
  <si>
    <t>（3）</t>
  </si>
  <si>
    <t>其他收入</t>
  </si>
  <si>
    <t>建筑物现值</t>
  </si>
  <si>
    <t>建筑物重置价值×成新度</t>
  </si>
  <si>
    <t>成新度（%）</t>
  </si>
  <si>
    <t>1）</t>
  </si>
  <si>
    <t>建安费用</t>
  </si>
  <si>
    <t>建安单价×建筑面积</t>
  </si>
  <si>
    <t>2）</t>
  </si>
  <si>
    <t>勘察设计和前期工程费</t>
  </si>
  <si>
    <t>建安费用×费率</t>
  </si>
  <si>
    <t>费率（%）</t>
  </si>
  <si>
    <t>3）</t>
  </si>
  <si>
    <t>公共配套设施费用</t>
  </si>
  <si>
    <t>4）</t>
  </si>
  <si>
    <t>基础设施建设费</t>
  </si>
  <si>
    <t>建筑面积×取费标准</t>
  </si>
  <si>
    <t>市政费用（元/㎡）</t>
  </si>
  <si>
    <t>5）</t>
  </si>
  <si>
    <t>相关税费</t>
  </si>
  <si>
    <t>建造成本</t>
  </si>
  <si>
    <t>建安费用+公共配套设施费用+基础设施建设费+相关税费</t>
  </si>
  <si>
    <t>建造成本×费率</t>
  </si>
  <si>
    <t>建筑物重置价值×费率</t>
  </si>
  <si>
    <t>销售费率（%）</t>
  </si>
  <si>
    <t>（4）</t>
  </si>
  <si>
    <t>贷款利息</t>
  </si>
  <si>
    <t>复利计息。建造成本、管理费用、销售费用产生的利息。</t>
  </si>
  <si>
    <t>（1）及（2）项产生的利息</t>
  </si>
  <si>
    <t>(建造成本+管理费用)×((1+利率)^(建设周期÷2)-1)</t>
  </si>
  <si>
    <t>建设周期（年）</t>
  </si>
  <si>
    <t>销售费用产生的利息</t>
  </si>
  <si>
    <t>销售费用×((1+利率)^(建设周期÷2)-1)</t>
  </si>
  <si>
    <t>利息（%）</t>
  </si>
  <si>
    <t>（5）</t>
  </si>
  <si>
    <t>利润</t>
  </si>
  <si>
    <t>（建造成本+管理费用+销售费用）×利润率</t>
  </si>
  <si>
    <t>（1）及（2）项产生的利润</t>
  </si>
  <si>
    <t>（建造成本+管理费用）×利润率</t>
  </si>
  <si>
    <t>利润率（%）</t>
  </si>
  <si>
    <t>销售费用产生的利润</t>
  </si>
  <si>
    <t>销售费用×利润率</t>
  </si>
  <si>
    <t>（6）</t>
  </si>
  <si>
    <t>销售税费</t>
  </si>
  <si>
    <t>建筑物重置价值×费率/(1+5%)</t>
  </si>
  <si>
    <t>（7）</t>
  </si>
  <si>
    <t>建筑物重置价值（V建）</t>
  </si>
  <si>
    <t>3</t>
  </si>
  <si>
    <t>年经营费用</t>
  </si>
  <si>
    <t>税费+维修费+保险费+管理费</t>
  </si>
  <si>
    <t>税  费</t>
  </si>
  <si>
    <t>两税一费+房产税+城镇土地使用税</t>
  </si>
  <si>
    <t>综合税率</t>
  </si>
  <si>
    <t>两税两费</t>
  </si>
  <si>
    <t>年总收益×费率/(1+5%)</t>
  </si>
  <si>
    <t>房产税</t>
  </si>
  <si>
    <t>城镇土地使用税</t>
  </si>
  <si>
    <t>土地面积×取费标准</t>
  </si>
  <si>
    <t>纳税标准（元/㎡）</t>
  </si>
  <si>
    <t>土地面积（㎡）</t>
  </si>
  <si>
    <t>维修费</t>
  </si>
  <si>
    <t>建筑物重置价格×维修费率</t>
  </si>
  <si>
    <t>保险费</t>
  </si>
  <si>
    <t>现值×保险费率</t>
  </si>
  <si>
    <t>年总收益×费率</t>
  </si>
  <si>
    <t>4</t>
  </si>
  <si>
    <t>房地产未来第一年净收益</t>
  </si>
  <si>
    <t>年总收益-年经营费用</t>
  </si>
  <si>
    <t>5</t>
  </si>
  <si>
    <t>收益价值</t>
  </si>
  <si>
    <t>房地产未来第一年净收益×</t>
  </si>
  <si>
    <t>报酬率（Y）</t>
  </si>
  <si>
    <t>[1-（(1+g)/(1+Y)） ^n ]/(Y-g)</t>
  </si>
  <si>
    <t>收益年期(n)</t>
  </si>
  <si>
    <t>年增长比率(g)</t>
  </si>
  <si>
    <t>6</t>
  </si>
  <si>
    <t>单价(元/平方米)</t>
  </si>
  <si>
    <t>收益价值÷建筑面积</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</si>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</sst>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0"/>
    <numFmt numFmtId="199" formatCode="0.00;\-0.00"/>
    <numFmt numFmtId="200" formatCode="_ * #,##0_ ;_ * \-#,##0_ ;_ * &quot;-&quot;??_ ;_ @_ "/>
    <numFmt numFmtId="201" formatCode="#,##0_);[Red]\(#,##0\)"/>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6"/>
      <name val="黑体"/>
      <family val="3"/>
      <charset val="134"/>
    </font>
    <font>
      <b/>
      <sz val="16"/>
      <name val="黑体"/>
      <family val="3"/>
      <charset val="134"/>
    </font>
    <font>
      <sz val="9"/>
      <name val="黑体"/>
      <family val="3"/>
      <charset val="134"/>
    </font>
    <font>
      <sz val="9"/>
      <name val="Arial"/>
      <family val="2"/>
    </font>
    <font>
      <sz val="9"/>
      <name val="Times New Roman"/>
      <family val="1"/>
    </font>
    <font>
      <b/>
      <sz val="16"/>
      <color indexed="8"/>
      <name val="黑体"/>
      <family val="3"/>
      <charset val="134"/>
    </font>
    <font>
      <sz val="9"/>
      <color indexed="8"/>
      <name val="Times New Roman"/>
      <family val="1"/>
    </font>
    <font>
      <b/>
      <sz val="10.5"/>
      <color rgb="FF000000"/>
      <name val="宋体"/>
      <family val="3"/>
      <charset val="134"/>
    </font>
    <font>
      <sz val="10.5"/>
      <color rgb="FF000000"/>
      <name val="宋体"/>
      <family val="3"/>
      <charset val="134"/>
    </font>
    <font>
      <sz val="10.5"/>
      <color indexed="8"/>
      <name val="宋体"/>
      <family val="3"/>
      <charset val="134"/>
    </font>
    <font>
      <sz val="10.5"/>
      <color rgb="FF000000"/>
      <name val="Times New Roman"/>
      <family val="1"/>
    </font>
    <font>
      <sz val="10.5"/>
      <color indexed="8"/>
      <name val="Times New Roman"/>
      <family val="1"/>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C00"/>
        <bgColor indexed="64"/>
      </patternFill>
    </fill>
    <fill>
      <patternFill patternType="solid">
        <fgColor rgb="FFCCFFCC"/>
        <bgColor indexed="64"/>
      </patternFill>
    </fill>
    <fill>
      <patternFill patternType="solid">
        <fgColor rgb="FFFFFF99"/>
        <bgColor indexed="64"/>
      </patternFill>
    </fill>
    <fill>
      <patternFill patternType="solid">
        <fgColor rgb="FFFFCC99"/>
        <bgColor indexed="64"/>
      </patternFill>
    </fill>
    <fill>
      <patternFill patternType="solid">
        <fgColor indexed="51"/>
        <bgColor indexed="8"/>
      </patternFill>
    </fill>
    <fill>
      <patternFill patternType="solid">
        <fgColor indexed="43"/>
        <bgColor indexed="8"/>
      </patternFill>
    </fill>
    <fill>
      <patternFill patternType="solid">
        <fgColor indexed="42"/>
        <bgColor indexed="8"/>
      </patternFill>
    </fill>
    <fill>
      <patternFill patternType="solid">
        <fgColor indexed="47"/>
        <bgColor indexed="8"/>
      </patternFill>
    </fill>
    <fill>
      <patternFill patternType="solid">
        <fgColor rgb="FFE0E0E0"/>
        <bgColor indexed="64"/>
      </patternFill>
    </fill>
    <fill>
      <patternFill patternType="solid">
        <fgColor rgb="FF00B0F0"/>
        <bgColor indexed="64"/>
      </patternFill>
    </fill>
    <fill>
      <patternFill patternType="solid">
        <fgColor theme="0" tint="-0.149998474074526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rgb="FF000000"/>
      </left>
      <right style="thin">
        <color auto="1"/>
      </right>
      <top style="thin">
        <color rgb="FF000000"/>
      </top>
      <bottom style="thin">
        <color auto="1"/>
      </bottom>
      <diagonal/>
    </border>
    <border>
      <left style="thin">
        <color rgb="FF000000"/>
      </left>
      <right style="thin">
        <color rgb="FF000000"/>
      </right>
      <top style="thin">
        <color rgb="FF000000"/>
      </top>
      <bottom style="thin">
        <color auto="1"/>
      </bottom>
      <diagonal/>
    </border>
    <border>
      <left/>
      <right/>
      <top style="thin">
        <color rgb="FF000000"/>
      </top>
      <bottom/>
      <diagonal/>
    </border>
    <border>
      <left style="thin">
        <color rgb="FF000000"/>
      </left>
      <right/>
      <top style="thin">
        <color rgb="FF000000"/>
      </top>
      <bottom style="thin">
        <color auto="1"/>
      </bottom>
      <diagonal/>
    </border>
    <border>
      <left/>
      <right style="thin">
        <color auto="1"/>
      </right>
      <top style="thin">
        <color rgb="FF000000"/>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s>
  <cellStyleXfs count="24">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56" fillId="0" borderId="0"/>
    <xf numFmtId="0" fontId="168" fillId="0" borderId="0"/>
    <xf numFmtId="0" fontId="1" fillId="0" borderId="0">
      <alignment vertical="center"/>
    </xf>
    <xf numFmtId="176" fontId="99" fillId="0" borderId="0" applyFont="0" applyFill="0" applyBorder="0" applyAlignment="0" applyProtection="0">
      <alignment vertical="center"/>
    </xf>
    <xf numFmtId="9" fontId="99" fillId="0" borderId="0" applyFont="0" applyFill="0" applyBorder="0" applyAlignment="0" applyProtection="0">
      <alignment vertical="center"/>
    </xf>
    <xf numFmtId="176" fontId="99" fillId="0" borderId="0" applyFont="0" applyFill="0" applyBorder="0" applyAlignment="0" applyProtection="0">
      <alignment vertical="center"/>
    </xf>
    <xf numFmtId="9" fontId="99" fillId="0" borderId="0" applyFont="0" applyFill="0" applyBorder="0" applyAlignment="0" applyProtection="0">
      <alignment vertical="center"/>
    </xf>
  </cellStyleXfs>
  <cellXfs count="370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4" fillId="6" borderId="1" xfId="0" applyNumberFormat="1" applyFont="1" applyFill="1" applyBorder="1" applyAlignment="1" applyProtection="1">
      <alignment horizontal="center" vertical="center"/>
    </xf>
    <xf numFmtId="177" fontId="104"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0"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4"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2"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4"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80"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8"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5"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7" fontId="104" fillId="6" borderId="1" xfId="8" applyNumberFormat="1" applyFont="1" applyFill="1" applyBorder="1" applyAlignment="1" applyProtection="1">
      <alignment horizontal="center" vertical="center"/>
    </xf>
    <xf numFmtId="178" fontId="119" fillId="6" borderId="1" xfId="8" applyNumberFormat="1" applyFont="1" applyFill="1" applyBorder="1" applyAlignment="1" applyProtection="1">
      <alignment horizontal="center" vertical="center"/>
    </xf>
    <xf numFmtId="188"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8"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8"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5"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7"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7"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8"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8"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88" fontId="104" fillId="6" borderId="1" xfId="0" applyNumberFormat="1" applyFont="1" applyFill="1" applyBorder="1" applyAlignment="1" applyProtection="1">
      <alignment horizontal="center" vertical="center"/>
    </xf>
    <xf numFmtId="178" fontId="119" fillId="6" borderId="1" xfId="0" applyNumberFormat="1" applyFont="1" applyFill="1" applyBorder="1" applyAlignment="1" applyProtection="1">
      <alignment horizontal="center" vertical="center"/>
    </xf>
    <xf numFmtId="188" fontId="119" fillId="6" borderId="1" xfId="0" applyNumberFormat="1" applyFont="1" applyFill="1" applyBorder="1" applyAlignment="1" applyProtection="1">
      <alignment horizontal="center" vertical="center" wrapText="1"/>
    </xf>
    <xf numFmtId="187" fontId="104" fillId="6" borderId="2" xfId="0" applyNumberFormat="1" applyFont="1" applyFill="1" applyBorder="1" applyAlignment="1" applyProtection="1">
      <alignment horizontal="center" vertical="center" wrapText="1"/>
    </xf>
    <xf numFmtId="180"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2"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7"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7"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8"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7" fontId="107" fillId="12" borderId="123" xfId="9" applyNumberFormat="1" applyFont="1" applyFill="1" applyBorder="1" applyAlignment="1" applyProtection="1">
      <alignment horizontal="left" vertical="center" wrapText="1"/>
    </xf>
    <xf numFmtId="187"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7" fontId="107" fillId="12" borderId="123" xfId="9" applyNumberFormat="1" applyFont="1" applyFill="1" applyBorder="1" applyAlignment="1">
      <alignment horizontal="left" vertical="center" wrapText="1"/>
    </xf>
    <xf numFmtId="187" fontId="107" fillId="12" borderId="129" xfId="9" applyNumberFormat="1" applyFont="1" applyFill="1" applyBorder="1" applyAlignment="1">
      <alignment horizontal="left" vertical="center" wrapText="1"/>
    </xf>
    <xf numFmtId="182" fontId="104" fillId="0" borderId="121" xfId="9" applyNumberFormat="1" applyFont="1" applyBorder="1" applyAlignment="1">
      <alignment horizontal="left" vertical="center"/>
    </xf>
    <xf numFmtId="182"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7" fontId="107" fillId="12" borderId="126" xfId="9" applyNumberFormat="1" applyFont="1" applyFill="1" applyBorder="1" applyAlignment="1">
      <alignment horizontal="left" vertical="center" wrapText="1"/>
    </xf>
    <xf numFmtId="187"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7"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8"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7" fontId="107" fillId="12" borderId="132" xfId="9" applyNumberFormat="1" applyFont="1" applyFill="1" applyBorder="1" applyAlignment="1">
      <alignment horizontal="left" vertical="center" wrapText="1"/>
    </xf>
    <xf numFmtId="187" fontId="107" fillId="12" borderId="136" xfId="9" applyNumberFormat="1" applyFont="1" applyFill="1" applyBorder="1" applyAlignment="1">
      <alignment horizontal="left" vertical="center" wrapText="1"/>
    </xf>
    <xf numFmtId="187" fontId="104" fillId="14" borderId="0" xfId="9" applyNumberFormat="1" applyFont="1" applyFill="1" applyAlignment="1">
      <alignment horizontal="left" vertical="center"/>
    </xf>
    <xf numFmtId="187"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8"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9"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9"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1" fontId="104" fillId="0" borderId="0" xfId="9" applyNumberFormat="1" applyFont="1" applyAlignment="1">
      <alignment horizontal="left" vertical="center"/>
    </xf>
    <xf numFmtId="181" fontId="104" fillId="0" borderId="121" xfId="9" applyNumberFormat="1" applyFont="1" applyBorder="1" applyAlignment="1">
      <alignment horizontal="left" vertical="center"/>
    </xf>
    <xf numFmtId="178"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1"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9"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1" fontId="119" fillId="0" borderId="0" xfId="9" applyNumberFormat="1" applyFont="1" applyAlignment="1">
      <alignment horizontal="left" vertical="center"/>
    </xf>
    <xf numFmtId="181"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2"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2" fontId="53" fillId="19" borderId="68" xfId="0" applyNumberFormat="1" applyFont="1" applyFill="1" applyBorder="1" applyAlignment="1" applyProtection="1">
      <alignment horizontal="left" vertical="center" wrapText="1"/>
      <protection locked="0"/>
    </xf>
    <xf numFmtId="177" fontId="54" fillId="19" borderId="48" xfId="0" applyNumberFormat="1" applyFont="1" applyFill="1" applyBorder="1" applyAlignment="1" applyProtection="1">
      <alignment horizontal="left" vertical="center" wrapText="1"/>
    </xf>
    <xf numFmtId="177"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3" fontId="125" fillId="0" borderId="1" xfId="5" applyNumberFormat="1" applyFont="1" applyFill="1" applyBorder="1" applyAlignment="1">
      <alignment horizontal="left" vertical="center"/>
    </xf>
    <xf numFmtId="193"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5"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3"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5"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5"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5"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8"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80"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4"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2"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8" fontId="57" fillId="6" borderId="2" xfId="0" applyNumberFormat="1" applyFont="1" applyFill="1" applyBorder="1" applyAlignment="1" applyProtection="1">
      <alignment horizontal="left" vertical="center" wrapText="1"/>
    </xf>
    <xf numFmtId="178" fontId="56" fillId="6" borderId="1" xfId="0" applyNumberFormat="1" applyFont="1" applyFill="1" applyBorder="1" applyAlignment="1" applyProtection="1">
      <alignment horizontal="left" vertical="center" wrapText="1"/>
    </xf>
    <xf numFmtId="178"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8" fontId="57" fillId="6" borderId="1" xfId="0" applyNumberFormat="1" applyFont="1" applyFill="1" applyBorder="1" applyAlignment="1" applyProtection="1">
      <alignment horizontal="left" vertical="center" wrapText="1"/>
    </xf>
    <xf numFmtId="178"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8"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2"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2"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2"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8" fontId="50" fillId="6" borderId="58" xfId="0" applyNumberFormat="1" applyFont="1" applyFill="1" applyBorder="1" applyAlignment="1" applyProtection="1">
      <alignment horizontal="center" vertical="center" wrapText="1"/>
      <protection locked="0"/>
    </xf>
    <xf numFmtId="180" fontId="50" fillId="6" borderId="58" xfId="0" applyNumberFormat="1" applyFont="1" applyFill="1" applyBorder="1" applyAlignment="1" applyProtection="1">
      <alignment horizontal="center" vertical="center" wrapText="1"/>
      <protection locked="0"/>
    </xf>
    <xf numFmtId="180"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5"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5"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80" fontId="50" fillId="13" borderId="0" xfId="0" applyNumberFormat="1" applyFont="1" applyFill="1" applyAlignment="1" applyProtection="1">
      <alignment vertical="center"/>
      <protection locked="0"/>
    </xf>
    <xf numFmtId="180"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80"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2" fontId="103" fillId="13" borderId="0" xfId="0" applyNumberFormat="1" applyFont="1" applyFill="1" applyAlignment="1" applyProtection="1">
      <alignment horizontal="center" vertical="center"/>
    </xf>
    <xf numFmtId="180"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2"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80"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8"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2"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2"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2"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2"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2" fontId="52" fillId="13" borderId="0" xfId="0" applyNumberFormat="1" applyFont="1" applyFill="1" applyBorder="1" applyAlignment="1" applyProtection="1">
      <alignment horizontal="center" vertical="center" wrapText="1"/>
      <protection locked="0"/>
    </xf>
    <xf numFmtId="182"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2"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2" fontId="54" fillId="13" borderId="0" xfId="0" applyNumberFormat="1" applyFont="1" applyFill="1" applyAlignment="1" applyProtection="1">
      <alignment horizontal="center" vertical="center"/>
      <protection locked="0"/>
    </xf>
    <xf numFmtId="182"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90"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7" fontId="54" fillId="13" borderId="0" xfId="0" applyNumberFormat="1" applyFont="1" applyFill="1" applyAlignment="1" applyProtection="1">
      <alignment horizontal="center" vertical="center"/>
      <protection locked="0"/>
    </xf>
    <xf numFmtId="190" fontId="71" fillId="13" borderId="0" xfId="0" applyNumberFormat="1" applyFont="1" applyFill="1" applyAlignment="1" applyProtection="1">
      <alignment horizontal="center" vertical="center"/>
      <protection locked="0"/>
    </xf>
    <xf numFmtId="182"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7"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80" fillId="7" borderId="5" xfId="0" applyFont="1" applyFill="1" applyBorder="1" applyAlignment="1" applyProtection="1">
      <alignment vertical="center"/>
      <protection locked="0"/>
    </xf>
    <xf numFmtId="49" fontId="236" fillId="13" borderId="4" xfId="0" applyNumberFormat="1" applyFont="1" applyFill="1" applyBorder="1" applyAlignment="1" applyProtection="1">
      <alignment horizontal="left" vertical="center"/>
      <protection locked="0"/>
    </xf>
    <xf numFmtId="0" fontId="80" fillId="7" borderId="54"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49" fontId="236" fillId="0" borderId="24" xfId="0" applyNumberFormat="1" applyFont="1" applyFill="1" applyBorder="1" applyAlignment="1" applyProtection="1">
      <alignment vertical="center" wrapText="1"/>
      <protection locked="0"/>
    </xf>
    <xf numFmtId="0" fontId="236" fillId="0" borderId="24" xfId="0" applyFont="1" applyBorder="1" applyAlignment="1" applyProtection="1">
      <alignment vertical="center" wrapText="1"/>
      <protection locked="0"/>
    </xf>
    <xf numFmtId="0" fontId="236" fillId="0" borderId="49" xfId="0" applyFont="1" applyBorder="1" applyAlignment="1" applyProtection="1">
      <alignment vertical="center"/>
      <protection locked="0"/>
    </xf>
    <xf numFmtId="0" fontId="56" fillId="0" borderId="0" xfId="17"/>
    <xf numFmtId="0" fontId="56" fillId="6" borderId="0" xfId="17" applyFill="1"/>
    <xf numFmtId="0" fontId="56" fillId="5" borderId="0" xfId="17" applyFill="1"/>
    <xf numFmtId="0" fontId="98" fillId="0" borderId="9" xfId="0" applyNumberFormat="1" applyFont="1" applyFill="1" applyBorder="1" applyAlignment="1" applyProtection="1">
      <alignment horizontal="center" vertical="center" wrapText="1"/>
      <protection locked="0"/>
    </xf>
    <xf numFmtId="0" fontId="112" fillId="0" borderId="0" xfId="0" applyFont="1">
      <alignment vertical="center"/>
    </xf>
    <xf numFmtId="0" fontId="80" fillId="13" borderId="0" xfId="0" applyFont="1" applyFill="1" applyAlignment="1" applyProtection="1">
      <alignment horizontal="center" vertical="center"/>
      <protection locked="0"/>
    </xf>
    <xf numFmtId="0" fontId="20" fillId="0" borderId="1" xfId="17" applyFont="1" applyBorder="1" applyAlignment="1">
      <alignment horizontal="right"/>
    </xf>
    <xf numFmtId="0" fontId="56" fillId="0" borderId="1" xfId="17" applyBorder="1" applyAlignment="1">
      <alignment horizontal="left"/>
    </xf>
    <xf numFmtId="0" fontId="168" fillId="0" borderId="0" xfId="18"/>
    <xf numFmtId="0" fontId="1" fillId="0" borderId="0" xfId="19">
      <alignment vertical="center"/>
    </xf>
    <xf numFmtId="0" fontId="257" fillId="0" borderId="0" xfId="18" applyNumberFormat="1" applyFont="1" applyFill="1" applyBorder="1" applyAlignment="1" applyProtection="1">
      <alignment horizontal="right" vertical="center"/>
    </xf>
    <xf numFmtId="0" fontId="257" fillId="0" borderId="0" xfId="18" applyNumberFormat="1" applyFont="1" applyFill="1" applyBorder="1" applyAlignment="1" applyProtection="1">
      <alignment horizontal="center" vertical="center"/>
    </xf>
    <xf numFmtId="0" fontId="258" fillId="0" borderId="0" xfId="18" applyNumberFormat="1" applyFont="1" applyFill="1" applyBorder="1" applyAlignment="1" applyProtection="1">
      <alignment horizontal="right" vertical="center"/>
    </xf>
    <xf numFmtId="0" fontId="259" fillId="0" borderId="0" xfId="18" applyNumberFormat="1" applyFont="1" applyFill="1" applyBorder="1" applyAlignment="1" applyProtection="1"/>
    <xf numFmtId="0" fontId="259" fillId="0" borderId="0" xfId="18" applyNumberFormat="1" applyFont="1" applyFill="1" applyBorder="1" applyAlignment="1" applyProtection="1">
      <alignment horizontal="left"/>
    </xf>
    <xf numFmtId="0" fontId="258" fillId="0" borderId="0" xfId="18" applyNumberFormat="1" applyFont="1" applyFill="1" applyBorder="1" applyAlignment="1" applyProtection="1">
      <alignment horizontal="right"/>
    </xf>
    <xf numFmtId="0" fontId="258" fillId="0" borderId="60" xfId="18" applyNumberFormat="1" applyFont="1" applyFill="1" applyBorder="1" applyAlignment="1" applyProtection="1"/>
    <xf numFmtId="0" fontId="258" fillId="0" borderId="60" xfId="18" applyNumberFormat="1" applyFont="1" applyFill="1" applyBorder="1" applyAlignment="1" applyProtection="1">
      <alignment horizontal="left" vertical="center"/>
    </xf>
    <xf numFmtId="0" fontId="258" fillId="0" borderId="60" xfId="18" applyNumberFormat="1" applyFont="1" applyFill="1" applyBorder="1" applyAlignment="1" applyProtection="1">
      <alignment horizontal="right" vertical="center"/>
    </xf>
    <xf numFmtId="0" fontId="258" fillId="0" borderId="60" xfId="18" applyNumberFormat="1" applyFont="1" applyFill="1" applyBorder="1" applyAlignment="1" applyProtection="1">
      <alignment horizontal="left"/>
    </xf>
    <xf numFmtId="0" fontId="259" fillId="0" borderId="60" xfId="18" applyNumberFormat="1" applyFont="1" applyFill="1" applyBorder="1" applyAlignment="1" applyProtection="1">
      <alignment horizontal="left"/>
    </xf>
    <xf numFmtId="0" fontId="258" fillId="20" borderId="158" xfId="18" applyNumberFormat="1" applyFont="1" applyFill="1" applyBorder="1" applyAlignment="1" applyProtection="1">
      <alignment horizontal="center" vertical="center"/>
    </xf>
    <xf numFmtId="0" fontId="258" fillId="20" borderId="159" xfId="18" applyNumberFormat="1" applyFont="1" applyFill="1" applyBorder="1" applyAlignment="1" applyProtection="1">
      <alignment horizontal="center" vertical="center"/>
    </xf>
    <xf numFmtId="0" fontId="258" fillId="20" borderId="158" xfId="18" applyNumberFormat="1" applyFont="1" applyFill="1" applyBorder="1" applyAlignment="1" applyProtection="1"/>
    <xf numFmtId="0" fontId="258" fillId="20" borderId="159" xfId="18" applyNumberFormat="1" applyFont="1" applyFill="1" applyBorder="1" applyAlignment="1" applyProtection="1"/>
    <xf numFmtId="0" fontId="258" fillId="21" borderId="158" xfId="18" applyNumberFormat="1" applyFont="1" applyFill="1" applyBorder="1" applyAlignment="1" applyProtection="1"/>
    <xf numFmtId="198" fontId="258" fillId="21" borderId="158" xfId="18" applyNumberFormat="1" applyFont="1" applyFill="1" applyBorder="1" applyAlignment="1" applyProtection="1">
      <alignment horizontal="right" vertical="center"/>
    </xf>
    <xf numFmtId="198" fontId="258" fillId="21" borderId="159" xfId="18" applyNumberFormat="1" applyFont="1" applyFill="1" applyBorder="1" applyAlignment="1" applyProtection="1">
      <alignment horizontal="right" vertical="center"/>
    </xf>
    <xf numFmtId="0" fontId="258" fillId="22" borderId="158" xfId="18" applyNumberFormat="1" applyFont="1" applyFill="1" applyBorder="1" applyAlignment="1" applyProtection="1"/>
    <xf numFmtId="0" fontId="258" fillId="22" borderId="158" xfId="18" applyNumberFormat="1" applyFont="1" applyFill="1" applyBorder="1" applyAlignment="1" applyProtection="1">
      <alignment horizontal="right"/>
    </xf>
    <xf numFmtId="0" fontId="258" fillId="22" borderId="158" xfId="18" applyNumberFormat="1" applyFont="1" applyFill="1" applyBorder="1" applyAlignment="1" applyProtection="1">
      <alignment horizontal="right" vertical="center"/>
    </xf>
    <xf numFmtId="0" fontId="258" fillId="22" borderId="159" xfId="18" applyNumberFormat="1" applyFont="1" applyFill="1" applyBorder="1" applyAlignment="1" applyProtection="1">
      <alignment horizontal="right" vertical="center"/>
    </xf>
    <xf numFmtId="0" fontId="258" fillId="0" borderId="158" xfId="18" applyNumberFormat="1" applyFont="1" applyFill="1" applyBorder="1" applyAlignment="1" applyProtection="1"/>
    <xf numFmtId="198" fontId="258" fillId="0" borderId="158" xfId="18" applyNumberFormat="1" applyFont="1" applyFill="1" applyBorder="1" applyAlignment="1" applyProtection="1">
      <alignment horizontal="right" vertical="center"/>
    </xf>
    <xf numFmtId="198" fontId="258" fillId="0" borderId="159" xfId="18" applyNumberFormat="1" applyFont="1" applyFill="1" applyBorder="1" applyAlignment="1" applyProtection="1">
      <alignment horizontal="right" vertical="center"/>
    </xf>
    <xf numFmtId="0" fontId="259" fillId="0" borderId="158" xfId="18" applyNumberFormat="1" applyFont="1" applyFill="1" applyBorder="1" applyAlignment="1" applyProtection="1"/>
    <xf numFmtId="39" fontId="258" fillId="0" borderId="158" xfId="18" applyNumberFormat="1" applyFont="1" applyFill="1" applyBorder="1" applyAlignment="1" applyProtection="1">
      <alignment horizontal="right"/>
    </xf>
    <xf numFmtId="39" fontId="258" fillId="0" borderId="158" xfId="18" applyNumberFormat="1" applyFont="1" applyFill="1" applyBorder="1" applyAlignment="1" applyProtection="1">
      <alignment horizontal="right" vertical="center"/>
    </xf>
    <xf numFmtId="39" fontId="258" fillId="0" borderId="159" xfId="18" applyNumberFormat="1" applyFont="1" applyFill="1" applyBorder="1" applyAlignment="1" applyProtection="1">
      <alignment horizontal="right" vertical="center"/>
    </xf>
    <xf numFmtId="0" fontId="259" fillId="21" borderId="158" xfId="18" applyNumberFormat="1" applyFont="1" applyFill="1" applyBorder="1" applyAlignment="1" applyProtection="1"/>
    <xf numFmtId="39" fontId="258" fillId="0" borderId="159" xfId="18" applyNumberFormat="1" applyFont="1" applyFill="1" applyBorder="1" applyAlignment="1" applyProtection="1">
      <alignment horizontal="right"/>
    </xf>
    <xf numFmtId="39" fontId="258" fillId="21" borderId="158" xfId="18" applyNumberFormat="1" applyFont="1" applyFill="1" applyBorder="1" applyAlignment="1" applyProtection="1">
      <alignment horizontal="right"/>
    </xf>
    <xf numFmtId="39" fontId="258" fillId="21" borderId="158" xfId="18" applyNumberFormat="1" applyFont="1" applyFill="1" applyBorder="1" applyAlignment="1" applyProtection="1">
      <alignment horizontal="right" vertical="center"/>
    </xf>
    <xf numFmtId="0" fontId="258" fillId="0" borderId="158" xfId="18" applyNumberFormat="1" applyFont="1" applyFill="1" applyBorder="1" applyAlignment="1" applyProtection="1">
      <alignment horizontal="left"/>
    </xf>
    <xf numFmtId="39" fontId="258" fillId="21" borderId="159" xfId="18" applyNumberFormat="1" applyFont="1" applyFill="1" applyBorder="1" applyAlignment="1" applyProtection="1">
      <alignment horizontal="right" vertical="center"/>
    </xf>
    <xf numFmtId="39" fontId="258" fillId="22" borderId="158" xfId="18" applyNumberFormat="1" applyFont="1" applyFill="1" applyBorder="1" applyAlignment="1" applyProtection="1">
      <alignment horizontal="right"/>
    </xf>
    <xf numFmtId="39" fontId="258" fillId="22" borderId="158" xfId="18" applyNumberFormat="1" applyFont="1" applyFill="1" applyBorder="1" applyAlignment="1" applyProtection="1">
      <alignment horizontal="right" vertical="center"/>
    </xf>
    <xf numFmtId="39" fontId="258" fillId="22" borderId="159" xfId="18" applyNumberFormat="1" applyFont="1" applyFill="1" applyBorder="1" applyAlignment="1" applyProtection="1">
      <alignment horizontal="right" vertical="center"/>
    </xf>
    <xf numFmtId="0" fontId="168" fillId="0" borderId="160" xfId="18" applyNumberFormat="1" applyFont="1" applyFill="1" applyBorder="1" applyAlignment="1" applyProtection="1"/>
    <xf numFmtId="0" fontId="188" fillId="0" borderId="0" xfId="18" applyNumberFormat="1" applyFont="1" applyFill="1" applyBorder="1" applyAlignment="1" applyProtection="1">
      <alignment vertical="center"/>
    </xf>
    <xf numFmtId="199" fontId="188" fillId="0" borderId="0" xfId="18" applyNumberFormat="1" applyFont="1" applyFill="1" applyBorder="1" applyAlignment="1" applyProtection="1">
      <alignment vertical="center"/>
    </xf>
    <xf numFmtId="39" fontId="258" fillId="0" borderId="161" xfId="18" applyNumberFormat="1" applyFont="1" applyFill="1" applyBorder="1" applyAlignment="1" applyProtection="1">
      <alignment horizontal="right" vertical="center"/>
    </xf>
    <xf numFmtId="0" fontId="258" fillId="0" borderId="162" xfId="18" applyNumberFormat="1" applyFont="1" applyFill="1" applyBorder="1" applyAlignment="1" applyProtection="1"/>
    <xf numFmtId="39" fontId="258" fillId="21" borderId="159" xfId="18" applyNumberFormat="1" applyFont="1" applyFill="1" applyBorder="1" applyAlignment="1" applyProtection="1">
      <alignment horizontal="right"/>
    </xf>
    <xf numFmtId="0" fontId="259" fillId="23" borderId="158" xfId="18" applyNumberFormat="1" applyFont="1" applyFill="1" applyBorder="1" applyAlignment="1" applyProtection="1"/>
    <xf numFmtId="39" fontId="258" fillId="23" borderId="158" xfId="18" applyNumberFormat="1" applyFont="1" applyFill="1" applyBorder="1" applyAlignment="1" applyProtection="1">
      <alignment horizontal="right"/>
    </xf>
    <xf numFmtId="39" fontId="258" fillId="23" borderId="158" xfId="18" applyNumberFormat="1" applyFont="1" applyFill="1" applyBorder="1" applyAlignment="1" applyProtection="1">
      <alignment horizontal="right" vertical="center"/>
    </xf>
    <xf numFmtId="0" fontId="258" fillId="23" borderId="158" xfId="18" applyNumberFormat="1" applyFont="1" applyFill="1" applyBorder="1" applyAlignment="1" applyProtection="1"/>
    <xf numFmtId="39" fontId="258" fillId="23" borderId="159" xfId="18" applyNumberFormat="1" applyFont="1" applyFill="1" applyBorder="1" applyAlignment="1" applyProtection="1">
      <alignment horizontal="right" vertical="center"/>
    </xf>
    <xf numFmtId="0" fontId="261" fillId="0" borderId="0" xfId="17" applyFont="1" applyAlignment="1" applyProtection="1">
      <alignment horizontal="justify" vertical="center"/>
      <protection locked="0"/>
    </xf>
    <xf numFmtId="199" fontId="261" fillId="0" borderId="0" xfId="17" applyNumberFormat="1" applyFont="1" applyAlignment="1" applyProtection="1">
      <alignment horizontal="left"/>
      <protection locked="0"/>
    </xf>
    <xf numFmtId="199" fontId="261" fillId="0" borderId="0" xfId="17" applyNumberFormat="1" applyFont="1" applyAlignment="1" applyProtection="1">
      <alignment horizontal="justify" vertical="center"/>
      <protection locked="0"/>
    </xf>
    <xf numFmtId="199" fontId="235" fillId="0" borderId="0" xfId="17" applyNumberFormat="1" applyFont="1" applyAlignment="1" applyProtection="1">
      <alignment horizontal="right"/>
      <protection locked="0"/>
    </xf>
    <xf numFmtId="0" fontId="235" fillId="0" borderId="163" xfId="17" applyFont="1" applyBorder="1" applyAlignment="1" applyProtection="1">
      <alignment horizontal="left"/>
      <protection locked="0"/>
    </xf>
    <xf numFmtId="199" fontId="261" fillId="0" borderId="163" xfId="17" applyNumberFormat="1" applyFont="1" applyBorder="1" applyAlignment="1" applyProtection="1">
      <alignment horizontal="left"/>
      <protection locked="0"/>
    </xf>
    <xf numFmtId="199" fontId="235" fillId="0" borderId="163" xfId="17" applyNumberFormat="1" applyFont="1" applyBorder="1" applyAlignment="1" applyProtection="1">
      <alignment horizontal="left"/>
      <protection locked="0"/>
    </xf>
    <xf numFmtId="199" fontId="235" fillId="0" borderId="163" xfId="17" applyNumberFormat="1" applyFont="1" applyBorder="1" applyAlignment="1" applyProtection="1">
      <alignment horizontal="right" vertical="center"/>
      <protection locked="0"/>
    </xf>
    <xf numFmtId="0" fontId="235" fillId="24" borderId="164" xfId="17" applyFont="1" applyFill="1" applyBorder="1" applyAlignment="1" applyProtection="1">
      <alignment horizontal="center"/>
      <protection locked="0"/>
    </xf>
    <xf numFmtId="199" fontId="235" fillId="24" borderId="164" xfId="17" applyNumberFormat="1" applyFont="1" applyFill="1" applyBorder="1" applyAlignment="1" applyProtection="1">
      <alignment horizontal="center"/>
      <protection locked="0"/>
    </xf>
    <xf numFmtId="0" fontId="235" fillId="25" borderId="164" xfId="17" applyFont="1" applyFill="1" applyBorder="1" applyAlignment="1" applyProtection="1">
      <alignment horizontal="left"/>
      <protection locked="0"/>
    </xf>
    <xf numFmtId="199" fontId="235" fillId="25" borderId="164" xfId="17" applyNumberFormat="1" applyFont="1" applyFill="1" applyBorder="1" applyAlignment="1" applyProtection="1">
      <alignment horizontal="right"/>
      <protection locked="0"/>
    </xf>
    <xf numFmtId="199" fontId="235" fillId="25" borderId="164" xfId="17" applyNumberFormat="1" applyFont="1" applyFill="1" applyBorder="1" applyAlignment="1" applyProtection="1">
      <alignment horizontal="right" vertical="center"/>
      <protection locked="0"/>
    </xf>
    <xf numFmtId="0" fontId="261" fillId="0" borderId="164" xfId="17" applyFont="1" applyBorder="1" applyAlignment="1" applyProtection="1">
      <alignment horizontal="left"/>
      <protection locked="0"/>
    </xf>
    <xf numFmtId="39" fontId="235" fillId="0" borderId="164" xfId="17" applyNumberFormat="1" applyFont="1" applyBorder="1" applyAlignment="1" applyProtection="1">
      <alignment horizontal="right"/>
      <protection locked="0"/>
    </xf>
    <xf numFmtId="39" fontId="235" fillId="0" borderId="164" xfId="17" applyNumberFormat="1" applyFont="1" applyBorder="1" applyAlignment="1" applyProtection="1">
      <alignment horizontal="right" vertical="center"/>
      <protection locked="0"/>
    </xf>
    <xf numFmtId="0" fontId="261" fillId="0" borderId="164" xfId="17" applyFont="1" applyBorder="1" applyAlignment="1" applyProtection="1">
      <alignment horizontal="left" vertical="center"/>
      <protection locked="0"/>
    </xf>
    <xf numFmtId="0" fontId="235" fillId="0" borderId="164" xfId="17" applyFont="1" applyBorder="1" applyAlignment="1" applyProtection="1">
      <alignment horizontal="left" vertical="center"/>
      <protection locked="0"/>
    </xf>
    <xf numFmtId="0" fontId="235" fillId="26" borderId="164" xfId="17" applyFont="1" applyFill="1" applyBorder="1" applyAlignment="1" applyProtection="1">
      <alignment horizontal="left" vertical="center"/>
      <protection locked="0"/>
    </xf>
    <xf numFmtId="39" fontId="235" fillId="26" borderId="164" xfId="17" applyNumberFormat="1" applyFont="1" applyFill="1" applyBorder="1" applyAlignment="1" applyProtection="1">
      <alignment horizontal="right"/>
      <protection locked="0"/>
    </xf>
    <xf numFmtId="39" fontId="235" fillId="26" borderId="164" xfId="17" applyNumberFormat="1" applyFont="1" applyFill="1" applyBorder="1" applyAlignment="1" applyProtection="1">
      <alignment horizontal="right" vertical="center"/>
      <protection locked="0"/>
    </xf>
    <xf numFmtId="0" fontId="235" fillId="0" borderId="164" xfId="17" applyFont="1" applyBorder="1" applyAlignment="1" applyProtection="1">
      <alignment horizontal="left"/>
      <protection locked="0"/>
    </xf>
    <xf numFmtId="0" fontId="235" fillId="0" borderId="164" xfId="17" applyFont="1" applyBorder="1" applyAlignment="1" applyProtection="1">
      <alignment horizontal="justify" vertical="center"/>
      <protection locked="0"/>
    </xf>
    <xf numFmtId="0" fontId="261" fillId="26" borderId="164" xfId="17" applyFont="1" applyFill="1" applyBorder="1" applyAlignment="1" applyProtection="1">
      <alignment horizontal="left" vertical="center"/>
      <protection locked="0"/>
    </xf>
    <xf numFmtId="0" fontId="261" fillId="26" borderId="164" xfId="17" applyFont="1" applyFill="1" applyBorder="1" applyAlignment="1" applyProtection="1">
      <alignment horizontal="left"/>
      <protection locked="0"/>
    </xf>
    <xf numFmtId="0" fontId="235" fillId="25" borderId="164" xfId="17" applyFont="1" applyFill="1" applyBorder="1" applyAlignment="1" applyProtection="1">
      <alignment horizontal="left" vertical="center"/>
      <protection locked="0"/>
    </xf>
    <xf numFmtId="39" fontId="235" fillId="25" borderId="164" xfId="17" applyNumberFormat="1" applyFont="1" applyFill="1" applyBorder="1" applyAlignment="1" applyProtection="1">
      <alignment horizontal="right"/>
      <protection locked="0"/>
    </xf>
    <xf numFmtId="39" fontId="235" fillId="25" borderId="164" xfId="17" applyNumberFormat="1" applyFont="1" applyFill="1" applyBorder="1" applyAlignment="1" applyProtection="1">
      <alignment horizontal="right" vertical="center"/>
      <protection locked="0"/>
    </xf>
    <xf numFmtId="39" fontId="235" fillId="0" borderId="165" xfId="17" applyNumberFormat="1" applyFont="1" applyBorder="1" applyAlignment="1" applyProtection="1">
      <alignment horizontal="right" vertical="center"/>
      <protection locked="0"/>
    </xf>
    <xf numFmtId="0" fontId="235" fillId="0" borderId="166" xfId="17" applyFont="1" applyBorder="1" applyAlignment="1" applyProtection="1">
      <alignment horizontal="left" vertical="center"/>
      <protection locked="0"/>
    </xf>
    <xf numFmtId="0" fontId="235" fillId="26" borderId="164" xfId="17" applyFont="1" applyFill="1" applyBorder="1" applyAlignment="1" applyProtection="1">
      <alignment horizontal="left"/>
      <protection locked="0"/>
    </xf>
    <xf numFmtId="0" fontId="261" fillId="27" borderId="164" xfId="17" applyFont="1" applyFill="1" applyBorder="1" applyAlignment="1" applyProtection="1">
      <alignment horizontal="left"/>
      <protection locked="0"/>
    </xf>
    <xf numFmtId="39" fontId="235" fillId="27" borderId="164" xfId="17" applyNumberFormat="1" applyFont="1" applyFill="1" applyBorder="1" applyAlignment="1" applyProtection="1">
      <alignment horizontal="right"/>
      <protection locked="0"/>
    </xf>
    <xf numFmtId="39" fontId="235" fillId="27" borderId="164" xfId="17" applyNumberFormat="1" applyFont="1" applyFill="1" applyBorder="1" applyAlignment="1" applyProtection="1">
      <alignment horizontal="right" vertical="center"/>
      <protection locked="0"/>
    </xf>
    <xf numFmtId="0" fontId="235" fillId="27" borderId="164" xfId="17" applyFont="1" applyFill="1" applyBorder="1" applyAlignment="1" applyProtection="1">
      <alignment horizontal="left"/>
      <protection locked="0"/>
    </xf>
    <xf numFmtId="0" fontId="262" fillId="28" borderId="1" xfId="10" applyFont="1" applyFill="1" applyBorder="1" applyAlignment="1">
      <alignment horizontal="center" vertical="center" wrapText="1"/>
    </xf>
    <xf numFmtId="0" fontId="99" fillId="0" borderId="0" xfId="10">
      <alignment vertical="center"/>
    </xf>
    <xf numFmtId="0" fontId="263" fillId="28" borderId="1" xfId="10" applyFont="1" applyFill="1" applyBorder="1" applyAlignment="1">
      <alignment horizontal="center" vertical="center" wrapText="1"/>
    </xf>
    <xf numFmtId="0" fontId="263" fillId="28" borderId="1" xfId="10" applyFont="1" applyFill="1" applyBorder="1" applyAlignment="1">
      <alignment horizontal="justify" vertical="center" wrapText="1"/>
    </xf>
    <xf numFmtId="0" fontId="265" fillId="0" borderId="1" xfId="10" applyFont="1" applyBorder="1" applyAlignment="1">
      <alignment horizontal="center" vertical="center" wrapText="1"/>
    </xf>
    <xf numFmtId="0" fontId="262" fillId="0" borderId="1" xfId="10" applyFont="1" applyBorder="1" applyAlignment="1">
      <alignment horizontal="center" vertical="center" wrapText="1"/>
    </xf>
    <xf numFmtId="176" fontId="265" fillId="0" borderId="1" xfId="20" applyFont="1" applyBorder="1" applyAlignment="1">
      <alignment horizontal="center" vertical="center" wrapText="1"/>
    </xf>
    <xf numFmtId="176" fontId="192" fillId="5" borderId="1" xfId="20" applyFont="1" applyFill="1" applyBorder="1" applyAlignment="1">
      <alignment horizontal="center" vertical="center" wrapText="1"/>
    </xf>
    <xf numFmtId="10" fontId="192" fillId="5" borderId="1" xfId="21" applyNumberFormat="1" applyFont="1" applyFill="1" applyBorder="1" applyAlignment="1">
      <alignment horizontal="center" vertical="center" wrapText="1"/>
    </xf>
    <xf numFmtId="0" fontId="265" fillId="28" borderId="1" xfId="10" applyFont="1" applyFill="1" applyBorder="1" applyAlignment="1">
      <alignment horizontal="center" vertical="center" wrapText="1"/>
    </xf>
    <xf numFmtId="176" fontId="263" fillId="28" borderId="1" xfId="20" applyFont="1" applyFill="1" applyBorder="1" applyAlignment="1">
      <alignment horizontal="center" vertical="center" wrapText="1"/>
    </xf>
    <xf numFmtId="176" fontId="265" fillId="28" borderId="1" xfId="20" applyFont="1" applyFill="1" applyBorder="1" applyAlignment="1">
      <alignment horizontal="center" vertical="center" wrapText="1"/>
    </xf>
    <xf numFmtId="0" fontId="263" fillId="0" borderId="1" xfId="10" applyFont="1" applyBorder="1" applyAlignment="1">
      <alignment horizontal="center" vertical="center" wrapText="1"/>
    </xf>
    <xf numFmtId="176" fontId="263" fillId="0" borderId="1" xfId="20" applyFont="1" applyBorder="1" applyAlignment="1">
      <alignment horizontal="center" vertical="center" wrapText="1"/>
    </xf>
    <xf numFmtId="176" fontId="194" fillId="5" borderId="1" xfId="20" applyFont="1" applyFill="1" applyBorder="1" applyAlignment="1">
      <alignment horizontal="center" vertical="center" wrapText="1"/>
    </xf>
    <xf numFmtId="176" fontId="194" fillId="0" borderId="1" xfId="20" applyFont="1" applyBorder="1" applyAlignment="1">
      <alignment horizontal="center" vertical="center" wrapText="1"/>
    </xf>
    <xf numFmtId="0" fontId="194" fillId="0" borderId="1" xfId="10" applyFont="1" applyBorder="1" applyAlignment="1">
      <alignment horizontal="center" vertical="center" wrapText="1"/>
    </xf>
    <xf numFmtId="176" fontId="194" fillId="28" borderId="1" xfId="20" applyFont="1" applyFill="1" applyBorder="1" applyAlignment="1">
      <alignment horizontal="center" vertical="center" wrapText="1"/>
    </xf>
    <xf numFmtId="0" fontId="194" fillId="28" borderId="1" xfId="10" applyFont="1" applyFill="1" applyBorder="1" applyAlignment="1">
      <alignment horizontal="center" vertical="center" wrapText="1"/>
    </xf>
    <xf numFmtId="0" fontId="265" fillId="0" borderId="1" xfId="10" applyFont="1" applyFill="1" applyBorder="1" applyAlignment="1">
      <alignment horizontal="center" vertical="center" wrapText="1"/>
    </xf>
    <xf numFmtId="0" fontId="263" fillId="0" borderId="1" xfId="10" applyFont="1" applyFill="1" applyBorder="1" applyAlignment="1">
      <alignment horizontal="center" vertical="center" wrapText="1"/>
    </xf>
    <xf numFmtId="176" fontId="263" fillId="0" borderId="1" xfId="20" applyFont="1" applyFill="1" applyBorder="1" applyAlignment="1">
      <alignment horizontal="center" vertical="center" wrapText="1"/>
    </xf>
    <xf numFmtId="176" fontId="194" fillId="0" borderId="1" xfId="20" applyFont="1" applyFill="1" applyBorder="1" applyAlignment="1">
      <alignment horizontal="center" vertical="center" wrapText="1"/>
    </xf>
    <xf numFmtId="0" fontId="194" fillId="0" borderId="1" xfId="10" applyFont="1" applyFill="1" applyBorder="1" applyAlignment="1">
      <alignment horizontal="center" vertical="center" wrapText="1"/>
    </xf>
    <xf numFmtId="0" fontId="99" fillId="0" borderId="0" xfId="10" applyFill="1">
      <alignment vertical="center"/>
    </xf>
    <xf numFmtId="176" fontId="215" fillId="5" borderId="1" xfId="20" applyFont="1" applyFill="1" applyBorder="1" applyAlignment="1">
      <alignment horizontal="center" vertical="center" wrapText="1"/>
    </xf>
    <xf numFmtId="9" fontId="194" fillId="5" borderId="1" xfId="21" applyFont="1" applyFill="1" applyBorder="1" applyAlignment="1">
      <alignment horizontal="center" vertical="center" wrapText="1"/>
    </xf>
    <xf numFmtId="0" fontId="99" fillId="5" borderId="0" xfId="0" applyFont="1" applyFill="1">
      <alignment vertical="center"/>
    </xf>
    <xf numFmtId="0" fontId="0" fillId="5" borderId="0" xfId="0" applyFill="1">
      <alignment vertical="center"/>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9" fillId="0" borderId="0" xfId="0" applyFont="1">
      <alignment vertical="center"/>
    </xf>
    <xf numFmtId="0" fontId="99" fillId="0" borderId="1" xfId="0" applyFont="1" applyBorder="1">
      <alignment vertical="center"/>
    </xf>
    <xf numFmtId="0" fontId="0" fillId="0" borderId="1" xfId="0" applyBorder="1">
      <alignment vertical="center"/>
    </xf>
    <xf numFmtId="0" fontId="99" fillId="0" borderId="0" xfId="0" applyFont="1" applyAlignment="1">
      <alignment horizontal="center" vertical="center"/>
    </xf>
    <xf numFmtId="0" fontId="0" fillId="0" borderId="0" xfId="0" applyAlignment="1">
      <alignment horizontal="center" vertical="center"/>
    </xf>
    <xf numFmtId="0" fontId="0" fillId="9" borderId="0" xfId="0" applyFill="1">
      <alignment vertical="center"/>
    </xf>
    <xf numFmtId="182" fontId="104" fillId="29" borderId="1" xfId="0" applyNumberFormat="1" applyFont="1" applyFill="1" applyBorder="1" applyAlignment="1" applyProtection="1">
      <alignment horizontal="center" vertical="center"/>
      <protection locked="0"/>
    </xf>
    <xf numFmtId="176" fontId="103" fillId="0" borderId="23" xfId="0" applyNumberFormat="1" applyFont="1" applyFill="1" applyBorder="1" applyProtection="1">
      <alignment vertical="center"/>
      <protection locked="0"/>
    </xf>
    <xf numFmtId="176" fontId="263" fillId="29" borderId="1" xfId="20" applyFont="1" applyFill="1" applyBorder="1" applyAlignment="1">
      <alignment horizontal="center" vertical="center" wrapText="1"/>
    </xf>
    <xf numFmtId="0" fontId="130" fillId="0" borderId="23" xfId="0" applyFont="1" applyBorder="1" applyAlignment="1" applyProtection="1">
      <alignment horizontal="center" vertical="center"/>
      <protection locked="0"/>
    </xf>
    <xf numFmtId="10" fontId="50" fillId="29" borderId="1" xfId="1" applyNumberFormat="1" applyFont="1" applyFill="1" applyBorder="1" applyAlignment="1" applyProtection="1">
      <alignment horizontal="center" vertical="center"/>
      <protection locked="0"/>
    </xf>
    <xf numFmtId="9" fontId="50" fillId="29" borderId="5" xfId="0" applyNumberFormat="1" applyFont="1" applyFill="1" applyBorder="1" applyAlignment="1" applyProtection="1">
      <alignment horizontal="center" vertical="center"/>
      <protection locked="0"/>
    </xf>
    <xf numFmtId="177" fontId="47" fillId="29" borderId="24" xfId="1" applyNumberFormat="1" applyFont="1" applyFill="1" applyBorder="1" applyAlignment="1" applyProtection="1">
      <alignment horizontal="center" vertical="center"/>
      <protection locked="0"/>
    </xf>
    <xf numFmtId="0" fontId="135" fillId="0" borderId="44" xfId="0" applyNumberFormat="1" applyFont="1" applyFill="1" applyBorder="1" applyAlignment="1" applyProtection="1">
      <alignment horizontal="center" vertical="center" wrapText="1"/>
      <protection locked="0"/>
    </xf>
    <xf numFmtId="0" fontId="54" fillId="29" borderId="6" xfId="0" applyNumberFormat="1" applyFont="1" applyFill="1" applyBorder="1" applyAlignment="1" applyProtection="1">
      <alignment horizontal="center" vertical="center" wrapText="1"/>
      <protection locked="0"/>
    </xf>
    <xf numFmtId="0" fontId="112" fillId="9" borderId="167" xfId="5" applyFont="1" applyFill="1" applyBorder="1" applyAlignment="1">
      <alignment horizontal="center" vertical="center"/>
    </xf>
    <xf numFmtId="200" fontId="112" fillId="9" borderId="167" xfId="22" applyNumberFormat="1" applyFont="1" applyFill="1" applyBorder="1" applyAlignment="1">
      <alignment horizontal="center" vertical="center"/>
    </xf>
    <xf numFmtId="0" fontId="112" fillId="0" borderId="167" xfId="0" applyFont="1" applyBorder="1" applyAlignment="1">
      <alignment horizontal="center" vertical="center"/>
    </xf>
    <xf numFmtId="0" fontId="112" fillId="7" borderId="167" xfId="5" applyFont="1" applyFill="1" applyBorder="1" applyAlignment="1">
      <alignment horizontal="center" vertical="center"/>
    </xf>
    <xf numFmtId="0" fontId="112" fillId="7" borderId="167" xfId="5" applyFont="1" applyFill="1" applyBorder="1" applyAlignment="1">
      <alignment horizontal="left" vertical="center"/>
    </xf>
    <xf numFmtId="49" fontId="112" fillId="7" borderId="167" xfId="5" applyNumberFormat="1" applyFont="1" applyFill="1" applyBorder="1" applyAlignment="1">
      <alignment horizontal="left" vertical="center"/>
    </xf>
    <xf numFmtId="178" fontId="112" fillId="30" borderId="167" xfId="5" applyNumberFormat="1" applyFont="1" applyFill="1" applyBorder="1" applyAlignment="1">
      <alignment horizontal="center" vertical="center"/>
    </xf>
    <xf numFmtId="178" fontId="112" fillId="0" borderId="167" xfId="5" applyNumberFormat="1" applyFont="1" applyBorder="1" applyAlignment="1">
      <alignment horizontal="center" vertical="center"/>
    </xf>
    <xf numFmtId="178" fontId="112" fillId="30" borderId="167" xfId="5" quotePrefix="1" applyNumberFormat="1" applyFont="1" applyFill="1" applyBorder="1" applyAlignment="1">
      <alignment horizontal="center" vertical="center"/>
    </xf>
    <xf numFmtId="201" fontId="112" fillId="9" borderId="167" xfId="22" applyNumberFormat="1" applyFont="1" applyFill="1" applyBorder="1" applyAlignment="1">
      <alignment horizontal="center" vertical="center"/>
    </xf>
    <xf numFmtId="182" fontId="112" fillId="0" borderId="167" xfId="23" applyNumberFormat="1" applyFont="1" applyFill="1" applyBorder="1" applyAlignment="1">
      <alignment horizontal="center" vertical="center"/>
    </xf>
    <xf numFmtId="0" fontId="112" fillId="0" borderId="167" xfId="5" applyFont="1" applyBorder="1" applyAlignment="1">
      <alignment horizontal="left" vertical="center"/>
    </xf>
    <xf numFmtId="49" fontId="112" fillId="0" borderId="167" xfId="5" applyNumberFormat="1" applyFont="1" applyBorder="1" applyAlignment="1">
      <alignment horizontal="left" vertical="center"/>
    </xf>
    <xf numFmtId="1" fontId="112" fillId="30" borderId="167" xfId="5" applyNumberFormat="1" applyFont="1" applyFill="1" applyBorder="1" applyAlignment="1">
      <alignment horizontal="center" vertical="center"/>
    </xf>
    <xf numFmtId="201" fontId="112" fillId="0" borderId="167" xfId="22" applyNumberFormat="1" applyFont="1" applyFill="1" applyBorder="1" applyAlignment="1">
      <alignment horizontal="center" vertical="center"/>
    </xf>
    <xf numFmtId="0" fontId="112" fillId="30" borderId="167" xfId="5" applyFont="1" applyFill="1" applyBorder="1" applyAlignment="1">
      <alignment horizontal="center" vertical="center"/>
    </xf>
    <xf numFmtId="0" fontId="112" fillId="0" borderId="167" xfId="5" applyFont="1" applyBorder="1" applyAlignment="1">
      <alignment horizontal="center" vertical="center"/>
    </xf>
    <xf numFmtId="49" fontId="112" fillId="0" borderId="167" xfId="5" applyNumberFormat="1" applyFont="1" applyBorder="1" applyAlignment="1">
      <alignment horizontal="center" vertical="center"/>
    </xf>
    <xf numFmtId="178" fontId="112" fillId="0" borderId="167" xfId="5" quotePrefix="1" applyNumberFormat="1" applyFont="1" applyBorder="1" applyAlignment="1">
      <alignment horizontal="center" vertical="center"/>
    </xf>
    <xf numFmtId="201" fontId="112" fillId="9" borderId="167" xfId="5" applyNumberFormat="1" applyFont="1" applyFill="1" applyBorder="1" applyAlignment="1">
      <alignment horizontal="center" vertical="center"/>
    </xf>
    <xf numFmtId="200" fontId="112" fillId="0" borderId="167" xfId="22" applyNumberFormat="1" applyFont="1" applyFill="1" applyBorder="1" applyAlignment="1">
      <alignment horizontal="center" vertical="center"/>
    </xf>
    <xf numFmtId="201" fontId="112" fillId="30" borderId="167" xfId="22" applyNumberFormat="1" applyFont="1" applyFill="1" applyBorder="1" applyAlignment="1">
      <alignment horizontal="center" vertical="center"/>
    </xf>
    <xf numFmtId="0" fontId="112" fillId="9" borderId="167" xfId="0" applyFont="1" applyFill="1" applyBorder="1" applyAlignment="1">
      <alignment horizontal="center" vertical="center"/>
    </xf>
    <xf numFmtId="0" fontId="112" fillId="9" borderId="167" xfId="5" applyFont="1" applyFill="1" applyBorder="1">
      <alignment vertical="center"/>
    </xf>
    <xf numFmtId="9" fontId="112" fillId="9" borderId="167" xfId="23" applyFont="1" applyFill="1" applyBorder="1" applyAlignment="1">
      <alignment horizontal="center" vertical="center"/>
    </xf>
    <xf numFmtId="201" fontId="0" fillId="0" borderId="0" xfId="0" applyNumberFormat="1">
      <alignment vertical="center"/>
    </xf>
    <xf numFmtId="0" fontId="20" fillId="29" borderId="1" xfId="0" applyFont="1" applyFill="1" applyBorder="1" applyAlignment="1">
      <alignment horizontal="center" vertical="center"/>
    </xf>
    <xf numFmtId="0" fontId="47" fillId="29" borderId="23" xfId="0" applyFont="1" applyFill="1" applyBorder="1" applyAlignment="1" applyProtection="1">
      <alignment vertical="center"/>
      <protection locked="0"/>
    </xf>
    <xf numFmtId="182" fontId="47" fillId="29" borderId="1" xfId="0" applyNumberFormat="1" applyFont="1" applyFill="1" applyBorder="1" applyAlignment="1" applyProtection="1">
      <alignment vertical="center"/>
      <protection locked="0"/>
    </xf>
    <xf numFmtId="176" fontId="103" fillId="7" borderId="0" xfId="0" applyNumberFormat="1" applyFont="1" applyFill="1" applyProtection="1">
      <alignment vertical="center"/>
      <protection locked="0"/>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5"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236"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3"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3" fontId="47" fillId="6" borderId="5" xfId="0" applyNumberFormat="1" applyFont="1" applyFill="1" applyBorder="1" applyAlignment="1" applyProtection="1">
      <alignment horizontal="left" vertical="center" wrapText="1"/>
    </xf>
    <xf numFmtId="183" fontId="47" fillId="6" borderId="3" xfId="0" applyNumberFormat="1" applyFont="1" applyFill="1" applyBorder="1" applyAlignment="1" applyProtection="1">
      <alignment horizontal="left" vertical="center" wrapText="1"/>
    </xf>
    <xf numFmtId="183"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29"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29" borderId="13" xfId="0" applyFont="1" applyFill="1" applyBorder="1" applyAlignment="1" applyProtection="1">
      <alignment horizontal="center" vertical="center"/>
      <protection locked="0"/>
    </xf>
    <xf numFmtId="0" fontId="47" fillId="29" borderId="15" xfId="0" applyFont="1" applyFill="1" applyBorder="1" applyAlignment="1" applyProtection="1">
      <alignment horizontal="center" vertical="center"/>
      <protection locked="0"/>
    </xf>
    <xf numFmtId="0" fontId="47" fillId="29" borderId="2" xfId="0" applyFont="1" applyFill="1" applyBorder="1" applyAlignment="1" applyProtection="1">
      <alignment horizontal="center" vertical="center"/>
      <protection locked="0"/>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176" fontId="263" fillId="28" borderId="1" xfId="20" applyFont="1" applyFill="1" applyBorder="1" applyAlignment="1">
      <alignment horizontal="center" vertical="center" wrapText="1"/>
    </xf>
    <xf numFmtId="0" fontId="262" fillId="28" borderId="1" xfId="10" applyFont="1" applyFill="1" applyBorder="1" applyAlignment="1">
      <alignment horizontal="center" vertical="center" wrapText="1"/>
    </xf>
    <xf numFmtId="176" fontId="263" fillId="28" borderId="5" xfId="20" applyFont="1" applyFill="1" applyBorder="1" applyAlignment="1">
      <alignment horizontal="center" vertical="center" wrapText="1"/>
    </xf>
    <xf numFmtId="176" fontId="263" fillId="28" borderId="3" xfId="20" applyFont="1" applyFill="1" applyBorder="1" applyAlignment="1">
      <alignment horizontal="center" vertical="center" wrapText="1"/>
    </xf>
    <xf numFmtId="9" fontId="263" fillId="28" borderId="5" xfId="20" applyNumberFormat="1" applyFont="1" applyFill="1" applyBorder="1" applyAlignment="1">
      <alignment horizontal="center" vertical="center" wrapText="1"/>
    </xf>
    <xf numFmtId="176" fontId="263" fillId="0" borderId="1" xfId="20" applyFont="1" applyBorder="1" applyAlignment="1">
      <alignment horizontal="center" vertical="center" wrapText="1"/>
    </xf>
    <xf numFmtId="0" fontId="112" fillId="0" borderId="168" xfId="0" applyFont="1" applyBorder="1" applyAlignment="1">
      <alignment horizontal="center" vertical="center"/>
    </xf>
    <xf numFmtId="0" fontId="112" fillId="0" borderId="169" xfId="0" applyFont="1" applyBorder="1" applyAlignment="1">
      <alignment horizontal="center" vertical="center"/>
    </xf>
    <xf numFmtId="0" fontId="112" fillId="0" borderId="170" xfId="0" applyFont="1" applyBorder="1" applyAlignment="1">
      <alignment horizontal="center" vertical="center"/>
    </xf>
    <xf numFmtId="0" fontId="112" fillId="0" borderId="168" xfId="5" applyFont="1" applyBorder="1" applyAlignment="1">
      <alignment horizontal="center" vertical="center"/>
    </xf>
    <xf numFmtId="0" fontId="112" fillId="0" borderId="169" xfId="5" applyFont="1" applyBorder="1" applyAlignment="1">
      <alignment horizontal="center" vertical="center"/>
    </xf>
    <xf numFmtId="0" fontId="112" fillId="0" borderId="170" xfId="5" applyFont="1" applyBorder="1" applyAlignment="1">
      <alignment horizontal="center" vertical="center"/>
    </xf>
    <xf numFmtId="0" fontId="112" fillId="0" borderId="167" xfId="5" applyFont="1" applyBorder="1" applyAlignment="1">
      <alignment horizontal="center" vertical="center"/>
    </xf>
    <xf numFmtId="0" fontId="118" fillId="0" borderId="0" xfId="0" applyFont="1" applyAlignment="1">
      <alignment horizontal="center" vertical="center"/>
    </xf>
    <xf numFmtId="0" fontId="112" fillId="9" borderId="167" xfId="0" applyFont="1" applyFill="1" applyBorder="1" applyAlignment="1">
      <alignment horizontal="center" vertical="center"/>
    </xf>
    <xf numFmtId="0" fontId="112" fillId="9" borderId="167" xfId="5" applyFont="1" applyFill="1" applyBorder="1" applyAlignment="1">
      <alignment horizontal="center" vertical="center"/>
    </xf>
    <xf numFmtId="0" fontId="255" fillId="0" borderId="0" xfId="18" applyNumberFormat="1" applyFont="1" applyFill="1" applyBorder="1" applyAlignment="1" applyProtection="1">
      <alignment horizontal="center" vertical="center"/>
    </xf>
    <xf numFmtId="0" fontId="256" fillId="0" borderId="0" xfId="18" applyNumberFormat="1" applyFont="1" applyFill="1" applyBorder="1" applyAlignment="1" applyProtection="1">
      <alignment horizontal="center" vertical="center"/>
    </xf>
    <xf numFmtId="0" fontId="259" fillId="0" borderId="60" xfId="18" applyNumberFormat="1" applyFont="1" applyFill="1" applyBorder="1" applyAlignment="1" applyProtection="1">
      <alignment horizontal="center"/>
    </xf>
    <xf numFmtId="0" fontId="260" fillId="0" borderId="0" xfId="17" applyFont="1" applyAlignment="1" applyProtection="1">
      <alignment horizontal="center" vertical="center"/>
      <protection locked="0"/>
    </xf>
    <xf numFmtId="199" fontId="261" fillId="0" borderId="163" xfId="17" applyNumberFormat="1" applyFont="1" applyBorder="1" applyAlignment="1" applyProtection="1">
      <alignment horizontal="center"/>
      <protection locked="0"/>
    </xf>
    <xf numFmtId="0" fontId="53" fillId="19"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176" fontId="99" fillId="0" borderId="0" xfId="10" applyNumberFormat="1">
      <alignment vertical="center"/>
    </xf>
    <xf numFmtId="0" fontId="98" fillId="0" borderId="44"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xf>
    <xf numFmtId="0" fontId="218" fillId="0" borderId="1" xfId="0" applyFont="1" applyFill="1" applyBorder="1" applyAlignment="1" applyProtection="1">
      <alignment horizontal="left" vertical="center" wrapText="1"/>
    </xf>
    <xf numFmtId="0" fontId="103" fillId="0" borderId="1" xfId="0" applyFont="1" applyFill="1" applyBorder="1" applyAlignment="1" applyProtection="1">
      <alignment horizontal="left" vertical="center" wrapText="1"/>
    </xf>
    <xf numFmtId="0" fontId="103" fillId="0" borderId="1" xfId="0" applyFont="1" applyFill="1" applyBorder="1" applyAlignment="1" applyProtection="1">
      <alignment horizontal="left" vertical="center" wrapText="1"/>
      <protection locked="0"/>
    </xf>
    <xf numFmtId="0" fontId="218" fillId="0" borderId="1" xfId="0" applyFont="1" applyFill="1" applyBorder="1" applyAlignment="1" applyProtection="1">
      <alignment horizontal="left" vertical="center" wrapText="1"/>
    </xf>
    <xf numFmtId="185" fontId="103" fillId="0" borderId="1" xfId="0" applyNumberFormat="1" applyFont="1" applyFill="1" applyBorder="1" applyAlignment="1" applyProtection="1">
      <alignment horizontal="left" vertical="center" wrapText="1"/>
    </xf>
    <xf numFmtId="0" fontId="103" fillId="0" borderId="1" xfId="0" applyFont="1" applyFill="1" applyBorder="1" applyAlignment="1" applyProtection="1">
      <alignment horizontal="left" vertical="center" wrapText="1"/>
    </xf>
    <xf numFmtId="185" fontId="103" fillId="0" borderId="1" xfId="0" applyNumberFormat="1" applyFont="1" applyFill="1" applyBorder="1" applyAlignment="1" applyProtection="1">
      <alignment horizontal="left" vertical="center" wrapText="1"/>
      <protection locked="0"/>
    </xf>
    <xf numFmtId="49" fontId="103" fillId="0" borderId="1" xfId="0" applyNumberFormat="1" applyFont="1" applyFill="1" applyBorder="1" applyAlignment="1" applyProtection="1">
      <alignment horizontal="left" vertical="center" wrapText="1"/>
      <protection locked="0"/>
    </xf>
    <xf numFmtId="0" fontId="103" fillId="0" borderId="1" xfId="0" applyFont="1" applyFill="1" applyBorder="1" applyAlignment="1" applyProtection="1">
      <alignment horizontal="left" vertical="center" wrapText="1"/>
      <protection locked="0"/>
    </xf>
    <xf numFmtId="0" fontId="132" fillId="0" borderId="1" xfId="0" applyFont="1" applyFill="1" applyBorder="1" applyAlignment="1" applyProtection="1">
      <alignment horizontal="left" vertical="center" wrapText="1"/>
    </xf>
    <xf numFmtId="0" fontId="132" fillId="0" borderId="1" xfId="0" applyFont="1" applyFill="1" applyBorder="1" applyAlignment="1" applyProtection="1">
      <alignment horizontal="left" vertical="center" wrapText="1"/>
      <protection locked="0"/>
    </xf>
    <xf numFmtId="0" fontId="243" fillId="0" borderId="1" xfId="0" applyFont="1" applyFill="1" applyBorder="1" applyAlignment="1" applyProtection="1">
      <alignment horizontal="left" vertical="center" wrapText="1"/>
    </xf>
    <xf numFmtId="49" fontId="103" fillId="0" borderId="1" xfId="0" applyNumberFormat="1" applyFont="1" applyFill="1" applyBorder="1" applyAlignment="1" applyProtection="1">
      <alignment horizontal="left" vertical="center" wrapText="1"/>
    </xf>
    <xf numFmtId="0" fontId="218" fillId="0" borderId="1" xfId="0" applyFont="1" applyFill="1" applyBorder="1" applyAlignment="1" applyProtection="1">
      <alignment horizontal="left" vertical="center" textRotation="255" wrapText="1"/>
    </xf>
    <xf numFmtId="9" fontId="103" fillId="0" borderId="1" xfId="0" applyNumberFormat="1" applyFont="1" applyFill="1" applyBorder="1" applyAlignment="1" applyProtection="1">
      <alignment horizontal="left" vertical="center" wrapText="1"/>
      <protection locked="0"/>
    </xf>
    <xf numFmtId="190" fontId="103" fillId="0" borderId="1" xfId="0" applyNumberFormat="1" applyFont="1" applyFill="1" applyBorder="1" applyAlignment="1" applyProtection="1">
      <alignment horizontal="left" vertical="center"/>
    </xf>
    <xf numFmtId="177" fontId="103" fillId="0" borderId="1" xfId="0" applyNumberFormat="1" applyFont="1" applyFill="1" applyBorder="1" applyAlignment="1" applyProtection="1">
      <alignment horizontal="left" vertical="center" wrapText="1"/>
    </xf>
    <xf numFmtId="0" fontId="218" fillId="0" borderId="5" xfId="0" applyFont="1" applyFill="1" applyBorder="1" applyAlignment="1" applyProtection="1">
      <alignment horizontal="left" vertical="center" wrapText="1"/>
      <protection locked="0"/>
    </xf>
    <xf numFmtId="0" fontId="218" fillId="0" borderId="3" xfId="0" applyFont="1" applyFill="1" applyBorder="1" applyAlignment="1" applyProtection="1">
      <alignment horizontal="left" vertical="center" wrapText="1"/>
      <protection locked="0"/>
    </xf>
    <xf numFmtId="0" fontId="218" fillId="0" borderId="5" xfId="0" applyFont="1" applyFill="1" applyBorder="1" applyAlignment="1" applyProtection="1">
      <alignment horizontal="left" vertical="center" wrapText="1"/>
      <protection locked="0"/>
    </xf>
    <xf numFmtId="49" fontId="218" fillId="0" borderId="5" xfId="0" applyNumberFormat="1" applyFont="1" applyFill="1" applyBorder="1" applyAlignment="1" applyProtection="1">
      <alignment horizontal="left" vertical="center"/>
    </xf>
    <xf numFmtId="49" fontId="218" fillId="0" borderId="3" xfId="0" applyNumberFormat="1" applyFont="1" applyFill="1" applyBorder="1" applyAlignment="1" applyProtection="1">
      <alignment horizontal="left" vertical="center"/>
    </xf>
    <xf numFmtId="0" fontId="218" fillId="0" borderId="13" xfId="0" applyFont="1" applyFill="1" applyBorder="1" applyAlignment="1" applyProtection="1">
      <alignment horizontal="left" vertical="center" wrapText="1"/>
    </xf>
    <xf numFmtId="0" fontId="218" fillId="0" borderId="15" xfId="0" applyFont="1" applyFill="1" applyBorder="1" applyAlignment="1" applyProtection="1">
      <alignment horizontal="left" vertical="center" wrapText="1"/>
    </xf>
    <xf numFmtId="0" fontId="218" fillId="0" borderId="2" xfId="0" applyFont="1" applyFill="1" applyBorder="1" applyAlignment="1" applyProtection="1">
      <alignment horizontal="left" vertical="center" wrapText="1"/>
    </xf>
    <xf numFmtId="0" fontId="61" fillId="6" borderId="0" xfId="0" applyFont="1" applyFill="1" applyBorder="1" applyAlignment="1" applyProtection="1">
      <alignment horizontal="center"/>
    </xf>
    <xf numFmtId="0" fontId="55" fillId="0" borderId="78" xfId="0" applyFont="1" applyFill="1" applyBorder="1" applyAlignment="1" applyProtection="1">
      <alignment horizontal="left" vertical="center"/>
      <protection locked="0"/>
    </xf>
    <xf numFmtId="49" fontId="50" fillId="0" borderId="6" xfId="0" applyNumberFormat="1" applyFont="1" applyFill="1" applyBorder="1" applyAlignment="1" applyProtection="1">
      <alignment horizontal="left" vertical="center"/>
    </xf>
    <xf numFmtId="0" fontId="50" fillId="0" borderId="9" xfId="0" applyFont="1" applyFill="1" applyBorder="1" applyAlignment="1" applyProtection="1">
      <alignment horizontal="left" vertical="center"/>
    </xf>
    <xf numFmtId="0" fontId="50" fillId="0" borderId="28" xfId="0" applyFont="1" applyFill="1" applyBorder="1" applyAlignment="1" applyProtection="1">
      <alignment horizontal="left" vertical="center"/>
    </xf>
    <xf numFmtId="0" fontId="50" fillId="0" borderId="21" xfId="0" applyFont="1" applyFill="1" applyBorder="1" applyAlignment="1" applyProtection="1">
      <alignment horizontal="left" vertical="center"/>
    </xf>
    <xf numFmtId="49" fontId="55" fillId="0" borderId="11" xfId="0" applyNumberFormat="1" applyFont="1" applyFill="1" applyBorder="1" applyAlignment="1" applyProtection="1">
      <alignment horizontal="left" vertical="center"/>
    </xf>
    <xf numFmtId="0" fontId="55" fillId="0" borderId="13" xfId="0" applyFont="1" applyFill="1" applyBorder="1" applyAlignment="1" applyProtection="1">
      <alignment horizontal="left" vertical="center" wrapText="1"/>
    </xf>
    <xf numFmtId="0" fontId="50" fillId="0" borderId="15" xfId="0" applyFont="1" applyFill="1" applyBorder="1" applyAlignment="1" applyProtection="1">
      <alignment horizontal="left" vertical="center"/>
    </xf>
    <xf numFmtId="0" fontId="56" fillId="0" borderId="13" xfId="0" applyFont="1" applyFill="1" applyBorder="1" applyAlignment="1" applyProtection="1">
      <alignment horizontal="left" vertical="center"/>
    </xf>
    <xf numFmtId="0" fontId="50" fillId="0" borderId="4" xfId="0" applyFont="1" applyFill="1" applyBorder="1" applyAlignment="1" applyProtection="1">
      <alignment horizontal="left" vertical="center"/>
    </xf>
    <xf numFmtId="0" fontId="50" fillId="0" borderId="71" xfId="0" applyFont="1" applyFill="1" applyBorder="1" applyAlignment="1" applyProtection="1">
      <alignment horizontal="left" vertical="center"/>
    </xf>
    <xf numFmtId="49" fontId="50" fillId="0" borderId="11" xfId="0" applyNumberFormat="1" applyFont="1" applyFill="1" applyBorder="1" applyAlignment="1" applyProtection="1">
      <alignment horizontal="left" vertical="center"/>
    </xf>
    <xf numFmtId="0" fontId="50" fillId="0" borderId="13" xfId="0" applyFont="1" applyFill="1" applyBorder="1" applyAlignment="1" applyProtection="1">
      <alignment horizontal="left" vertical="top" wrapText="1"/>
    </xf>
    <xf numFmtId="0" fontId="55" fillId="0" borderId="22" xfId="0" applyFont="1" applyFill="1" applyBorder="1" applyAlignment="1" applyProtection="1">
      <alignment horizontal="left" vertical="center"/>
    </xf>
    <xf numFmtId="0" fontId="50" fillId="0" borderId="13" xfId="0" applyFont="1" applyFill="1" applyBorder="1" applyAlignment="1" applyProtection="1">
      <alignment horizontal="left" vertical="center"/>
    </xf>
    <xf numFmtId="0" fontId="50" fillId="0" borderId="1" xfId="0" applyFont="1" applyFill="1" applyBorder="1" applyAlignment="1" applyProtection="1">
      <alignment horizontal="left" vertical="center"/>
    </xf>
    <xf numFmtId="0" fontId="55" fillId="0" borderId="24" xfId="0" applyFont="1" applyFill="1" applyBorder="1" applyAlignment="1" applyProtection="1">
      <alignment horizontal="left" vertical="center"/>
    </xf>
    <xf numFmtId="49" fontId="50" fillId="0" borderId="35" xfId="0" applyNumberFormat="1" applyFont="1" applyFill="1" applyBorder="1" applyAlignment="1" applyProtection="1">
      <alignment horizontal="left" vertical="center"/>
    </xf>
    <xf numFmtId="0" fontId="50" fillId="0" borderId="15" xfId="0" applyFont="1" applyFill="1" applyBorder="1" applyAlignment="1" applyProtection="1">
      <alignment horizontal="left" vertical="top" wrapText="1"/>
    </xf>
    <xf numFmtId="0" fontId="55" fillId="0" borderId="0" xfId="0" applyFont="1" applyFill="1" applyBorder="1" applyAlignment="1" applyProtection="1">
      <alignment horizontal="left" vertical="center"/>
    </xf>
    <xf numFmtId="0" fontId="50" fillId="0" borderId="3" xfId="0" applyFont="1" applyFill="1" applyBorder="1" applyAlignment="1" applyProtection="1">
      <alignment horizontal="left" vertical="center"/>
    </xf>
    <xf numFmtId="49" fontId="55" fillId="0" borderId="14" xfId="0" applyNumberFormat="1" applyFont="1" applyFill="1" applyBorder="1" applyAlignment="1" applyProtection="1">
      <alignment horizontal="left" vertical="center"/>
    </xf>
    <xf numFmtId="0" fontId="55" fillId="0" borderId="15" xfId="0" applyFont="1" applyFill="1" applyBorder="1" applyAlignment="1" applyProtection="1">
      <alignment horizontal="left" vertical="center"/>
    </xf>
    <xf numFmtId="0" fontId="50" fillId="0" borderId="2" xfId="0" applyFont="1" applyFill="1" applyBorder="1" applyAlignment="1" applyProtection="1">
      <alignment horizontal="left" vertical="top" wrapText="1"/>
    </xf>
    <xf numFmtId="182" fontId="55" fillId="0" borderId="24" xfId="0" applyNumberFormat="1" applyFont="1" applyFill="1" applyBorder="1" applyAlignment="1" applyProtection="1">
      <alignment horizontal="left" vertical="center"/>
    </xf>
    <xf numFmtId="0" fontId="50" fillId="0" borderId="22" xfId="0" applyFont="1" applyFill="1" applyBorder="1" applyAlignment="1" applyProtection="1">
      <alignment horizontal="left" vertical="center" wrapText="1"/>
    </xf>
    <xf numFmtId="0" fontId="55" fillId="0" borderId="1" xfId="0" applyFont="1" applyFill="1" applyBorder="1" applyAlignment="1" applyProtection="1">
      <alignment horizontal="left" vertical="center"/>
    </xf>
    <xf numFmtId="0" fontId="50" fillId="0" borderId="22" xfId="0" applyFont="1" applyFill="1" applyBorder="1" applyAlignment="1" applyProtection="1">
      <alignment horizontal="left" vertical="center"/>
    </xf>
    <xf numFmtId="182" fontId="55" fillId="0" borderId="61" xfId="0" applyNumberFormat="1" applyFont="1" applyFill="1" applyBorder="1" applyAlignment="1" applyProtection="1">
      <alignment horizontal="left" vertical="center"/>
      <protection locked="0"/>
    </xf>
    <xf numFmtId="49" fontId="55" fillId="0" borderId="41" xfId="0" applyNumberFormat="1" applyFont="1" applyFill="1" applyBorder="1" applyAlignment="1" applyProtection="1">
      <alignment horizontal="left" vertical="center"/>
    </xf>
    <xf numFmtId="0" fontId="185" fillId="0" borderId="1" xfId="0" applyFont="1" applyFill="1" applyBorder="1" applyAlignment="1" applyProtection="1">
      <alignment horizontal="left" vertical="center" wrapText="1"/>
    </xf>
    <xf numFmtId="0" fontId="55" fillId="0" borderId="1" xfId="0" applyFont="1" applyFill="1" applyBorder="1" applyAlignment="1" applyProtection="1">
      <alignment horizontal="left" vertical="center"/>
      <protection locked="0"/>
    </xf>
    <xf numFmtId="0" fontId="119" fillId="0" borderId="15" xfId="0" applyFont="1" applyFill="1" applyBorder="1" applyAlignment="1" applyProtection="1">
      <alignment horizontal="left" vertical="center"/>
    </xf>
    <xf numFmtId="182" fontId="55" fillId="0" borderId="61" xfId="0" applyNumberFormat="1" applyFont="1" applyFill="1" applyBorder="1" applyAlignment="1" applyProtection="1">
      <alignment horizontal="left" vertical="center"/>
    </xf>
    <xf numFmtId="49" fontId="50" fillId="0" borderId="91" xfId="0" applyNumberFormat="1" applyFont="1" applyFill="1" applyBorder="1" applyAlignment="1" applyProtection="1">
      <alignment horizontal="left" vertical="center"/>
    </xf>
    <xf numFmtId="0" fontId="50" fillId="0" borderId="118" xfId="0" applyFont="1" applyFill="1" applyBorder="1" applyAlignment="1" applyProtection="1">
      <alignment horizontal="left" vertical="center" wrapText="1"/>
    </xf>
    <xf numFmtId="0" fontId="50" fillId="0" borderId="78" xfId="0" applyFont="1" applyFill="1" applyBorder="1" applyAlignment="1" applyProtection="1">
      <alignment horizontal="left" vertical="center"/>
    </xf>
    <xf numFmtId="182" fontId="55" fillId="0" borderId="79" xfId="0" applyNumberFormat="1" applyFont="1" applyFill="1" applyBorder="1" applyAlignment="1" applyProtection="1">
      <alignment horizontal="left" vertical="center"/>
    </xf>
    <xf numFmtId="0" fontId="55" fillId="0" borderId="2" xfId="0" applyFont="1" applyFill="1" applyBorder="1" applyAlignment="1" applyProtection="1">
      <alignment horizontal="left" vertical="center"/>
    </xf>
    <xf numFmtId="182" fontId="50" fillId="0" borderId="53" xfId="0" applyNumberFormat="1" applyFont="1" applyFill="1" applyBorder="1" applyAlignment="1" applyProtection="1">
      <alignment horizontal="left" vertical="center"/>
    </xf>
    <xf numFmtId="49" fontId="50" fillId="0" borderId="23" xfId="0" applyNumberFormat="1" applyFont="1" applyFill="1" applyBorder="1" applyAlignment="1" applyProtection="1">
      <alignment horizontal="left" vertical="center"/>
    </xf>
    <xf numFmtId="0" fontId="104" fillId="0" borderId="5" xfId="0" applyFont="1" applyFill="1" applyBorder="1" applyAlignment="1" applyProtection="1">
      <alignment horizontal="left" vertical="center"/>
    </xf>
    <xf numFmtId="0" fontId="50" fillId="0" borderId="5" xfId="0" applyFont="1" applyFill="1" applyBorder="1" applyAlignment="1" applyProtection="1">
      <alignment horizontal="left" vertical="center" wrapText="1"/>
    </xf>
    <xf numFmtId="0" fontId="50" fillId="0" borderId="54" xfId="0" applyFont="1" applyFill="1" applyBorder="1" applyAlignment="1" applyProtection="1">
      <alignment horizontal="left" vertical="center" wrapText="1"/>
    </xf>
    <xf numFmtId="180" fontId="55" fillId="0" borderId="48" xfId="0" applyNumberFormat="1" applyFont="1" applyFill="1" applyBorder="1" applyAlignment="1" applyProtection="1">
      <alignment horizontal="left" vertical="center"/>
    </xf>
    <xf numFmtId="0" fontId="50" fillId="0" borderId="2" xfId="0" applyFont="1" applyFill="1" applyBorder="1" applyAlignment="1" applyProtection="1">
      <alignment horizontal="left" vertical="center"/>
    </xf>
    <xf numFmtId="182" fontId="50" fillId="0" borderId="8" xfId="0" applyNumberFormat="1" applyFont="1" applyFill="1" applyBorder="1" applyAlignment="1" applyProtection="1">
      <alignment horizontal="left" vertical="center"/>
    </xf>
    <xf numFmtId="182" fontId="50" fillId="0" borderId="24" xfId="0" applyNumberFormat="1" applyFont="1" applyFill="1" applyBorder="1" applyAlignment="1" applyProtection="1">
      <alignment horizontal="left" vertical="center"/>
    </xf>
    <xf numFmtId="0" fontId="50" fillId="0" borderId="48" xfId="0" applyFont="1" applyFill="1" applyBorder="1" applyAlignment="1" applyProtection="1">
      <alignment horizontal="left" vertical="center"/>
    </xf>
    <xf numFmtId="0" fontId="50" fillId="0" borderId="5" xfId="0" applyFont="1" applyFill="1" applyBorder="1" applyAlignment="1" applyProtection="1">
      <alignment horizontal="left" vertical="center"/>
    </xf>
    <xf numFmtId="0" fontId="50" fillId="0" borderId="54" xfId="0" applyFont="1" applyFill="1" applyBorder="1" applyAlignment="1" applyProtection="1">
      <alignment horizontal="left" vertical="center"/>
    </xf>
    <xf numFmtId="0" fontId="50" fillId="0" borderId="1" xfId="0" applyFont="1" applyFill="1" applyBorder="1" applyAlignment="1" applyProtection="1">
      <alignment horizontal="left" vertical="center" wrapText="1"/>
    </xf>
    <xf numFmtId="0" fontId="50" fillId="0" borderId="24" xfId="0" applyFont="1" applyFill="1" applyBorder="1" applyAlignment="1" applyProtection="1">
      <alignment horizontal="left" vertical="center"/>
    </xf>
    <xf numFmtId="10" fontId="50" fillId="0" borderId="24" xfId="0" applyNumberFormat="1" applyFont="1" applyFill="1" applyBorder="1" applyAlignment="1" applyProtection="1">
      <alignment horizontal="left" vertical="center"/>
    </xf>
    <xf numFmtId="0" fontId="50" fillId="0" borderId="78" xfId="0" applyFont="1" applyFill="1" applyBorder="1" applyAlignment="1" applyProtection="1">
      <alignment horizontal="left" vertical="center" wrapText="1"/>
    </xf>
    <xf numFmtId="182" fontId="50" fillId="0" borderId="79" xfId="0" applyNumberFormat="1" applyFont="1" applyFill="1" applyBorder="1" applyAlignment="1" applyProtection="1">
      <alignment horizontal="left" vertical="center"/>
    </xf>
    <xf numFmtId="0" fontId="50" fillId="0" borderId="60" xfId="0" applyFont="1" applyFill="1" applyBorder="1" applyAlignment="1" applyProtection="1">
      <alignment horizontal="left" vertical="center"/>
    </xf>
    <xf numFmtId="182" fontId="50" fillId="0" borderId="48" xfId="0" applyNumberFormat="1"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protection locked="0"/>
    </xf>
    <xf numFmtId="0" fontId="50" fillId="0" borderId="13" xfId="0" applyFont="1" applyFill="1" applyBorder="1" applyAlignment="1" applyProtection="1">
      <alignment horizontal="left" vertical="center" wrapText="1"/>
    </xf>
    <xf numFmtId="49" fontId="50" fillId="0" borderId="7" xfId="0" applyNumberFormat="1" applyFont="1" applyFill="1" applyBorder="1" applyAlignment="1" applyProtection="1">
      <alignment horizontal="left" vertical="center"/>
    </xf>
    <xf numFmtId="0" fontId="50" fillId="0" borderId="7" xfId="0" applyFont="1" applyFill="1" applyBorder="1" applyAlignment="1" applyProtection="1">
      <alignment horizontal="left" vertical="center"/>
    </xf>
    <xf numFmtId="0" fontId="50" fillId="0" borderId="2" xfId="0" applyFont="1" applyFill="1" applyBorder="1" applyAlignment="1" applyProtection="1">
      <alignment horizontal="left" vertical="center" wrapText="1"/>
    </xf>
    <xf numFmtId="49" fontId="50" fillId="0" borderId="41" xfId="0" applyNumberFormat="1" applyFont="1" applyFill="1" applyBorder="1" applyAlignment="1" applyProtection="1">
      <alignment horizontal="left" vertical="center"/>
    </xf>
    <xf numFmtId="10" fontId="55" fillId="0" borderId="24" xfId="0" applyNumberFormat="1" applyFont="1" applyFill="1" applyBorder="1" applyAlignment="1" applyProtection="1">
      <alignment horizontal="left" vertical="center"/>
    </xf>
    <xf numFmtId="184" fontId="55" fillId="0" borderId="24" xfId="0" applyNumberFormat="1" applyFont="1" applyFill="1" applyBorder="1" applyAlignment="1" applyProtection="1">
      <alignment horizontal="left" vertical="center"/>
    </xf>
    <xf numFmtId="0" fontId="55" fillId="0" borderId="2" xfId="0" applyFont="1" applyFill="1" applyBorder="1" applyAlignment="1" applyProtection="1">
      <alignment horizontal="left" vertical="center" wrapText="1"/>
    </xf>
    <xf numFmtId="0" fontId="50" fillId="0" borderId="4" xfId="0" applyFont="1" applyFill="1" applyBorder="1" applyAlignment="1" applyProtection="1">
      <alignment horizontal="left" vertical="center" wrapText="1"/>
    </xf>
    <xf numFmtId="0" fontId="50" fillId="0" borderId="60" xfId="0" applyFont="1" applyFill="1" applyBorder="1" applyAlignment="1" applyProtection="1">
      <alignment horizontal="left" vertical="center" wrapText="1"/>
    </xf>
    <xf numFmtId="0" fontId="50" fillId="0" borderId="71" xfId="0" applyFont="1" applyFill="1" applyBorder="1" applyAlignment="1" applyProtection="1">
      <alignment horizontal="left" vertical="center" wrapText="1"/>
    </xf>
    <xf numFmtId="0" fontId="55" fillId="0" borderId="13" xfId="0" applyFont="1" applyFill="1" applyBorder="1" applyAlignment="1" applyProtection="1">
      <alignment horizontal="left" vertical="center"/>
    </xf>
    <xf numFmtId="0" fontId="55" fillId="0" borderId="15" xfId="0" applyFont="1" applyFill="1" applyBorder="1" applyAlignment="1" applyProtection="1">
      <alignment horizontal="left" vertical="center" wrapText="1"/>
    </xf>
    <xf numFmtId="0" fontId="50" fillId="0" borderId="15" xfId="0" applyFont="1" applyFill="1" applyBorder="1" applyAlignment="1" applyProtection="1">
      <alignment horizontal="left" vertical="center" wrapText="1"/>
    </xf>
    <xf numFmtId="180" fontId="55" fillId="0" borderId="24" xfId="0" applyNumberFormat="1" applyFont="1" applyFill="1" applyBorder="1" applyAlignment="1" applyProtection="1">
      <alignment horizontal="left" vertical="center"/>
    </xf>
    <xf numFmtId="49" fontId="55" fillId="0" borderId="25" xfId="0" applyNumberFormat="1" applyFont="1" applyFill="1" applyBorder="1" applyAlignment="1" applyProtection="1">
      <alignment horizontal="left" vertical="center"/>
    </xf>
    <xf numFmtId="0" fontId="55" fillId="0" borderId="32" xfId="0" applyFont="1" applyFill="1" applyBorder="1" applyAlignment="1" applyProtection="1">
      <alignment horizontal="left" vertical="center"/>
    </xf>
    <xf numFmtId="0" fontId="50" fillId="0" borderId="32" xfId="0" applyFont="1" applyFill="1" applyBorder="1" applyAlignment="1" applyProtection="1">
      <alignment horizontal="left" vertical="center"/>
    </xf>
    <xf numFmtId="180" fontId="55" fillId="0" borderId="49" xfId="0" applyNumberFormat="1" applyFont="1" applyFill="1" applyBorder="1" applyAlignment="1" applyProtection="1">
      <alignment horizontal="left" vertical="center"/>
    </xf>
  </cellXfs>
  <cellStyles count="24">
    <cellStyle name="百分比 2" xfId="14"/>
    <cellStyle name="百分比 3" xfId="21"/>
    <cellStyle name="百分比 4" xfId="23"/>
    <cellStyle name="常规" xfId="0" builtinId="0"/>
    <cellStyle name="常规 10" xfId="17"/>
    <cellStyle name="常规 11" xfId="19"/>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 name="千位分隔 4" xfId="22"/>
  </cellStyles>
  <dxfs count="242">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30.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 Type="http://schemas.openxmlformats.org/officeDocument/2006/relationships/image" Target="../media/image14.png"/><Relationship Id="rId16" Type="http://schemas.openxmlformats.org/officeDocument/2006/relationships/image" Target="../media/image28.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5" Type="http://schemas.openxmlformats.org/officeDocument/2006/relationships/image" Target="../media/image27.png"/><Relationship Id="rId10" Type="http://schemas.openxmlformats.org/officeDocument/2006/relationships/image" Target="../media/image22.png"/><Relationship Id="rId19" Type="http://schemas.openxmlformats.org/officeDocument/2006/relationships/image" Target="../media/image31.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88</xdr:row>
      <xdr:rowOff>76200</xdr:rowOff>
    </xdr:from>
    <xdr:to>
      <xdr:col>7</xdr:col>
      <xdr:colOff>660676</xdr:colOff>
      <xdr:row>121</xdr:row>
      <xdr:rowOff>132675</xdr:rowOff>
    </xdr:to>
    <xdr:pic>
      <xdr:nvPicPr>
        <xdr:cNvPr id="2" name="图片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0" y="15297150"/>
          <a:ext cx="7375801" cy="5400000"/>
        </a:xfrm>
        <a:prstGeom prst="rect">
          <a:avLst/>
        </a:prstGeom>
      </xdr:spPr>
    </xdr:pic>
    <xdr:clientData/>
  </xdr:twoCellAnchor>
  <xdr:twoCellAnchor editAs="oneCell">
    <xdr:from>
      <xdr:col>8</xdr:col>
      <xdr:colOff>295275</xdr:colOff>
      <xdr:row>88</xdr:row>
      <xdr:rowOff>152400</xdr:rowOff>
    </xdr:from>
    <xdr:to>
      <xdr:col>16</xdr:col>
      <xdr:colOff>685115</xdr:colOff>
      <xdr:row>113</xdr:row>
      <xdr:rowOff>85228</xdr:rowOff>
    </xdr:to>
    <xdr:pic>
      <xdr:nvPicPr>
        <xdr:cNvPr id="3" name="图片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a:stretch>
          <a:fillRect/>
        </a:stretch>
      </xdr:blipFill>
      <xdr:spPr>
        <a:xfrm>
          <a:off x="7391400" y="15373350"/>
          <a:ext cx="5485715" cy="3980953"/>
        </a:xfrm>
        <a:prstGeom prst="rect">
          <a:avLst/>
        </a:prstGeom>
      </xdr:spPr>
    </xdr:pic>
    <xdr:clientData/>
  </xdr:twoCellAnchor>
  <xdr:twoCellAnchor editAs="oneCell">
    <xdr:from>
      <xdr:col>0</xdr:col>
      <xdr:colOff>1</xdr:colOff>
      <xdr:row>122</xdr:row>
      <xdr:rowOff>0</xdr:rowOff>
    </xdr:from>
    <xdr:to>
      <xdr:col>9</xdr:col>
      <xdr:colOff>434985</xdr:colOff>
      <xdr:row>155</xdr:row>
      <xdr:rowOff>56475</xdr:rowOff>
    </xdr:to>
    <xdr:pic>
      <xdr:nvPicPr>
        <xdr:cNvPr id="6" name="图片 5">
          <a:extLst>
            <a:ext uri="{FF2B5EF4-FFF2-40B4-BE49-F238E27FC236}">
              <a16:creationId xmlns:a16="http://schemas.microsoft.com/office/drawing/2014/main" xmlns="" id="{00000000-0008-0000-1600-000006000000}"/>
            </a:ext>
          </a:extLst>
        </xdr:cNvPr>
        <xdr:cNvPicPr>
          <a:picLocks noChangeAspect="1"/>
        </xdr:cNvPicPr>
      </xdr:nvPicPr>
      <xdr:blipFill>
        <a:blip xmlns:r="http://schemas.openxmlformats.org/officeDocument/2006/relationships" r:embed="rId3"/>
        <a:stretch>
          <a:fillRect/>
        </a:stretch>
      </xdr:blipFill>
      <xdr:spPr>
        <a:xfrm>
          <a:off x="1" y="23317200"/>
          <a:ext cx="7874009" cy="5400000"/>
        </a:xfrm>
        <a:prstGeom prst="rect">
          <a:avLst/>
        </a:prstGeom>
      </xdr:spPr>
    </xdr:pic>
    <xdr:clientData/>
  </xdr:twoCellAnchor>
  <xdr:twoCellAnchor editAs="oneCell">
    <xdr:from>
      <xdr:col>9</xdr:col>
      <xdr:colOff>114300</xdr:colOff>
      <xdr:row>121</xdr:row>
      <xdr:rowOff>152400</xdr:rowOff>
    </xdr:from>
    <xdr:to>
      <xdr:col>15</xdr:col>
      <xdr:colOff>37535</xdr:colOff>
      <xdr:row>146</xdr:row>
      <xdr:rowOff>56656</xdr:rowOff>
    </xdr:to>
    <xdr:pic>
      <xdr:nvPicPr>
        <xdr:cNvPr id="7" name="图片 6">
          <a:extLst>
            <a:ext uri="{FF2B5EF4-FFF2-40B4-BE49-F238E27FC236}">
              <a16:creationId xmlns:a16="http://schemas.microsoft.com/office/drawing/2014/main" xmlns="" id="{00000000-0008-0000-1600-000007000000}"/>
            </a:ext>
          </a:extLst>
        </xdr:cNvPr>
        <xdr:cNvPicPr>
          <a:picLocks noChangeAspect="1"/>
        </xdr:cNvPicPr>
      </xdr:nvPicPr>
      <xdr:blipFill>
        <a:blip xmlns:r="http://schemas.openxmlformats.org/officeDocument/2006/relationships" r:embed="rId4"/>
        <a:stretch>
          <a:fillRect/>
        </a:stretch>
      </xdr:blipFill>
      <xdr:spPr>
        <a:xfrm>
          <a:off x="7896225" y="23307675"/>
          <a:ext cx="4523810" cy="3952381"/>
        </a:xfrm>
        <a:prstGeom prst="rect">
          <a:avLst/>
        </a:prstGeom>
      </xdr:spPr>
    </xdr:pic>
    <xdr:clientData/>
  </xdr:twoCellAnchor>
  <xdr:twoCellAnchor editAs="oneCell">
    <xdr:from>
      <xdr:col>0</xdr:col>
      <xdr:colOff>1</xdr:colOff>
      <xdr:row>157</xdr:row>
      <xdr:rowOff>0</xdr:rowOff>
    </xdr:from>
    <xdr:to>
      <xdr:col>9</xdr:col>
      <xdr:colOff>265287</xdr:colOff>
      <xdr:row>190</xdr:row>
      <xdr:rowOff>56475</xdr:rowOff>
    </xdr:to>
    <xdr:pic>
      <xdr:nvPicPr>
        <xdr:cNvPr id="8" name="图片 7">
          <a:extLst>
            <a:ext uri="{FF2B5EF4-FFF2-40B4-BE49-F238E27FC236}">
              <a16:creationId xmlns:a16="http://schemas.microsoft.com/office/drawing/2014/main" xmlns="" id="{00000000-0008-0000-1600-000008000000}"/>
            </a:ext>
          </a:extLst>
        </xdr:cNvPr>
        <xdr:cNvPicPr>
          <a:picLocks noChangeAspect="1"/>
        </xdr:cNvPicPr>
      </xdr:nvPicPr>
      <xdr:blipFill>
        <a:blip xmlns:r="http://schemas.openxmlformats.org/officeDocument/2006/relationships" r:embed="rId5"/>
        <a:stretch>
          <a:fillRect/>
        </a:stretch>
      </xdr:blipFill>
      <xdr:spPr>
        <a:xfrm>
          <a:off x="1" y="28984575"/>
          <a:ext cx="7704311" cy="5400000"/>
        </a:xfrm>
        <a:prstGeom prst="rect">
          <a:avLst/>
        </a:prstGeom>
      </xdr:spPr>
    </xdr:pic>
    <xdr:clientData/>
  </xdr:twoCellAnchor>
  <xdr:twoCellAnchor editAs="oneCell">
    <xdr:from>
      <xdr:col>9</xdr:col>
      <xdr:colOff>0</xdr:colOff>
      <xdr:row>157</xdr:row>
      <xdr:rowOff>0</xdr:rowOff>
    </xdr:from>
    <xdr:to>
      <xdr:col>14</xdr:col>
      <xdr:colOff>1971109</xdr:colOff>
      <xdr:row>181</xdr:row>
      <xdr:rowOff>37610</xdr:rowOff>
    </xdr:to>
    <xdr:pic>
      <xdr:nvPicPr>
        <xdr:cNvPr id="9" name="图片 8">
          <a:extLst>
            <a:ext uri="{FF2B5EF4-FFF2-40B4-BE49-F238E27FC236}">
              <a16:creationId xmlns:a16="http://schemas.microsoft.com/office/drawing/2014/main" xmlns="" id="{00000000-0008-0000-1600-000009000000}"/>
            </a:ext>
          </a:extLst>
        </xdr:cNvPr>
        <xdr:cNvPicPr>
          <a:picLocks noChangeAspect="1"/>
        </xdr:cNvPicPr>
      </xdr:nvPicPr>
      <xdr:blipFill>
        <a:blip xmlns:r="http://schemas.openxmlformats.org/officeDocument/2006/relationships" r:embed="rId6"/>
        <a:stretch>
          <a:fillRect/>
        </a:stretch>
      </xdr:blipFill>
      <xdr:spPr>
        <a:xfrm>
          <a:off x="7781925" y="28984575"/>
          <a:ext cx="4533334" cy="3923810"/>
        </a:xfrm>
        <a:prstGeom prst="rect">
          <a:avLst/>
        </a:prstGeom>
      </xdr:spPr>
    </xdr:pic>
    <xdr:clientData/>
  </xdr:twoCellAnchor>
  <xdr:twoCellAnchor editAs="oneCell">
    <xdr:from>
      <xdr:col>0</xdr:col>
      <xdr:colOff>0</xdr:colOff>
      <xdr:row>191</xdr:row>
      <xdr:rowOff>0</xdr:rowOff>
    </xdr:from>
    <xdr:to>
      <xdr:col>7</xdr:col>
      <xdr:colOff>85173</xdr:colOff>
      <xdr:row>224</xdr:row>
      <xdr:rowOff>56475</xdr:rowOff>
    </xdr:to>
    <xdr:pic>
      <xdr:nvPicPr>
        <xdr:cNvPr id="10" name="图片 9">
          <a:extLst>
            <a:ext uri="{FF2B5EF4-FFF2-40B4-BE49-F238E27FC236}">
              <a16:creationId xmlns:a16="http://schemas.microsoft.com/office/drawing/2014/main" xmlns="" id="{00000000-0008-0000-1600-00000A000000}"/>
            </a:ext>
          </a:extLst>
        </xdr:cNvPr>
        <xdr:cNvPicPr>
          <a:picLocks noChangeAspect="1"/>
        </xdr:cNvPicPr>
      </xdr:nvPicPr>
      <xdr:blipFill>
        <a:blip xmlns:r="http://schemas.openxmlformats.org/officeDocument/2006/relationships" r:embed="rId7"/>
        <a:stretch>
          <a:fillRect/>
        </a:stretch>
      </xdr:blipFill>
      <xdr:spPr>
        <a:xfrm>
          <a:off x="0" y="34490025"/>
          <a:ext cx="6800298" cy="5400000"/>
        </a:xfrm>
        <a:prstGeom prst="rect">
          <a:avLst/>
        </a:prstGeom>
      </xdr:spPr>
    </xdr:pic>
    <xdr:clientData/>
  </xdr:twoCellAnchor>
  <xdr:twoCellAnchor editAs="oneCell">
    <xdr:from>
      <xdr:col>8</xdr:col>
      <xdr:colOff>0</xdr:colOff>
      <xdr:row>191</xdr:row>
      <xdr:rowOff>0</xdr:rowOff>
    </xdr:from>
    <xdr:to>
      <xdr:col>14</xdr:col>
      <xdr:colOff>1180632</xdr:colOff>
      <xdr:row>208</xdr:row>
      <xdr:rowOff>9180</xdr:rowOff>
    </xdr:to>
    <xdr:pic>
      <xdr:nvPicPr>
        <xdr:cNvPr id="11" name="图片 10">
          <a:extLst>
            <a:ext uri="{FF2B5EF4-FFF2-40B4-BE49-F238E27FC236}">
              <a16:creationId xmlns:a16="http://schemas.microsoft.com/office/drawing/2014/main" xmlns="" id="{00000000-0008-0000-1600-00000B000000}"/>
            </a:ext>
          </a:extLst>
        </xdr:cNvPr>
        <xdr:cNvPicPr>
          <a:picLocks noChangeAspect="1"/>
        </xdr:cNvPicPr>
      </xdr:nvPicPr>
      <xdr:blipFill>
        <a:blip xmlns:r="http://schemas.openxmlformats.org/officeDocument/2006/relationships" r:embed="rId8"/>
        <a:stretch>
          <a:fillRect/>
        </a:stretch>
      </xdr:blipFill>
      <xdr:spPr>
        <a:xfrm>
          <a:off x="7096125" y="34490025"/>
          <a:ext cx="3742857" cy="2761905"/>
        </a:xfrm>
        <a:prstGeom prst="rect">
          <a:avLst/>
        </a:prstGeom>
      </xdr:spPr>
    </xdr:pic>
    <xdr:clientData/>
  </xdr:twoCellAnchor>
  <xdr:twoCellAnchor editAs="oneCell">
    <xdr:from>
      <xdr:col>0</xdr:col>
      <xdr:colOff>0</xdr:colOff>
      <xdr:row>51</xdr:row>
      <xdr:rowOff>142875</xdr:rowOff>
    </xdr:from>
    <xdr:to>
      <xdr:col>7</xdr:col>
      <xdr:colOff>542018</xdr:colOff>
      <xdr:row>86</xdr:row>
      <xdr:rowOff>161215</xdr:rowOff>
    </xdr:to>
    <xdr:pic>
      <xdr:nvPicPr>
        <xdr:cNvPr id="12" name="图片 11">
          <a:extLst>
            <a:ext uri="{FF2B5EF4-FFF2-40B4-BE49-F238E27FC236}">
              <a16:creationId xmlns:a16="http://schemas.microsoft.com/office/drawing/2014/main" xmlns="" id="{00000000-0008-0000-1600-00000C000000}"/>
            </a:ext>
          </a:extLst>
        </xdr:cNvPr>
        <xdr:cNvPicPr>
          <a:picLocks noChangeAspect="1"/>
        </xdr:cNvPicPr>
      </xdr:nvPicPr>
      <xdr:blipFill>
        <a:blip xmlns:r="http://schemas.openxmlformats.org/officeDocument/2006/relationships" r:embed="rId9"/>
        <a:stretch>
          <a:fillRect/>
        </a:stretch>
      </xdr:blipFill>
      <xdr:spPr>
        <a:xfrm>
          <a:off x="0" y="8401050"/>
          <a:ext cx="7257143" cy="5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687915</xdr:colOff>
      <xdr:row>0</xdr:row>
      <xdr:rowOff>0</xdr:rowOff>
    </xdr:from>
    <xdr:to>
      <xdr:col>24</xdr:col>
      <xdr:colOff>511258</xdr:colOff>
      <xdr:row>24</xdr:row>
      <xdr:rowOff>44333</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10710332" y="0"/>
          <a:ext cx="6702510" cy="43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40</xdr:row>
      <xdr:rowOff>133350</xdr:rowOff>
    </xdr:from>
    <xdr:to>
      <xdr:col>14</xdr:col>
      <xdr:colOff>398801</xdr:colOff>
      <xdr:row>63</xdr:row>
      <xdr:rowOff>104286</xdr:rowOff>
    </xdr:to>
    <xdr:pic>
      <xdr:nvPicPr>
        <xdr:cNvPr id="2" name="图片 1">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a:stretch>
          <a:fillRect/>
        </a:stretch>
      </xdr:blipFill>
      <xdr:spPr>
        <a:xfrm>
          <a:off x="0" y="6991350"/>
          <a:ext cx="10000001" cy="3914286"/>
        </a:xfrm>
        <a:prstGeom prst="rect">
          <a:avLst/>
        </a:prstGeom>
      </xdr:spPr>
    </xdr:pic>
    <xdr:clientData/>
  </xdr:twoCellAnchor>
  <xdr:twoCellAnchor editAs="oneCell">
    <xdr:from>
      <xdr:col>0</xdr:col>
      <xdr:colOff>19050</xdr:colOff>
      <xdr:row>8</xdr:row>
      <xdr:rowOff>142875</xdr:rowOff>
    </xdr:from>
    <xdr:to>
      <xdr:col>11</xdr:col>
      <xdr:colOff>46679</xdr:colOff>
      <xdr:row>40</xdr:row>
      <xdr:rowOff>75523</xdr:rowOff>
    </xdr:to>
    <xdr:pic>
      <xdr:nvPicPr>
        <xdr:cNvPr id="4" name="图片 3">
          <a:extLst>
            <a:ext uri="{FF2B5EF4-FFF2-40B4-BE49-F238E27FC236}">
              <a16:creationId xmlns:a16="http://schemas.microsoft.com/office/drawing/2014/main" xmlns="" id="{00000000-0008-0000-3200-000004000000}"/>
            </a:ext>
          </a:extLst>
        </xdr:cNvPr>
        <xdr:cNvPicPr>
          <a:picLocks noChangeAspect="1"/>
        </xdr:cNvPicPr>
      </xdr:nvPicPr>
      <xdr:blipFill>
        <a:blip xmlns:r="http://schemas.openxmlformats.org/officeDocument/2006/relationships" r:embed="rId2"/>
        <a:stretch>
          <a:fillRect/>
        </a:stretch>
      </xdr:blipFill>
      <xdr:spPr>
        <a:xfrm>
          <a:off x="19050" y="1514475"/>
          <a:ext cx="7571429" cy="5419048"/>
        </a:xfrm>
        <a:prstGeom prst="rect">
          <a:avLst/>
        </a:prstGeom>
      </xdr:spPr>
    </xdr:pic>
    <xdr:clientData/>
  </xdr:twoCellAnchor>
  <xdr:twoCellAnchor editAs="oneCell">
    <xdr:from>
      <xdr:col>0</xdr:col>
      <xdr:colOff>0</xdr:colOff>
      <xdr:row>1</xdr:row>
      <xdr:rowOff>76200</xdr:rowOff>
    </xdr:from>
    <xdr:to>
      <xdr:col>11</xdr:col>
      <xdr:colOff>532391</xdr:colOff>
      <xdr:row>8</xdr:row>
      <xdr:rowOff>133193</xdr:rowOff>
    </xdr:to>
    <xdr:pic>
      <xdr:nvPicPr>
        <xdr:cNvPr id="5" name="图片 4">
          <a:extLst>
            <a:ext uri="{FF2B5EF4-FFF2-40B4-BE49-F238E27FC236}">
              <a16:creationId xmlns:a16="http://schemas.microsoft.com/office/drawing/2014/main" xmlns="" id="{00000000-0008-0000-3200-000005000000}"/>
            </a:ext>
          </a:extLst>
        </xdr:cNvPr>
        <xdr:cNvPicPr>
          <a:picLocks noChangeAspect="1"/>
        </xdr:cNvPicPr>
      </xdr:nvPicPr>
      <xdr:blipFill>
        <a:blip xmlns:r="http://schemas.openxmlformats.org/officeDocument/2006/relationships" r:embed="rId3"/>
        <a:stretch>
          <a:fillRect/>
        </a:stretch>
      </xdr:blipFill>
      <xdr:spPr>
        <a:xfrm>
          <a:off x="0" y="247650"/>
          <a:ext cx="8076191" cy="1257143"/>
        </a:xfrm>
        <a:prstGeom prst="rect">
          <a:avLst/>
        </a:prstGeom>
      </xdr:spPr>
    </xdr:pic>
    <xdr:clientData/>
  </xdr:twoCellAnchor>
  <xdr:twoCellAnchor editAs="oneCell">
    <xdr:from>
      <xdr:col>0</xdr:col>
      <xdr:colOff>0</xdr:colOff>
      <xdr:row>64</xdr:row>
      <xdr:rowOff>0</xdr:rowOff>
    </xdr:from>
    <xdr:to>
      <xdr:col>10</xdr:col>
      <xdr:colOff>361048</xdr:colOff>
      <xdr:row>87</xdr:row>
      <xdr:rowOff>9031</xdr:rowOff>
    </xdr:to>
    <xdr:pic>
      <xdr:nvPicPr>
        <xdr:cNvPr id="3" name="图片 2">
          <a:extLst>
            <a:ext uri="{FF2B5EF4-FFF2-40B4-BE49-F238E27FC236}">
              <a16:creationId xmlns:a16="http://schemas.microsoft.com/office/drawing/2014/main" xmlns="" id="{00000000-0008-0000-3200-000003000000}"/>
            </a:ext>
          </a:extLst>
        </xdr:cNvPr>
        <xdr:cNvPicPr>
          <a:picLocks noChangeAspect="1"/>
        </xdr:cNvPicPr>
      </xdr:nvPicPr>
      <xdr:blipFill>
        <a:blip xmlns:r="http://schemas.openxmlformats.org/officeDocument/2006/relationships" r:embed="rId4"/>
        <a:stretch>
          <a:fillRect/>
        </a:stretch>
      </xdr:blipFill>
      <xdr:spPr>
        <a:xfrm>
          <a:off x="0" y="10972800"/>
          <a:ext cx="7219048" cy="3952381"/>
        </a:xfrm>
        <a:prstGeom prst="rect">
          <a:avLst/>
        </a:prstGeom>
      </xdr:spPr>
    </xdr:pic>
    <xdr:clientData/>
  </xdr:twoCellAnchor>
  <xdr:twoCellAnchor editAs="oneCell">
    <xdr:from>
      <xdr:col>0</xdr:col>
      <xdr:colOff>0</xdr:colOff>
      <xdr:row>87</xdr:row>
      <xdr:rowOff>0</xdr:rowOff>
    </xdr:from>
    <xdr:to>
      <xdr:col>10</xdr:col>
      <xdr:colOff>320833</xdr:colOff>
      <xdr:row>93</xdr:row>
      <xdr:rowOff>31619</xdr:rowOff>
    </xdr:to>
    <xdr:pic>
      <xdr:nvPicPr>
        <xdr:cNvPr id="6" name="图片 5">
          <a:extLst>
            <a:ext uri="{FF2B5EF4-FFF2-40B4-BE49-F238E27FC236}">
              <a16:creationId xmlns:a16="http://schemas.microsoft.com/office/drawing/2014/main" xmlns="" id="{00000000-0008-0000-3200-000006000000}"/>
            </a:ext>
          </a:extLst>
        </xdr:cNvPr>
        <xdr:cNvPicPr>
          <a:picLocks noChangeAspect="1"/>
        </xdr:cNvPicPr>
      </xdr:nvPicPr>
      <xdr:blipFill>
        <a:blip xmlns:r="http://schemas.openxmlformats.org/officeDocument/2006/relationships" r:embed="rId5"/>
        <a:stretch>
          <a:fillRect/>
        </a:stretch>
      </xdr:blipFill>
      <xdr:spPr>
        <a:xfrm>
          <a:off x="0" y="14732000"/>
          <a:ext cx="7200000" cy="1047619"/>
        </a:xfrm>
        <a:prstGeom prst="rect">
          <a:avLst/>
        </a:prstGeom>
      </xdr:spPr>
    </xdr:pic>
    <xdr:clientData/>
  </xdr:twoCellAnchor>
  <xdr:twoCellAnchor editAs="oneCell">
    <xdr:from>
      <xdr:col>0</xdr:col>
      <xdr:colOff>0</xdr:colOff>
      <xdr:row>94</xdr:row>
      <xdr:rowOff>0</xdr:rowOff>
    </xdr:from>
    <xdr:to>
      <xdr:col>10</xdr:col>
      <xdr:colOff>387500</xdr:colOff>
      <xdr:row>100</xdr:row>
      <xdr:rowOff>88762</xdr:rowOff>
    </xdr:to>
    <xdr:pic>
      <xdr:nvPicPr>
        <xdr:cNvPr id="7" name="图片 6">
          <a:extLst>
            <a:ext uri="{FF2B5EF4-FFF2-40B4-BE49-F238E27FC236}">
              <a16:creationId xmlns:a16="http://schemas.microsoft.com/office/drawing/2014/main" xmlns="" id="{00000000-0008-0000-3200-000007000000}"/>
            </a:ext>
          </a:extLst>
        </xdr:cNvPr>
        <xdr:cNvPicPr>
          <a:picLocks noChangeAspect="1"/>
        </xdr:cNvPicPr>
      </xdr:nvPicPr>
      <xdr:blipFill>
        <a:blip xmlns:r="http://schemas.openxmlformats.org/officeDocument/2006/relationships" r:embed="rId6"/>
        <a:stretch>
          <a:fillRect/>
        </a:stretch>
      </xdr:blipFill>
      <xdr:spPr>
        <a:xfrm>
          <a:off x="0" y="15917333"/>
          <a:ext cx="7266667" cy="1104762"/>
        </a:xfrm>
        <a:prstGeom prst="rect">
          <a:avLst/>
        </a:prstGeom>
      </xdr:spPr>
    </xdr:pic>
    <xdr:clientData/>
  </xdr:twoCellAnchor>
  <xdr:twoCellAnchor editAs="oneCell">
    <xdr:from>
      <xdr:col>0</xdr:col>
      <xdr:colOff>0</xdr:colOff>
      <xdr:row>101</xdr:row>
      <xdr:rowOff>0</xdr:rowOff>
    </xdr:from>
    <xdr:to>
      <xdr:col>10</xdr:col>
      <xdr:colOff>473214</xdr:colOff>
      <xdr:row>132</xdr:row>
      <xdr:rowOff>112572</xdr:rowOff>
    </xdr:to>
    <xdr:pic>
      <xdr:nvPicPr>
        <xdr:cNvPr id="8" name="图片 7">
          <a:extLst>
            <a:ext uri="{FF2B5EF4-FFF2-40B4-BE49-F238E27FC236}">
              <a16:creationId xmlns:a16="http://schemas.microsoft.com/office/drawing/2014/main" xmlns="" id="{00000000-0008-0000-3200-000008000000}"/>
            </a:ext>
          </a:extLst>
        </xdr:cNvPr>
        <xdr:cNvPicPr>
          <a:picLocks noChangeAspect="1"/>
        </xdr:cNvPicPr>
      </xdr:nvPicPr>
      <xdr:blipFill>
        <a:blip xmlns:r="http://schemas.openxmlformats.org/officeDocument/2006/relationships" r:embed="rId7"/>
        <a:stretch>
          <a:fillRect/>
        </a:stretch>
      </xdr:blipFill>
      <xdr:spPr>
        <a:xfrm>
          <a:off x="0" y="17102667"/>
          <a:ext cx="7352381" cy="5361905"/>
        </a:xfrm>
        <a:prstGeom prst="rect">
          <a:avLst/>
        </a:prstGeom>
      </xdr:spPr>
    </xdr:pic>
    <xdr:clientData/>
  </xdr:twoCellAnchor>
  <xdr:twoCellAnchor editAs="oneCell">
    <xdr:from>
      <xdr:col>0</xdr:col>
      <xdr:colOff>0</xdr:colOff>
      <xdr:row>133</xdr:row>
      <xdr:rowOff>0</xdr:rowOff>
    </xdr:from>
    <xdr:to>
      <xdr:col>10</xdr:col>
      <xdr:colOff>301786</xdr:colOff>
      <xdr:row>139</xdr:row>
      <xdr:rowOff>98286</xdr:rowOff>
    </xdr:to>
    <xdr:pic>
      <xdr:nvPicPr>
        <xdr:cNvPr id="9" name="图片 8">
          <a:extLst>
            <a:ext uri="{FF2B5EF4-FFF2-40B4-BE49-F238E27FC236}">
              <a16:creationId xmlns:a16="http://schemas.microsoft.com/office/drawing/2014/main" xmlns="" id="{00000000-0008-0000-3200-000009000000}"/>
            </a:ext>
          </a:extLst>
        </xdr:cNvPr>
        <xdr:cNvPicPr>
          <a:picLocks noChangeAspect="1"/>
        </xdr:cNvPicPr>
      </xdr:nvPicPr>
      <xdr:blipFill>
        <a:blip xmlns:r="http://schemas.openxmlformats.org/officeDocument/2006/relationships" r:embed="rId8"/>
        <a:stretch>
          <a:fillRect/>
        </a:stretch>
      </xdr:blipFill>
      <xdr:spPr>
        <a:xfrm>
          <a:off x="0" y="22521333"/>
          <a:ext cx="7180953" cy="1114286"/>
        </a:xfrm>
        <a:prstGeom prst="rect">
          <a:avLst/>
        </a:prstGeom>
      </xdr:spPr>
    </xdr:pic>
    <xdr:clientData/>
  </xdr:twoCellAnchor>
  <xdr:twoCellAnchor editAs="oneCell">
    <xdr:from>
      <xdr:col>11</xdr:col>
      <xdr:colOff>0</xdr:colOff>
      <xdr:row>64</xdr:row>
      <xdr:rowOff>0</xdr:rowOff>
    </xdr:from>
    <xdr:to>
      <xdr:col>21</xdr:col>
      <xdr:colOff>320833</xdr:colOff>
      <xdr:row>95</xdr:row>
      <xdr:rowOff>103047</xdr:rowOff>
    </xdr:to>
    <xdr:pic>
      <xdr:nvPicPr>
        <xdr:cNvPr id="10" name="图片 9">
          <a:extLst>
            <a:ext uri="{FF2B5EF4-FFF2-40B4-BE49-F238E27FC236}">
              <a16:creationId xmlns:a16="http://schemas.microsoft.com/office/drawing/2014/main" xmlns="" id="{00000000-0008-0000-3200-00000A000000}"/>
            </a:ext>
          </a:extLst>
        </xdr:cNvPr>
        <xdr:cNvPicPr>
          <a:picLocks noChangeAspect="1"/>
        </xdr:cNvPicPr>
      </xdr:nvPicPr>
      <xdr:blipFill>
        <a:blip xmlns:r="http://schemas.openxmlformats.org/officeDocument/2006/relationships" r:embed="rId9"/>
        <a:stretch>
          <a:fillRect/>
        </a:stretch>
      </xdr:blipFill>
      <xdr:spPr>
        <a:xfrm>
          <a:off x="7567083" y="10837333"/>
          <a:ext cx="7200000" cy="5352381"/>
        </a:xfrm>
        <a:prstGeom prst="rect">
          <a:avLst/>
        </a:prstGeom>
      </xdr:spPr>
    </xdr:pic>
    <xdr:clientData/>
  </xdr:twoCellAnchor>
  <xdr:twoCellAnchor editAs="oneCell">
    <xdr:from>
      <xdr:col>11</xdr:col>
      <xdr:colOff>74084</xdr:colOff>
      <xdr:row>8</xdr:row>
      <xdr:rowOff>158749</xdr:rowOff>
    </xdr:from>
    <xdr:to>
      <xdr:col>21</xdr:col>
      <xdr:colOff>385394</xdr:colOff>
      <xdr:row>40</xdr:row>
      <xdr:rowOff>130560</xdr:rowOff>
    </xdr:to>
    <xdr:pic>
      <xdr:nvPicPr>
        <xdr:cNvPr id="12" name="图片 11">
          <a:extLst>
            <a:ext uri="{FF2B5EF4-FFF2-40B4-BE49-F238E27FC236}">
              <a16:creationId xmlns:a16="http://schemas.microsoft.com/office/drawing/2014/main" xmlns="" id="{00000000-0008-0000-3200-00000C000000}"/>
            </a:ext>
          </a:extLst>
        </xdr:cNvPr>
        <xdr:cNvPicPr>
          <a:picLocks noChangeAspect="1"/>
        </xdr:cNvPicPr>
      </xdr:nvPicPr>
      <xdr:blipFill>
        <a:blip xmlns:r="http://schemas.openxmlformats.org/officeDocument/2006/relationships" r:embed="rId10"/>
        <a:stretch>
          <a:fillRect/>
        </a:stretch>
      </xdr:blipFill>
      <xdr:spPr>
        <a:xfrm>
          <a:off x="7641167" y="1513416"/>
          <a:ext cx="7190477" cy="5390477"/>
        </a:xfrm>
        <a:prstGeom prst="rect">
          <a:avLst/>
        </a:prstGeom>
      </xdr:spPr>
    </xdr:pic>
    <xdr:clientData/>
  </xdr:twoCellAnchor>
  <xdr:twoCellAnchor editAs="oneCell">
    <xdr:from>
      <xdr:col>11</xdr:col>
      <xdr:colOff>52917</xdr:colOff>
      <xdr:row>95</xdr:row>
      <xdr:rowOff>158749</xdr:rowOff>
    </xdr:from>
    <xdr:to>
      <xdr:col>21</xdr:col>
      <xdr:colOff>478512</xdr:colOff>
      <xdr:row>123</xdr:row>
      <xdr:rowOff>17416</xdr:rowOff>
    </xdr:to>
    <xdr:pic>
      <xdr:nvPicPr>
        <xdr:cNvPr id="13" name="图片 12">
          <a:extLst>
            <a:ext uri="{FF2B5EF4-FFF2-40B4-BE49-F238E27FC236}">
              <a16:creationId xmlns:a16="http://schemas.microsoft.com/office/drawing/2014/main" xmlns="" id="{00000000-0008-0000-3200-00000D000000}"/>
            </a:ext>
          </a:extLst>
        </xdr:cNvPr>
        <xdr:cNvPicPr>
          <a:picLocks noChangeAspect="1"/>
        </xdr:cNvPicPr>
      </xdr:nvPicPr>
      <xdr:blipFill>
        <a:blip xmlns:r="http://schemas.openxmlformats.org/officeDocument/2006/relationships" r:embed="rId11"/>
        <a:stretch>
          <a:fillRect/>
        </a:stretch>
      </xdr:blipFill>
      <xdr:spPr>
        <a:xfrm>
          <a:off x="7620000" y="16245416"/>
          <a:ext cx="7304762" cy="4600000"/>
        </a:xfrm>
        <a:prstGeom prst="rect">
          <a:avLst/>
        </a:prstGeom>
      </xdr:spPr>
    </xdr:pic>
    <xdr:clientData/>
  </xdr:twoCellAnchor>
  <xdr:twoCellAnchor editAs="oneCell">
    <xdr:from>
      <xdr:col>0</xdr:col>
      <xdr:colOff>0</xdr:colOff>
      <xdr:row>142</xdr:row>
      <xdr:rowOff>0</xdr:rowOff>
    </xdr:from>
    <xdr:to>
      <xdr:col>11</xdr:col>
      <xdr:colOff>518632</xdr:colOff>
      <xdr:row>147</xdr:row>
      <xdr:rowOff>96190</xdr:rowOff>
    </xdr:to>
    <xdr:pic>
      <xdr:nvPicPr>
        <xdr:cNvPr id="14" name="图片 13">
          <a:extLst>
            <a:ext uri="{FF2B5EF4-FFF2-40B4-BE49-F238E27FC236}">
              <a16:creationId xmlns:a16="http://schemas.microsoft.com/office/drawing/2014/main" xmlns="" id="{00000000-0008-0000-3200-00000E000000}"/>
            </a:ext>
          </a:extLst>
        </xdr:cNvPr>
        <xdr:cNvPicPr>
          <a:picLocks noChangeAspect="1"/>
        </xdr:cNvPicPr>
      </xdr:nvPicPr>
      <xdr:blipFill>
        <a:blip xmlns:r="http://schemas.openxmlformats.org/officeDocument/2006/relationships" r:embed="rId12"/>
        <a:stretch>
          <a:fillRect/>
        </a:stretch>
      </xdr:blipFill>
      <xdr:spPr>
        <a:xfrm>
          <a:off x="0" y="24045333"/>
          <a:ext cx="8085715" cy="942857"/>
        </a:xfrm>
        <a:prstGeom prst="rect">
          <a:avLst/>
        </a:prstGeom>
      </xdr:spPr>
    </xdr:pic>
    <xdr:clientData/>
  </xdr:twoCellAnchor>
  <xdr:twoCellAnchor editAs="oneCell">
    <xdr:from>
      <xdr:col>0</xdr:col>
      <xdr:colOff>116417</xdr:colOff>
      <xdr:row>148</xdr:row>
      <xdr:rowOff>0</xdr:rowOff>
    </xdr:from>
    <xdr:to>
      <xdr:col>11</xdr:col>
      <xdr:colOff>330287</xdr:colOff>
      <xdr:row>171</xdr:row>
      <xdr:rowOff>133905</xdr:rowOff>
    </xdr:to>
    <xdr:pic>
      <xdr:nvPicPr>
        <xdr:cNvPr id="15" name="图片 14">
          <a:extLst>
            <a:ext uri="{FF2B5EF4-FFF2-40B4-BE49-F238E27FC236}">
              <a16:creationId xmlns:a16="http://schemas.microsoft.com/office/drawing/2014/main" xmlns="" id="{00000000-0008-0000-3200-00000F000000}"/>
            </a:ext>
          </a:extLst>
        </xdr:cNvPr>
        <xdr:cNvPicPr>
          <a:picLocks noChangeAspect="1"/>
        </xdr:cNvPicPr>
      </xdr:nvPicPr>
      <xdr:blipFill>
        <a:blip xmlns:r="http://schemas.openxmlformats.org/officeDocument/2006/relationships" r:embed="rId13"/>
        <a:stretch>
          <a:fillRect/>
        </a:stretch>
      </xdr:blipFill>
      <xdr:spPr>
        <a:xfrm>
          <a:off x="116417" y="25061333"/>
          <a:ext cx="7780953" cy="4028572"/>
        </a:xfrm>
        <a:prstGeom prst="rect">
          <a:avLst/>
        </a:prstGeom>
      </xdr:spPr>
    </xdr:pic>
    <xdr:clientData/>
  </xdr:twoCellAnchor>
  <xdr:twoCellAnchor editAs="oneCell">
    <xdr:from>
      <xdr:col>0</xdr:col>
      <xdr:colOff>0</xdr:colOff>
      <xdr:row>173</xdr:row>
      <xdr:rowOff>0</xdr:rowOff>
    </xdr:from>
    <xdr:to>
      <xdr:col>11</xdr:col>
      <xdr:colOff>451965</xdr:colOff>
      <xdr:row>178</xdr:row>
      <xdr:rowOff>953</xdr:rowOff>
    </xdr:to>
    <xdr:pic>
      <xdr:nvPicPr>
        <xdr:cNvPr id="11" name="图片 10">
          <a:extLst>
            <a:ext uri="{FF2B5EF4-FFF2-40B4-BE49-F238E27FC236}">
              <a16:creationId xmlns:a16="http://schemas.microsoft.com/office/drawing/2014/main" xmlns="" id="{00000000-0008-0000-3200-00000B000000}"/>
            </a:ext>
          </a:extLst>
        </xdr:cNvPr>
        <xdr:cNvPicPr>
          <a:picLocks noChangeAspect="1"/>
        </xdr:cNvPicPr>
      </xdr:nvPicPr>
      <xdr:blipFill>
        <a:blip xmlns:r="http://schemas.openxmlformats.org/officeDocument/2006/relationships" r:embed="rId14"/>
        <a:stretch>
          <a:fillRect/>
        </a:stretch>
      </xdr:blipFill>
      <xdr:spPr>
        <a:xfrm>
          <a:off x="0" y="29294667"/>
          <a:ext cx="8019048" cy="847619"/>
        </a:xfrm>
        <a:prstGeom prst="rect">
          <a:avLst/>
        </a:prstGeom>
      </xdr:spPr>
    </xdr:pic>
    <xdr:clientData/>
  </xdr:twoCellAnchor>
  <xdr:twoCellAnchor editAs="oneCell">
    <xdr:from>
      <xdr:col>0</xdr:col>
      <xdr:colOff>0</xdr:colOff>
      <xdr:row>178</xdr:row>
      <xdr:rowOff>0</xdr:rowOff>
    </xdr:from>
    <xdr:to>
      <xdr:col>16</xdr:col>
      <xdr:colOff>69524</xdr:colOff>
      <xdr:row>189</xdr:row>
      <xdr:rowOff>165905</xdr:rowOff>
    </xdr:to>
    <xdr:pic>
      <xdr:nvPicPr>
        <xdr:cNvPr id="16" name="图片 15">
          <a:extLst>
            <a:ext uri="{FF2B5EF4-FFF2-40B4-BE49-F238E27FC236}">
              <a16:creationId xmlns:a16="http://schemas.microsoft.com/office/drawing/2014/main" xmlns="" id="{00000000-0008-0000-3200-000010000000}"/>
            </a:ext>
          </a:extLst>
        </xdr:cNvPr>
        <xdr:cNvPicPr>
          <a:picLocks noChangeAspect="1"/>
        </xdr:cNvPicPr>
      </xdr:nvPicPr>
      <xdr:blipFill>
        <a:blip xmlns:r="http://schemas.openxmlformats.org/officeDocument/2006/relationships" r:embed="rId15"/>
        <a:stretch>
          <a:fillRect/>
        </a:stretch>
      </xdr:blipFill>
      <xdr:spPr>
        <a:xfrm>
          <a:off x="0" y="30141333"/>
          <a:ext cx="11076191" cy="2028572"/>
        </a:xfrm>
        <a:prstGeom prst="rect">
          <a:avLst/>
        </a:prstGeom>
      </xdr:spPr>
    </xdr:pic>
    <xdr:clientData/>
  </xdr:twoCellAnchor>
  <xdr:twoCellAnchor editAs="oneCell">
    <xdr:from>
      <xdr:col>0</xdr:col>
      <xdr:colOff>0</xdr:colOff>
      <xdr:row>191</xdr:row>
      <xdr:rowOff>0</xdr:rowOff>
    </xdr:from>
    <xdr:to>
      <xdr:col>16</xdr:col>
      <xdr:colOff>412381</xdr:colOff>
      <xdr:row>215</xdr:row>
      <xdr:rowOff>145524</xdr:rowOff>
    </xdr:to>
    <xdr:pic>
      <xdr:nvPicPr>
        <xdr:cNvPr id="17" name="图片 16">
          <a:extLst>
            <a:ext uri="{FF2B5EF4-FFF2-40B4-BE49-F238E27FC236}">
              <a16:creationId xmlns:a16="http://schemas.microsoft.com/office/drawing/2014/main" xmlns="" id="{00000000-0008-0000-3200-000011000000}"/>
            </a:ext>
          </a:extLst>
        </xdr:cNvPr>
        <xdr:cNvPicPr>
          <a:picLocks noChangeAspect="1"/>
        </xdr:cNvPicPr>
      </xdr:nvPicPr>
      <xdr:blipFill>
        <a:blip xmlns:r="http://schemas.openxmlformats.org/officeDocument/2006/relationships" r:embed="rId16"/>
        <a:stretch>
          <a:fillRect/>
        </a:stretch>
      </xdr:blipFill>
      <xdr:spPr>
        <a:xfrm>
          <a:off x="0" y="32342667"/>
          <a:ext cx="11419048" cy="4209524"/>
        </a:xfrm>
        <a:prstGeom prst="rect">
          <a:avLst/>
        </a:prstGeom>
      </xdr:spPr>
    </xdr:pic>
    <xdr:clientData/>
  </xdr:twoCellAnchor>
  <xdr:twoCellAnchor editAs="oneCell">
    <xdr:from>
      <xdr:col>0</xdr:col>
      <xdr:colOff>0</xdr:colOff>
      <xdr:row>216</xdr:row>
      <xdr:rowOff>0</xdr:rowOff>
    </xdr:from>
    <xdr:to>
      <xdr:col>11</xdr:col>
      <xdr:colOff>461489</xdr:colOff>
      <xdr:row>221</xdr:row>
      <xdr:rowOff>58095</xdr:rowOff>
    </xdr:to>
    <xdr:pic>
      <xdr:nvPicPr>
        <xdr:cNvPr id="18" name="图片 17">
          <a:extLst>
            <a:ext uri="{FF2B5EF4-FFF2-40B4-BE49-F238E27FC236}">
              <a16:creationId xmlns:a16="http://schemas.microsoft.com/office/drawing/2014/main" xmlns="" id="{00000000-0008-0000-3200-000012000000}"/>
            </a:ext>
          </a:extLst>
        </xdr:cNvPr>
        <xdr:cNvPicPr>
          <a:picLocks noChangeAspect="1"/>
        </xdr:cNvPicPr>
      </xdr:nvPicPr>
      <xdr:blipFill>
        <a:blip xmlns:r="http://schemas.openxmlformats.org/officeDocument/2006/relationships" r:embed="rId17"/>
        <a:stretch>
          <a:fillRect/>
        </a:stretch>
      </xdr:blipFill>
      <xdr:spPr>
        <a:xfrm>
          <a:off x="0" y="36576000"/>
          <a:ext cx="8028572" cy="904762"/>
        </a:xfrm>
        <a:prstGeom prst="rect">
          <a:avLst/>
        </a:prstGeom>
      </xdr:spPr>
    </xdr:pic>
    <xdr:clientData/>
  </xdr:twoCellAnchor>
  <xdr:twoCellAnchor editAs="oneCell">
    <xdr:from>
      <xdr:col>0</xdr:col>
      <xdr:colOff>0</xdr:colOff>
      <xdr:row>222</xdr:row>
      <xdr:rowOff>0</xdr:rowOff>
    </xdr:from>
    <xdr:to>
      <xdr:col>10</xdr:col>
      <xdr:colOff>530357</xdr:colOff>
      <xdr:row>233</xdr:row>
      <xdr:rowOff>108762</xdr:rowOff>
    </xdr:to>
    <xdr:pic>
      <xdr:nvPicPr>
        <xdr:cNvPr id="19" name="图片 18">
          <a:extLst>
            <a:ext uri="{FF2B5EF4-FFF2-40B4-BE49-F238E27FC236}">
              <a16:creationId xmlns:a16="http://schemas.microsoft.com/office/drawing/2014/main" xmlns="" id="{00000000-0008-0000-3200-000013000000}"/>
            </a:ext>
          </a:extLst>
        </xdr:cNvPr>
        <xdr:cNvPicPr>
          <a:picLocks noChangeAspect="1"/>
        </xdr:cNvPicPr>
      </xdr:nvPicPr>
      <xdr:blipFill>
        <a:blip xmlns:r="http://schemas.openxmlformats.org/officeDocument/2006/relationships" r:embed="rId18"/>
        <a:stretch>
          <a:fillRect/>
        </a:stretch>
      </xdr:blipFill>
      <xdr:spPr>
        <a:xfrm>
          <a:off x="0" y="37592000"/>
          <a:ext cx="7409524" cy="1971429"/>
        </a:xfrm>
        <a:prstGeom prst="rect">
          <a:avLst/>
        </a:prstGeom>
      </xdr:spPr>
    </xdr:pic>
    <xdr:clientData/>
  </xdr:twoCellAnchor>
  <xdr:twoCellAnchor editAs="oneCell">
    <xdr:from>
      <xdr:col>0</xdr:col>
      <xdr:colOff>0</xdr:colOff>
      <xdr:row>234</xdr:row>
      <xdr:rowOff>0</xdr:rowOff>
    </xdr:from>
    <xdr:to>
      <xdr:col>16</xdr:col>
      <xdr:colOff>69524</xdr:colOff>
      <xdr:row>244</xdr:row>
      <xdr:rowOff>68572</xdr:rowOff>
    </xdr:to>
    <xdr:pic>
      <xdr:nvPicPr>
        <xdr:cNvPr id="20" name="图片 19">
          <a:extLst>
            <a:ext uri="{FF2B5EF4-FFF2-40B4-BE49-F238E27FC236}">
              <a16:creationId xmlns:a16="http://schemas.microsoft.com/office/drawing/2014/main" xmlns="" id="{00000000-0008-0000-3200-000014000000}"/>
            </a:ext>
          </a:extLst>
        </xdr:cNvPr>
        <xdr:cNvPicPr>
          <a:picLocks noChangeAspect="1"/>
        </xdr:cNvPicPr>
      </xdr:nvPicPr>
      <xdr:blipFill>
        <a:blip xmlns:r="http://schemas.openxmlformats.org/officeDocument/2006/relationships" r:embed="rId19"/>
        <a:stretch>
          <a:fillRect/>
        </a:stretch>
      </xdr:blipFill>
      <xdr:spPr>
        <a:xfrm>
          <a:off x="0" y="39624000"/>
          <a:ext cx="11076191" cy="1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江苏省无锡市江阴市东外环路410号酒店用房房地产抵押价值预评估</v>
      </c>
    </row>
    <row r="3" spans="1:2" s="1365" customFormat="1">
      <c r="A3" s="1363" t="s">
        <v>1188</v>
      </c>
      <c r="B3" s="1364">
        <f>'预评函-封皮'!B40</f>
        <v>0</v>
      </c>
    </row>
    <row r="4" spans="1:2" s="1365" customFormat="1">
      <c r="A4" s="1363" t="s">
        <v>1189</v>
      </c>
      <c r="B4" s="1364" t="str">
        <f ca="1">'预评函-封皮'!B46</f>
        <v>郑燚（注册号：1120070131)、吴薇（注册号：1419970001)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受贵公司委托，我公司对江苏省无锡市江阴市东外环路410号酒店用房房地产抵押价值进行了预评估。</v>
      </c>
    </row>
    <row r="7" spans="1:2" s="1365" customFormat="1">
      <c r="A7" s="1363" t="s">
        <v>1231</v>
      </c>
      <c r="B7" s="1364" t="str">
        <f>'预评函-1'!A7</f>
        <v>估价对象为江苏省无锡市江阴市东外环路410号酒店用房房地产，为可域酒店置业管理江阴有限公司所有。根据《国有土地使用证》[]，估价对象（分摊）出让国有建设用地使用权面积为5974.5平方米，建筑面积为44859.7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江苏省无锡市江阴市东外环路410号酒店用房房地产,属可域酒店置业管理江阴有限公司开发建设的，该项目尚在开发建设中。根据《国有土地使用证》[]，估价对象（分摊）出让国有建设用地使用权面积为5974.5平方米，规划建筑面积为44859.7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为估价委托人在向华澳信托办理贷款手续过程中，确定房地产抵押贷款额度提供参考依据而评估房地产抵押价值。</v>
      </c>
    </row>
    <row r="12" spans="1:2" s="1365" customFormat="1">
      <c r="A12" s="1363" t="s">
        <v>1193</v>
      </c>
      <c r="B12" s="1364" t="str">
        <f>'预评函-1'!A15</f>
        <v>2021年3月25日（评估专业人员实地查勘之日）</v>
      </c>
    </row>
    <row r="13" spans="1:2" s="1365" customFormat="1">
      <c r="A13" s="1363" t="s">
        <v>1194</v>
      </c>
      <c r="B13" s="1364" t="str">
        <f>'预评函-1'!A18</f>
        <v>本次估价的“房地产价值”是指在正常市场情况下，在价值时点2021年3月25日，估价对象规划用途为商业，土地取得方式为出让，出让国有建设用地使用权剩余土地使用年限为商业29.53年，假定未设立法定优先受偿款下的房地产市场价值。</v>
      </c>
    </row>
    <row r="14" spans="1:2" s="1365" customFormat="1">
      <c r="A14" s="1363" t="s">
        <v>1195</v>
      </c>
      <c r="B14" s="1364" t="str">
        <f>'预评函-1'!A19</f>
        <v>其中，“出让国有建设用地使用权价值”是指估价对象用途为商业，实际开发程度为宗地红线外“七通”（即、、、、、、）、红线内场地平整条件下，剩余土地使用年限为商业29.53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39669</v>
      </c>
    </row>
    <row r="21" spans="1:2" s="1365" customFormat="1">
      <c r="A21" s="1363" t="s">
        <v>1202</v>
      </c>
      <c r="B21" s="1364">
        <f ca="1">'预评函-2'!D7</f>
        <v>8843</v>
      </c>
    </row>
    <row r="22" spans="1:2" s="1365" customFormat="1">
      <c r="A22" s="1363" t="s">
        <v>1203</v>
      </c>
      <c r="B22" s="1364" t="str">
        <f ca="1">'预评函-2'!D6</f>
        <v>叁亿玖仟陆佰陆拾玖万元整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39669</v>
      </c>
    </row>
    <row r="31" spans="1:2" s="1365" customFormat="1">
      <c r="A31" s="1363" t="s">
        <v>1241</v>
      </c>
      <c r="B31" s="1364">
        <f ca="1">'预评函-2'!D15</f>
        <v>8843</v>
      </c>
    </row>
    <row r="32" spans="1:2" s="1365" customFormat="1">
      <c r="A32" s="1363" t="s">
        <v>1208</v>
      </c>
      <c r="B32" s="1364" t="str">
        <f ca="1">'预评函-2'!D14</f>
        <v>叁亿玖仟陆佰陆拾玖万元整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37533</v>
      </c>
    </row>
    <row r="39" spans="1:2" s="1365" customFormat="1">
      <c r="A39" s="1363" t="s">
        <v>1210</v>
      </c>
      <c r="B39" s="1364">
        <f ca="1">'预评函-2'!D21</f>
        <v>8367</v>
      </c>
    </row>
    <row r="40" spans="1:2" s="1365" customFormat="1">
      <c r="A40" s="1363" t="s">
        <v>1211</v>
      </c>
      <c r="B40" s="1364" t="str">
        <f ca="1">'预评函-2'!D20</f>
        <v>叁亿柒仟伍佰叁拾叁万元整</v>
      </c>
    </row>
    <row r="41" spans="1:2" s="1365" customFormat="1">
      <c r="A41" s="1363" t="s">
        <v>1257</v>
      </c>
      <c r="B41" s="1364" t="str">
        <f>'预评函-3'!A4</f>
        <v>江苏省无锡市江阴市东外环路410号酒店用房房地产</v>
      </c>
    </row>
    <row r="42" spans="1:2" s="1365" customFormat="1">
      <c r="A42" s="1363" t="s">
        <v>1255</v>
      </c>
      <c r="B42" s="1364" t="str">
        <f>'预评函-3'!B2</f>
        <v>建筑面积</v>
      </c>
    </row>
    <row r="43" spans="1:2" s="1365" customFormat="1">
      <c r="A43" s="1363" t="s">
        <v>1256</v>
      </c>
      <c r="B43" s="1364">
        <f>'预评函-3'!B4</f>
        <v>44859.7</v>
      </c>
    </row>
    <row r="44" spans="1:2" s="1365" customFormat="1">
      <c r="A44" s="1363" t="s">
        <v>1240</v>
      </c>
      <c r="B44" s="1364" t="str">
        <f>'预评函-3'!C2</f>
        <v>(分摊)土地面积</v>
      </c>
    </row>
    <row r="45" spans="1:2" s="1365" customFormat="1">
      <c r="A45" s="1363" t="s">
        <v>1212</v>
      </c>
      <c r="B45" s="1364">
        <f>'预评函-3'!C4</f>
        <v>5974.5</v>
      </c>
    </row>
    <row r="46" spans="1:2" s="1365" customFormat="1">
      <c r="A46" s="1363" t="s">
        <v>1238</v>
      </c>
      <c r="B46" s="1364" t="str">
        <f>'预评函-3'!D2</f>
        <v>出让国有建设用地使用权价值</v>
      </c>
    </row>
    <row r="47" spans="1:2" s="1365" customFormat="1">
      <c r="A47" s="1363" t="s">
        <v>1213</v>
      </c>
      <c r="B47" s="1364">
        <f ca="1">'预评函-3'!D4</f>
        <v>-23722</v>
      </c>
    </row>
    <row r="48" spans="1:2" s="1365" customFormat="1">
      <c r="A48" s="1363" t="s">
        <v>1214</v>
      </c>
      <c r="B48" s="1364">
        <f ca="1">'预评函-3'!E4</f>
        <v>-5288</v>
      </c>
    </row>
    <row r="49" spans="1:2" s="1365" customFormat="1">
      <c r="A49" s="1363" t="s">
        <v>1215</v>
      </c>
      <c r="B49" s="1364" t="e">
        <f ca="1">'预评函-3'!D5</f>
        <v>#NUM!</v>
      </c>
    </row>
    <row r="50" spans="1:2" s="1365" customFormat="1">
      <c r="A50" s="1363" t="s">
        <v>1239</v>
      </c>
      <c r="B50" s="1364" t="str">
        <f>'预评函-3'!F2</f>
        <v>在建建筑物价值</v>
      </c>
    </row>
    <row r="51" spans="1:2" s="1365" customFormat="1">
      <c r="A51" s="1363" t="s">
        <v>1216</v>
      </c>
      <c r="B51" s="1364">
        <f ca="1">'预评函-3'!F4</f>
        <v>63391</v>
      </c>
    </row>
    <row r="52" spans="1:2" s="1365" customFormat="1">
      <c r="A52" s="1363" t="s">
        <v>1217</v>
      </c>
      <c r="B52" s="1364">
        <f ca="1">'预评函-3'!G4</f>
        <v>14131</v>
      </c>
    </row>
    <row r="53" spans="1:2" s="1365" customFormat="1">
      <c r="A53" s="1363" t="s">
        <v>1245</v>
      </c>
      <c r="B53" s="1364" t="str">
        <f ca="1">'预评函-3'!F5</f>
        <v>陆亿叁仟叁佰玖拾壹万元整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吴薇</v>
      </c>
    </row>
    <row r="73" spans="1:2" s="1359" customFormat="1" ht="15" thickBot="1">
      <c r="A73" s="1366" t="s">
        <v>1230</v>
      </c>
      <c r="B73" s="1367">
        <f ca="1">'预评函-4'!B5</f>
        <v>1419970001</v>
      </c>
    </row>
    <row r="74" spans="1:2" ht="15" thickTop="1">
      <c r="A74" s="1356" t="s">
        <v>1266</v>
      </c>
      <c r="B74" s="1373"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1" sqref="D21"/>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3036</v>
      </c>
      <c r="C17" s="1733"/>
    </row>
    <row r="18" spans="1:3">
      <c r="A18" s="1732" t="s">
        <v>1732</v>
      </c>
      <c r="B18" s="1732" t="s">
        <v>757</v>
      </c>
      <c r="C18" s="1733"/>
    </row>
    <row r="19" spans="1:3">
      <c r="A19" s="1732" t="s">
        <v>1733</v>
      </c>
      <c r="B19" s="1732" t="s">
        <v>3454</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可域酒店置业管理江阴有限公司拟使用江苏省无锡市江阴市东外环路410号酒店用房房地产作为抵押担保物，向华澳信托办理贷款手续。华澳信托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276"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76"/>
      <c r="B54" s="1740" t="s">
        <v>832</v>
      </c>
      <c r="C54" s="1737" t="s">
        <v>1248</v>
      </c>
    </row>
    <row r="55" spans="1:4">
      <c r="A55" s="3276"/>
      <c r="B55" s="1740" t="s">
        <v>833</v>
      </c>
      <c r="C55" s="1737" t="s">
        <v>1249</v>
      </c>
    </row>
    <row r="56" spans="1:4">
      <c r="A56" s="3276"/>
      <c r="B56" s="1740" t="s">
        <v>834</v>
      </c>
      <c r="C56" s="1737" t="s">
        <v>1253</v>
      </c>
    </row>
    <row r="57" spans="1:4">
      <c r="A57" s="3276"/>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L18" sqref="L18"/>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1" customWidth="1"/>
    <col min="12" max="13" width="10" style="2852"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0" t="s">
        <v>2915</v>
      </c>
      <c r="B1" s="3277" t="str">
        <f>IF(B10="北京市","北京市",C10)&amp;F10&amp;IF(结果表!G1="在建","出让国有建设用地使用权及在建建筑物",IF(结果表!G1="土地","出让国有建设用地使用权",))&amp;B9&amp;"预评估"</f>
        <v>江苏省无锡市江阴市东外环路410号酒店用房房地产抵押价值预评估</v>
      </c>
      <c r="C1" s="3278"/>
      <c r="D1" s="3278"/>
      <c r="E1" s="3278"/>
      <c r="F1" s="3278"/>
      <c r="G1" s="3278"/>
      <c r="H1" s="3278"/>
      <c r="I1" s="3279"/>
      <c r="J1" s="2694"/>
      <c r="K1" s="2592"/>
      <c r="L1" s="2593"/>
      <c r="M1" s="2593"/>
      <c r="N1" s="2594"/>
      <c r="O1" s="1762"/>
      <c r="P1" s="2594"/>
      <c r="Q1" s="2594"/>
      <c r="R1" s="2594"/>
      <c r="S1" s="1869" t="str">
        <f>IF(B10="北京市","北京市",C10)&amp;F10&amp;IF(结果表!G1="在建","出让国有建设用地使用权及在建建筑物房地产抵押价值",IF(结果表!G1="土地","出让国有建设用地使用权抵押价值",B9))</f>
        <v>江苏省无锡市江阴市东外环路410号酒店用房房地产抵押价值</v>
      </c>
      <c r="T1" s="1932"/>
      <c r="U1" s="1932"/>
      <c r="V1" s="1932"/>
      <c r="W1" s="1932"/>
      <c r="X1" s="1932"/>
      <c r="Y1" s="1932"/>
      <c r="Z1" s="1932"/>
      <c r="AA1" s="1932"/>
      <c r="AB1" s="1932"/>
    </row>
    <row r="2" spans="1:28">
      <c r="A2" s="2591" t="s">
        <v>2916</v>
      </c>
      <c r="B2" s="2595"/>
      <c r="C2" s="2596"/>
      <c r="D2" s="2894"/>
      <c r="E2" s="2885"/>
      <c r="F2" s="2885"/>
      <c r="G2" s="2886"/>
      <c r="H2" s="2886"/>
      <c r="I2" s="2886"/>
      <c r="J2" s="2694"/>
      <c r="K2" s="2592"/>
      <c r="L2" s="2593"/>
      <c r="M2" s="2593"/>
      <c r="N2" s="2594"/>
      <c r="O2" s="1762"/>
      <c r="P2" s="2594"/>
      <c r="Q2" s="2594"/>
      <c r="R2" s="2594"/>
      <c r="S2" s="1869" t="str">
        <f>IF(B10="北京市","北京市",C10)&amp;F10&amp;IF(结果表!G1="在建","出让国有建设用地使用权及在建建筑物房地产",IF(结果表!G1="土地","出让国有建设用地使用权","房地产"))</f>
        <v>江苏省无锡市江阴市东外环路410号酒店用房房地产</v>
      </c>
      <c r="T2" s="1932"/>
      <c r="U2" s="1932"/>
      <c r="V2" s="1932"/>
      <c r="W2" s="1932"/>
      <c r="X2" s="1932"/>
      <c r="Y2" s="1932"/>
      <c r="Z2" s="1932"/>
      <c r="AA2" s="1932"/>
      <c r="AB2" s="1932"/>
    </row>
    <row r="3" spans="1:28">
      <c r="A3" s="308" t="s">
        <v>2917</v>
      </c>
      <c r="B3" s="2597">
        <v>44280</v>
      </c>
      <c r="C3" s="2598" t="s">
        <v>2918</v>
      </c>
      <c r="D3" s="2597">
        <f>B3</f>
        <v>44280</v>
      </c>
      <c r="E3" s="2886"/>
      <c r="F3" s="2886"/>
      <c r="G3" s="2886"/>
      <c r="H3" s="2886"/>
      <c r="I3" s="2886"/>
      <c r="J3" s="2694"/>
      <c r="K3" s="2592"/>
      <c r="L3" s="2593"/>
      <c r="M3" s="2593"/>
      <c r="N3" s="2594"/>
      <c r="O3" s="1762"/>
      <c r="P3" s="2594"/>
      <c r="Q3" s="2594"/>
      <c r="R3" s="2594"/>
      <c r="S3" s="1869"/>
      <c r="T3" s="1932"/>
      <c r="U3" s="1932"/>
      <c r="V3" s="1932"/>
      <c r="W3" s="1932"/>
      <c r="X3" s="1932"/>
      <c r="Y3" s="1932"/>
      <c r="Z3" s="1932"/>
      <c r="AA3" s="1932"/>
      <c r="AB3" s="1932"/>
    </row>
    <row r="4" spans="1:28" ht="13.5" thickBot="1">
      <c r="A4" s="1250" t="s">
        <v>2919</v>
      </c>
      <c r="B4" s="2599" t="s">
        <v>3281</v>
      </c>
      <c r="C4" s="2600">
        <f ca="1">SUMIF(注册房地产估价师,B4,估价师及机构信息!B3:B24)</f>
        <v>1120070131</v>
      </c>
      <c r="D4" s="2599" t="s">
        <v>3282</v>
      </c>
      <c r="E4" s="2601">
        <f ca="1">SUMIF(注册房地产估价师,D4,估价师及机构信息!B3:B24)</f>
        <v>1419970001</v>
      </c>
      <c r="F4" s="2599"/>
      <c r="G4" s="2601">
        <f>SUMIF(注册房地产估价师,F4,估价师及机构信息!B3:B24)</f>
        <v>0</v>
      </c>
      <c r="H4" s="2599"/>
      <c r="I4" s="2601">
        <f>SUMIF(注册房地产估价师,H4,估价师及机构信息!B3:B24)</f>
        <v>0</v>
      </c>
      <c r="J4" s="2662"/>
      <c r="K4" s="2602" t="str">
        <f ca="1">CONCATENATE(B4,"（注册号：",C4,")、",D4,"（注册号：",E4,")")</f>
        <v>郑燚（注册号：1120070131)、吴薇（注册号：1419970001)</v>
      </c>
      <c r="L4" s="2593"/>
      <c r="M4" s="2593"/>
      <c r="N4" s="2594"/>
      <c r="O4" s="1762"/>
      <c r="P4" s="2594"/>
      <c r="Q4" s="2594"/>
      <c r="R4" s="2594"/>
      <c r="S4" s="1869"/>
      <c r="T4" s="1932"/>
      <c r="U4" s="1932"/>
      <c r="V4" s="1932"/>
      <c r="W4" s="1932"/>
      <c r="X4" s="1932"/>
      <c r="Y4" s="1932"/>
      <c r="Z4" s="1932"/>
      <c r="AA4" s="1932"/>
      <c r="AB4" s="1932"/>
    </row>
    <row r="5" spans="1:28" ht="13.5" thickTop="1">
      <c r="A5" s="2603" t="s">
        <v>2920</v>
      </c>
      <c r="B5" s="2604"/>
      <c r="C5" s="2605"/>
      <c r="D5" s="2606"/>
      <c r="E5" s="2887"/>
      <c r="F5" s="2887"/>
      <c r="G5" s="2887"/>
      <c r="H5" s="2887"/>
      <c r="I5" s="2887"/>
      <c r="J5" s="2662"/>
      <c r="K5" s="2602" t="str">
        <f>IF(F4="——","",IF(H4="——",F4&amp;"（注册号："&amp;G4&amp;")",CONCATENATE(F4,"（注册号：",G4,")、",H4,"（注册号：",I4,")")))</f>
        <v>（注册号：0)、（注册号：0)</v>
      </c>
      <c r="L5" s="2593"/>
      <c r="M5" s="2593"/>
      <c r="N5" s="2594"/>
      <c r="O5" s="1762"/>
      <c r="P5" s="2594"/>
      <c r="Q5" s="2594"/>
      <c r="R5" s="2594"/>
      <c r="S5" s="1932"/>
      <c r="T5" s="1932"/>
      <c r="U5" s="1932"/>
      <c r="V5" s="1932"/>
      <c r="W5" s="1932"/>
      <c r="X5" s="1932"/>
      <c r="Y5" s="1932"/>
      <c r="Z5" s="1932"/>
      <c r="AA5" s="1932"/>
      <c r="AB5" s="1932"/>
    </row>
    <row r="6" spans="1:28">
      <c r="A6" s="2607" t="s">
        <v>2921</v>
      </c>
      <c r="B6" s="3048" t="s">
        <v>3059</v>
      </c>
      <c r="C6" s="2608"/>
      <c r="D6" s="2609"/>
      <c r="E6" s="2885"/>
      <c r="F6" s="2887"/>
      <c r="G6" s="2887"/>
      <c r="H6" s="2887"/>
      <c r="I6" s="2887"/>
      <c r="J6" s="2662"/>
      <c r="K6" s="2837" t="str">
        <f>IF(COUNTIF(B6,"*上海银行*"),"上海银行","")</f>
        <v/>
      </c>
      <c r="L6" s="2835"/>
      <c r="M6" s="2835"/>
      <c r="N6" s="2662"/>
      <c r="O6" s="2673"/>
      <c r="P6" s="2662"/>
      <c r="Q6" s="2662"/>
      <c r="R6" s="2662"/>
    </row>
    <row r="7" spans="1:28">
      <c r="A7" s="2607" t="s">
        <v>2922</v>
      </c>
      <c r="B7" s="3048" t="s">
        <v>3292</v>
      </c>
      <c r="C7" s="2608"/>
      <c r="D7" s="2609"/>
      <c r="E7" s="2885"/>
      <c r="F7" s="2887"/>
      <c r="G7" s="2887"/>
      <c r="H7" s="2887"/>
      <c r="I7" s="2887"/>
      <c r="J7" s="2662"/>
      <c r="K7" s="2838"/>
      <c r="L7" s="2835"/>
      <c r="M7" s="2835"/>
      <c r="N7" s="2662"/>
      <c r="O7" s="2673"/>
      <c r="P7" s="2662"/>
      <c r="Q7" s="2662"/>
      <c r="R7" s="2662"/>
    </row>
    <row r="8" spans="1:28">
      <c r="A8" s="2610" t="s">
        <v>2923</v>
      </c>
      <c r="B8" s="2611" t="s">
        <v>3061</v>
      </c>
      <c r="C8" s="2612"/>
      <c r="D8" s="3280" t="s">
        <v>2924</v>
      </c>
      <c r="E8" s="2613" t="s">
        <v>3062</v>
      </c>
      <c r="F8" s="2614"/>
      <c r="G8" s="2886"/>
      <c r="H8" s="2886"/>
      <c r="I8" s="2886"/>
      <c r="J8" s="2662"/>
      <c r="K8" s="2836"/>
      <c r="L8" s="2835"/>
      <c r="M8" s="2835"/>
      <c r="N8" s="2662"/>
      <c r="O8" s="2673"/>
      <c r="P8" s="2662"/>
      <c r="Q8" s="2662"/>
      <c r="R8" s="2662"/>
    </row>
    <row r="9" spans="1:28" ht="13.5" thickBot="1">
      <c r="A9" s="2615" t="s">
        <v>2925</v>
      </c>
      <c r="B9" s="2616" t="s">
        <v>3062</v>
      </c>
      <c r="C9" s="2617"/>
      <c r="D9" s="3281"/>
      <c r="E9" s="2616" t="s">
        <v>1252</v>
      </c>
      <c r="F9" s="2618"/>
      <c r="G9" s="2888"/>
      <c r="H9" s="2888"/>
      <c r="I9" s="2888"/>
      <c r="J9" s="2662"/>
      <c r="K9" s="2838"/>
      <c r="L9" s="2835"/>
      <c r="M9" s="2835"/>
      <c r="N9" s="2662"/>
      <c r="O9" s="2673"/>
      <c r="P9" s="2662"/>
      <c r="Q9" s="2662"/>
      <c r="R9" s="2662"/>
    </row>
    <row r="10" spans="1:28" ht="13.5" thickTop="1">
      <c r="A10" s="2619" t="s">
        <v>2926</v>
      </c>
      <c r="B10" s="2620" t="s">
        <v>3063</v>
      </c>
      <c r="C10" s="2621"/>
      <c r="D10" s="2606"/>
      <c r="E10" s="2622" t="s">
        <v>2927</v>
      </c>
      <c r="F10" s="3049" t="s">
        <v>3533</v>
      </c>
      <c r="G10" s="2889"/>
      <c r="H10" s="2890"/>
      <c r="I10" s="2891"/>
      <c r="J10" s="2662"/>
      <c r="K10" s="2838"/>
      <c r="L10" s="2835"/>
      <c r="M10" s="2835"/>
      <c r="N10" s="2662"/>
      <c r="O10" s="2673"/>
      <c r="P10" s="2662"/>
      <c r="Q10" s="2662"/>
      <c r="R10" s="2662"/>
    </row>
    <row r="11" spans="1:28">
      <c r="A11" s="2623" t="s">
        <v>2928</v>
      </c>
      <c r="B11" s="2624" t="s">
        <v>3064</v>
      </c>
      <c r="C11" s="3050" t="s">
        <v>3060</v>
      </c>
      <c r="D11" s="2625"/>
      <c r="E11" s="2594"/>
      <c r="F11" s="2594"/>
      <c r="G11" s="2594"/>
      <c r="H11" s="2594"/>
      <c r="I11" s="2594"/>
      <c r="J11" s="2662"/>
      <c r="K11" s="2838"/>
      <c r="L11" s="2835"/>
      <c r="M11" s="2835"/>
      <c r="N11" s="2662"/>
      <c r="O11" s="2673"/>
      <c r="P11" s="2662"/>
      <c r="Q11" s="2662"/>
      <c r="R11" s="2662"/>
    </row>
    <row r="12" spans="1:28">
      <c r="A12" s="2626" t="s">
        <v>2929</v>
      </c>
      <c r="B12" s="2624" t="s">
        <v>3065</v>
      </c>
      <c r="C12" s="329" t="s">
        <v>2930</v>
      </c>
      <c r="D12" s="2627" t="s">
        <v>2931</v>
      </c>
      <c r="E12" s="2627" t="s">
        <v>2932</v>
      </c>
      <c r="F12" s="2627" t="s">
        <v>2933</v>
      </c>
      <c r="G12" s="2627" t="s">
        <v>2934</v>
      </c>
      <c r="H12" s="2627" t="s">
        <v>2935</v>
      </c>
      <c r="I12" s="2627" t="s">
        <v>2936</v>
      </c>
      <c r="J12" s="2662"/>
      <c r="K12" s="2838"/>
      <c r="L12" s="2835"/>
      <c r="M12" s="2835"/>
      <c r="N12" s="2662"/>
      <c r="O12" s="2673"/>
      <c r="P12" s="2662"/>
      <c r="Q12" s="2662"/>
      <c r="R12" s="2662"/>
    </row>
    <row r="13" spans="1:28">
      <c r="A13" s="1241"/>
      <c r="B13" s="2628"/>
      <c r="C13" s="2629" t="s">
        <v>2937</v>
      </c>
      <c r="D13" s="965"/>
      <c r="E13" s="965">
        <v>55035</v>
      </c>
      <c r="F13" s="965"/>
      <c r="G13" s="965"/>
      <c r="H13" s="965"/>
      <c r="I13" s="965"/>
      <c r="J13" s="2662"/>
      <c r="K13" s="2838"/>
      <c r="L13" s="2835"/>
      <c r="M13" s="2835"/>
      <c r="N13" s="2662"/>
      <c r="O13" s="2673"/>
      <c r="P13" s="2662"/>
      <c r="Q13" s="2662"/>
      <c r="R13" s="2662"/>
    </row>
    <row r="14" spans="1:28">
      <c r="A14" s="1241"/>
      <c r="B14" s="2628"/>
      <c r="C14" s="2629" t="s">
        <v>2938</v>
      </c>
      <c r="D14" s="2630"/>
      <c r="E14" s="2630">
        <v>40</v>
      </c>
      <c r="F14" s="2630"/>
      <c r="G14" s="2630"/>
      <c r="H14" s="2630"/>
      <c r="I14" s="2630"/>
      <c r="J14" s="2662"/>
      <c r="K14" s="2839"/>
      <c r="L14" s="2835"/>
      <c r="M14" s="2835"/>
      <c r="N14" s="2662"/>
      <c r="O14" s="2673"/>
      <c r="P14" s="2662"/>
      <c r="Q14" s="2662"/>
      <c r="R14" s="2662"/>
    </row>
    <row r="15" spans="1:28">
      <c r="A15" s="326"/>
      <c r="B15" s="2631"/>
      <c r="C15" s="2632" t="s">
        <v>2939</v>
      </c>
      <c r="D15" s="2633" t="str">
        <f>IF(B12="出让",IF(D13="","",ROUNDDOWN(MIN((D13-$D$3)/365,D14),2)),D14)</f>
        <v/>
      </c>
      <c r="E15" s="2633">
        <f>IF(B12="出让",IF(E13="","",ROUNDDOWN(MIN((E13-$D$3)/365,E14),2)),E14)</f>
        <v>29.46</v>
      </c>
      <c r="F15" s="2633" t="str">
        <f>IF(B12="出让",IF(F13="","",ROUNDDOWN(MIN((F13-$D$3)/365,F14),2)),F14)</f>
        <v/>
      </c>
      <c r="G15" s="2633" t="str">
        <f>IF(B12="出让",IF(G13="","",ROUNDDOWN(MIN((G13-$D$3)/365,G14),2)),G14)</f>
        <v/>
      </c>
      <c r="H15" s="2633" t="str">
        <f>IF(B12="出让",IF(H13="","",ROUNDDOWN(MIN((H13-$D$3)/365,H14),2)),H14)</f>
        <v/>
      </c>
      <c r="I15" s="2633" t="str">
        <f>IF(B12="出让",IF(I13="","",ROUNDDOWN(MIN((I13-$D$3)/365,I14),2)),I14)</f>
        <v/>
      </c>
      <c r="J15" s="2662"/>
      <c r="K15" s="2840"/>
      <c r="L15" s="2674"/>
      <c r="M15" s="2674"/>
      <c r="N15" s="2731"/>
      <c r="O15" s="2674"/>
      <c r="P15" s="2731"/>
      <c r="Q15" s="2662"/>
      <c r="R15" s="2662"/>
    </row>
    <row r="16" spans="1:28">
      <c r="A16" s="2622" t="s">
        <v>2940</v>
      </c>
      <c r="B16" s="3287" t="s">
        <v>3067</v>
      </c>
      <c r="C16" s="3288"/>
      <c r="D16" s="3289"/>
      <c r="E16" s="2636" t="s">
        <v>2941</v>
      </c>
      <c r="F16" s="3290" t="s">
        <v>3066</v>
      </c>
      <c r="G16" s="3291"/>
      <c r="H16" s="3291"/>
      <c r="I16" s="3292"/>
      <c r="J16" s="2662"/>
      <c r="K16" s="2840"/>
      <c r="L16" s="2674"/>
      <c r="M16" s="2674"/>
      <c r="N16" s="2731"/>
      <c r="O16" s="2674"/>
      <c r="P16" s="2731"/>
      <c r="Q16" s="2662"/>
      <c r="R16" s="2662"/>
    </row>
    <row r="17" spans="1:28">
      <c r="A17" s="319" t="s">
        <v>2942</v>
      </c>
      <c r="B17" s="308" t="s">
        <v>2943</v>
      </c>
      <c r="C17" s="11">
        <f>'数据-汇总表'!E3</f>
        <v>44859.7</v>
      </c>
      <c r="D17" s="2545" t="s">
        <v>2944</v>
      </c>
      <c r="E17" s="3293" t="s">
        <v>2945</v>
      </c>
      <c r="F17" s="3294"/>
      <c r="G17" s="3294"/>
      <c r="H17" s="3294"/>
      <c r="I17" s="3295"/>
      <c r="J17" s="2662"/>
      <c r="K17" s="2841"/>
      <c r="L17" s="2674"/>
      <c r="M17" s="2674"/>
      <c r="N17" s="2731"/>
      <c r="O17" s="2674"/>
      <c r="P17" s="2731"/>
      <c r="Q17" s="2662"/>
      <c r="R17" s="2662"/>
      <c r="S17" s="2662"/>
      <c r="T17" s="2662"/>
      <c r="U17" s="2662"/>
      <c r="V17" s="2662"/>
    </row>
    <row r="18" spans="1:28" ht="24.75" thickBot="1">
      <c r="A18" s="2637" t="s">
        <v>2946</v>
      </c>
      <c r="B18" s="1250" t="s">
        <v>2947</v>
      </c>
      <c r="C18" s="2638">
        <f>'数据-汇总表'!D3</f>
        <v>5974.5</v>
      </c>
      <c r="D18" s="1252" t="s">
        <v>2948</v>
      </c>
      <c r="E18" s="3296" t="s">
        <v>2949</v>
      </c>
      <c r="F18" s="3297"/>
      <c r="G18" s="3297"/>
      <c r="H18" s="3297"/>
      <c r="I18" s="3298"/>
      <c r="J18" s="2662"/>
      <c r="K18" s="2841"/>
      <c r="L18" s="2674"/>
      <c r="M18" s="2674"/>
      <c r="N18" s="2731"/>
      <c r="O18" s="2674"/>
      <c r="P18" s="2731"/>
      <c r="Q18" s="2662"/>
      <c r="R18" s="2662"/>
      <c r="S18" s="2662"/>
      <c r="T18" s="2662"/>
      <c r="U18" s="2662"/>
      <c r="V18" s="2662"/>
    </row>
    <row r="19" spans="1:28" ht="37.5" thickTop="1" thickBot="1">
      <c r="A19" s="333" t="s">
        <v>1741</v>
      </c>
      <c r="B19" s="313" t="s">
        <v>2950</v>
      </c>
      <c r="C19" s="1749"/>
      <c r="D19" s="1750" t="s">
        <v>2951</v>
      </c>
      <c r="E19" s="1751"/>
      <c r="F19" s="1752" t="str">
        <f>IF(AND(C19="是",E19="否"),"是否提供他项权证或相关说明","")</f>
        <v/>
      </c>
      <c r="G19" s="1753"/>
      <c r="H19" s="2887"/>
      <c r="I19" s="2887"/>
      <c r="J19" s="2662"/>
      <c r="K19" s="2838"/>
      <c r="L19" s="2835"/>
      <c r="M19" s="2835"/>
      <c r="N19" s="2731"/>
      <c r="O19" s="2674"/>
      <c r="P19" s="2731"/>
      <c r="Q19" s="2662"/>
      <c r="R19" s="2662"/>
      <c r="S19" s="2662"/>
      <c r="T19" s="2662"/>
      <c r="U19" s="2662"/>
      <c r="V19" s="2662"/>
    </row>
    <row r="20" spans="1:28">
      <c r="A20" s="2855" t="s">
        <v>2952</v>
      </c>
      <c r="B20" s="3283" t="s">
        <v>2953</v>
      </c>
      <c r="C20" s="3284"/>
      <c r="D20" s="3285" t="s">
        <v>2954</v>
      </c>
      <c r="E20" s="3286"/>
      <c r="F20" s="2870" t="s">
        <v>1742</v>
      </c>
      <c r="G20" s="2887"/>
      <c r="H20" s="2887"/>
      <c r="I20" s="2887"/>
      <c r="J20" s="2662"/>
      <c r="K20" s="3282"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5"/>
      <c r="O20" s="2634"/>
      <c r="P20" s="2635"/>
      <c r="Q20" s="2594"/>
      <c r="R20" s="2594"/>
      <c r="S20" s="2594"/>
      <c r="T20" s="2594"/>
      <c r="U20" s="2594"/>
      <c r="V20" s="2594"/>
      <c r="W20" s="1932"/>
      <c r="X20" s="1932"/>
      <c r="Y20" s="1932"/>
      <c r="Z20" s="1932"/>
      <c r="AA20" s="1932"/>
      <c r="AB20" s="1932"/>
    </row>
    <row r="21" spans="1:28" ht="24.75" thickBot="1">
      <c r="A21" s="2855"/>
      <c r="B21" s="2856" t="s">
        <v>2956</v>
      </c>
      <c r="C21" s="2857" t="s">
        <v>1743</v>
      </c>
      <c r="D21" s="1754" t="s">
        <v>2957</v>
      </c>
      <c r="E21" s="2858" t="s">
        <v>1743</v>
      </c>
      <c r="F21" s="2871"/>
      <c r="G21" s="2887"/>
      <c r="H21" s="2887"/>
      <c r="I21" s="2887"/>
      <c r="J21" s="2662"/>
      <c r="K21" s="328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5"/>
      <c r="O21" s="2634"/>
      <c r="P21" s="2635"/>
      <c r="Q21" s="2594"/>
      <c r="R21" s="2594"/>
      <c r="S21" s="2594"/>
      <c r="T21" s="2594"/>
      <c r="U21" s="2594"/>
      <c r="V21" s="2594"/>
      <c r="W21" s="1932"/>
      <c r="X21" s="1932"/>
      <c r="Y21" s="1932"/>
      <c r="Z21" s="1932"/>
      <c r="AA21" s="1932"/>
      <c r="AB21" s="1932"/>
    </row>
    <row r="22" spans="1:28" ht="24.75" thickBot="1">
      <c r="A22" s="2855"/>
      <c r="B22" s="2859" t="s">
        <v>2958</v>
      </c>
      <c r="C22" s="2857" t="s">
        <v>1744</v>
      </c>
      <c r="D22" s="2886"/>
      <c r="E22" s="2886"/>
      <c r="F22" s="2886"/>
      <c r="G22" s="2887"/>
      <c r="H22" s="2887"/>
      <c r="I22" s="2887"/>
      <c r="J22" s="2662"/>
      <c r="K22" s="328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5"/>
      <c r="O22" s="2634"/>
      <c r="P22" s="2635"/>
      <c r="Q22" s="2594"/>
      <c r="R22" s="2594"/>
      <c r="S22" s="2594"/>
      <c r="T22" s="2594"/>
      <c r="U22" s="2594"/>
      <c r="V22" s="2594"/>
      <c r="W22" s="1932"/>
      <c r="X22" s="1932"/>
      <c r="Y22" s="1932"/>
      <c r="Z22" s="1932"/>
      <c r="AA22" s="1932"/>
      <c r="AB22" s="1932"/>
    </row>
    <row r="23" spans="1:28">
      <c r="A23" s="2860" t="s">
        <v>2959</v>
      </c>
      <c r="B23" s="2724" t="s">
        <v>2960</v>
      </c>
      <c r="C23" s="2861"/>
      <c r="D23" s="2862" t="s">
        <v>2960</v>
      </c>
      <c r="E23" s="2863"/>
      <c r="F23" s="2886"/>
      <c r="G23" s="2887"/>
      <c r="H23" s="2887"/>
      <c r="I23" s="2887"/>
      <c r="J23" s="2662"/>
      <c r="K23" s="2842"/>
      <c r="L23" s="2698"/>
      <c r="M23" s="2835"/>
      <c r="N23" s="2731"/>
      <c r="O23" s="2674"/>
      <c r="P23" s="2731"/>
      <c r="Q23" s="2662"/>
      <c r="R23" s="2662"/>
      <c r="S23" s="2662"/>
      <c r="T23" s="2662"/>
      <c r="U23" s="2662"/>
      <c r="V23" s="2662"/>
    </row>
    <row r="24" spans="1:28">
      <c r="A24" s="2860"/>
      <c r="B24" s="2724" t="s">
        <v>1745</v>
      </c>
      <c r="C24" s="2864"/>
      <c r="D24" s="2860" t="s">
        <v>1745</v>
      </c>
      <c r="E24" s="2865"/>
      <c r="F24" s="2886"/>
      <c r="G24" s="2887"/>
      <c r="H24" s="2887"/>
      <c r="I24" s="2887"/>
      <c r="J24" s="2662"/>
      <c r="K24" s="2842"/>
      <c r="L24" s="2698"/>
      <c r="M24" s="2835"/>
      <c r="N24" s="2731"/>
      <c r="O24" s="2674"/>
      <c r="P24" s="2731"/>
      <c r="Q24" s="2662"/>
      <c r="R24" s="2662"/>
      <c r="S24" s="2662"/>
      <c r="T24" s="2662"/>
      <c r="U24" s="2662"/>
      <c r="V24" s="2662"/>
    </row>
    <row r="25" spans="1:28">
      <c r="A25" s="2860"/>
      <c r="B25" s="2724" t="s">
        <v>1746</v>
      </c>
      <c r="C25" s="2864"/>
      <c r="D25" s="2860" t="s">
        <v>1746</v>
      </c>
      <c r="E25" s="2865"/>
      <c r="F25" s="2886"/>
      <c r="G25" s="2887"/>
      <c r="H25" s="2887"/>
      <c r="I25" s="2887"/>
      <c r="J25" s="2662"/>
      <c r="K25" s="2838"/>
      <c r="L25" s="2835"/>
      <c r="M25" s="2835"/>
      <c r="N25" s="2731"/>
      <c r="O25" s="2674"/>
      <c r="P25" s="2731"/>
      <c r="Q25" s="2662"/>
      <c r="R25" s="2662"/>
      <c r="S25" s="2662"/>
      <c r="T25" s="2662"/>
      <c r="U25" s="2662"/>
      <c r="V25" s="2662"/>
    </row>
    <row r="26" spans="1:28" ht="13.5" thickBot="1">
      <c r="A26" s="2866"/>
      <c r="B26" s="2867" t="s">
        <v>1747</v>
      </c>
      <c r="C26" s="2868"/>
      <c r="D26" s="2866" t="s">
        <v>1747</v>
      </c>
      <c r="E26" s="2869"/>
      <c r="F26" s="2888"/>
      <c r="G26" s="2888"/>
      <c r="H26" s="2888"/>
      <c r="I26" s="2888"/>
      <c r="J26" s="2662"/>
      <c r="K26" s="2838"/>
      <c r="L26" s="2835"/>
      <c r="M26" s="2835"/>
      <c r="N26" s="2731"/>
      <c r="O26" s="2674"/>
      <c r="P26" s="2731"/>
      <c r="Q26" s="2662"/>
      <c r="R26" s="2662"/>
      <c r="S26" s="2662"/>
      <c r="T26" s="2662"/>
      <c r="U26" s="2662"/>
      <c r="V26" s="2662"/>
    </row>
    <row r="27" spans="1:28" ht="13.5" thickTop="1">
      <c r="A27" s="3300" t="s">
        <v>2961</v>
      </c>
      <c r="B27" s="326" t="s">
        <v>2962</v>
      </c>
      <c r="C27" s="2639"/>
      <c r="D27" s="2640"/>
      <c r="E27" s="2887"/>
      <c r="F27" s="2887"/>
      <c r="G27" s="2887"/>
      <c r="H27" s="2887"/>
      <c r="I27" s="2887"/>
      <c r="J27" s="2662"/>
      <c r="K27" s="2840"/>
      <c r="L27" s="2674"/>
      <c r="M27" s="2674"/>
      <c r="N27" s="2731"/>
      <c r="O27" s="2674"/>
      <c r="P27" s="2731"/>
      <c r="Q27" s="2662"/>
      <c r="R27" s="2662"/>
      <c r="S27" s="2662"/>
      <c r="T27" s="2662"/>
      <c r="U27" s="2662"/>
      <c r="V27" s="2662"/>
    </row>
    <row r="28" spans="1:28">
      <c r="A28" s="3300"/>
      <c r="B28" s="308" t="s">
        <v>2963</v>
      </c>
      <c r="C28" s="2641"/>
      <c r="D28" s="2642"/>
      <c r="E28" s="2887"/>
      <c r="F28" s="2887"/>
      <c r="G28" s="2887"/>
      <c r="H28" s="2887"/>
      <c r="I28" s="2887"/>
      <c r="J28" s="2662"/>
      <c r="K28" s="2838"/>
      <c r="L28" s="2835"/>
      <c r="M28" s="2835"/>
      <c r="N28" s="2662"/>
      <c r="O28" s="2673"/>
      <c r="P28" s="2662"/>
      <c r="Q28" s="2662"/>
      <c r="R28" s="2662"/>
      <c r="S28" s="2662"/>
      <c r="T28" s="2662"/>
      <c r="U28" s="2662"/>
      <c r="V28" s="2662"/>
    </row>
    <row r="29" spans="1:28">
      <c r="A29" s="3300"/>
      <c r="B29" s="308" t="s">
        <v>2964</v>
      </c>
      <c r="C29" s="2643"/>
      <c r="D29" s="2644"/>
      <c r="E29" s="2887"/>
      <c r="F29" s="2887"/>
      <c r="G29" s="2887"/>
      <c r="H29" s="2887"/>
      <c r="I29" s="2887"/>
      <c r="J29" s="2662"/>
      <c r="K29" s="2838"/>
      <c r="L29" s="2835"/>
      <c r="M29" s="2835"/>
      <c r="N29" s="2662"/>
      <c r="O29" s="2673"/>
      <c r="P29" s="2662"/>
      <c r="Q29" s="2662"/>
      <c r="R29" s="2662"/>
      <c r="S29" s="2662"/>
      <c r="T29" s="2662"/>
      <c r="U29" s="2662"/>
      <c r="V29" s="2662"/>
    </row>
    <row r="30" spans="1:28">
      <c r="A30" s="3301"/>
      <c r="B30" s="308" t="s">
        <v>2965</v>
      </c>
      <c r="C30" s="3302"/>
      <c r="D30" s="3303"/>
      <c r="E30" s="2887"/>
      <c r="F30" s="2887"/>
      <c r="G30" s="2887"/>
      <c r="H30" s="2887"/>
      <c r="I30" s="2887"/>
      <c r="J30" s="2662"/>
      <c r="K30" s="2838"/>
      <c r="L30" s="2835"/>
      <c r="M30" s="2835"/>
      <c r="N30" s="2662"/>
      <c r="O30" s="2673"/>
      <c r="P30" s="2662"/>
      <c r="Q30" s="2662"/>
      <c r="R30" s="2662"/>
      <c r="S30" s="2662"/>
      <c r="T30" s="2662"/>
      <c r="U30" s="2662"/>
      <c r="V30" s="2662"/>
    </row>
    <row r="31" spans="1:28">
      <c r="A31" s="3304" t="s">
        <v>2966</v>
      </c>
      <c r="B31" s="2645"/>
      <c r="C31" s="2546" t="str">
        <f>IF(B31="现房","成新及维护状况正常否",IF(B31="在建","工程状态是否正常",IF(B31="土地","是否闲置","-")))</f>
        <v>-</v>
      </c>
      <c r="D31" s="1558"/>
      <c r="E31" s="2646"/>
      <c r="F31" s="2887"/>
      <c r="G31" s="2887"/>
      <c r="H31" s="2887"/>
      <c r="I31" s="2887"/>
      <c r="J31" s="2662"/>
      <c r="K31" s="2837"/>
      <c r="L31" s="2835"/>
      <c r="M31" s="2835"/>
      <c r="N31" s="2662"/>
      <c r="O31" s="2673"/>
      <c r="P31" s="2662"/>
      <c r="Q31" s="2662"/>
      <c r="R31" s="2662"/>
      <c r="S31" s="2662"/>
      <c r="T31" s="2662"/>
      <c r="U31" s="2662"/>
      <c r="V31" s="2662"/>
    </row>
    <row r="32" spans="1:28">
      <c r="A32" s="3305"/>
      <c r="B32" s="2645"/>
      <c r="C32" s="2546" t="str">
        <f>IF(B32="现房","成新及维护状况是否正常",IF(B32="在建","工程状态是否正常",IF(B32="土地","是否闲置","-")))</f>
        <v>-</v>
      </c>
      <c r="D32" s="1558"/>
      <c r="E32" s="2646"/>
      <c r="F32" s="2887"/>
      <c r="G32" s="2887"/>
      <c r="H32" s="2887"/>
      <c r="I32" s="2887"/>
      <c r="J32" s="2662"/>
      <c r="K32" s="2838"/>
      <c r="L32" s="2835"/>
      <c r="M32" s="2835"/>
      <c r="N32" s="2662"/>
      <c r="O32" s="2673"/>
      <c r="P32" s="2662"/>
      <c r="Q32" s="2662"/>
      <c r="R32" s="2662"/>
      <c r="S32" s="2662"/>
      <c r="T32" s="2662"/>
      <c r="U32" s="2662"/>
      <c r="V32" s="2662"/>
    </row>
    <row r="33" spans="1:30">
      <c r="A33" s="3305"/>
      <c r="B33" s="2648"/>
      <c r="C33" s="1776" t="str">
        <f>IF(B33="现房","成新及维护状况是否正常",IF(B33="在建","工程状态是否正常",IF(B33="土地","是否闲置","-")))</f>
        <v>-</v>
      </c>
      <c r="D33" s="1550"/>
      <c r="E33" s="2649"/>
      <c r="F33" s="2887"/>
      <c r="G33" s="2887"/>
      <c r="H33" s="2887"/>
      <c r="I33" s="2887"/>
      <c r="J33" s="2662"/>
      <c r="K33" s="2838"/>
      <c r="L33" s="2835"/>
      <c r="M33" s="2835"/>
      <c r="N33" s="2662"/>
      <c r="O33" s="2673"/>
      <c r="P33" s="2662"/>
      <c r="Q33" s="2662"/>
      <c r="R33" s="2662"/>
      <c r="S33" s="2662"/>
      <c r="T33" s="2662"/>
      <c r="U33" s="2662"/>
      <c r="V33" s="2662"/>
    </row>
    <row r="34" spans="1:30">
      <c r="A34" s="308" t="s">
        <v>2967</v>
      </c>
      <c r="B34" s="2214"/>
      <c r="C34" s="2214"/>
      <c r="D34" s="2214"/>
      <c r="E34" s="2214"/>
      <c r="F34" s="2214"/>
      <c r="G34" s="2214"/>
      <c r="H34" s="2214"/>
      <c r="I34" s="2887"/>
      <c r="J34" s="2662"/>
      <c r="K34" s="2650">
        <f>COUNTIF(B34:H34,"——")</f>
        <v>0</v>
      </c>
      <c r="L34" s="329" t="s">
        <v>2968</v>
      </c>
      <c r="M34" s="329" t="s">
        <v>2969</v>
      </c>
      <c r="N34" s="329" t="s">
        <v>2970</v>
      </c>
      <c r="O34" s="329" t="s">
        <v>2971</v>
      </c>
      <c r="P34" s="329" t="s">
        <v>2972</v>
      </c>
      <c r="Q34" s="329" t="s">
        <v>2973</v>
      </c>
      <c r="R34" s="329" t="s">
        <v>2974</v>
      </c>
      <c r="S34" s="3299" t="s">
        <v>2975</v>
      </c>
      <c r="T34" s="2651" t="str">
        <f>NUMBERSTRING(7-K34,1)&amp;"通"</f>
        <v>七通</v>
      </c>
      <c r="U34" s="2662"/>
      <c r="V34" s="2662"/>
    </row>
    <row r="35" spans="1:30">
      <c r="A35" s="2652"/>
      <c r="B35" s="3306" t="s">
        <v>2976</v>
      </c>
      <c r="C35" s="3306"/>
      <c r="D35" s="3306"/>
      <c r="E35" s="3306"/>
      <c r="F35" s="673">
        <f>C10</f>
        <v>0</v>
      </c>
      <c r="G35" s="2887"/>
      <c r="H35" s="2887"/>
      <c r="I35" s="2887"/>
      <c r="J35" s="266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9"/>
      <c r="T35" s="335" t="str">
        <f>IF(T34="一通",L35,IF(T34="二通",M35,IF(T34="三通",N35,IF(T34="四通",O35,IF(T34="五通",P35,IF(T34="六通",Q35,R35))))))</f>
        <v>、、、、、、</v>
      </c>
      <c r="U35" s="2662"/>
      <c r="V35" s="2662"/>
    </row>
    <row r="36" spans="1:30">
      <c r="A36" s="2653"/>
      <c r="B36" s="673" t="s">
        <v>2932</v>
      </c>
      <c r="C36" s="673" t="s">
        <v>2933</v>
      </c>
      <c r="D36" s="673" t="s">
        <v>2931</v>
      </c>
      <c r="E36" s="673" t="s">
        <v>2936</v>
      </c>
      <c r="F36" s="2892"/>
      <c r="G36" s="2887"/>
      <c r="H36" s="2887"/>
      <c r="I36" s="2887"/>
      <c r="J36" s="2662"/>
      <c r="K36" s="2838"/>
      <c r="L36" s="2835"/>
      <c r="M36" s="2835"/>
      <c r="N36" s="2662"/>
      <c r="O36" s="2673"/>
      <c r="P36" s="2662"/>
      <c r="Q36" s="2662"/>
      <c r="R36" s="2662"/>
      <c r="S36" s="2662"/>
      <c r="T36" s="2662"/>
      <c r="U36" s="2662"/>
      <c r="V36" s="2662"/>
    </row>
    <row r="37" spans="1:30">
      <c r="A37" s="2853" t="s">
        <v>2977</v>
      </c>
      <c r="B37" s="2654"/>
      <c r="C37" s="2654"/>
      <c r="D37" s="2654"/>
      <c r="E37" s="2654"/>
      <c r="F37" s="2892"/>
      <c r="G37" s="2887"/>
      <c r="H37" s="2887"/>
      <c r="I37" s="2887"/>
      <c r="J37" s="2662"/>
      <c r="K37" s="2838"/>
      <c r="L37" s="2835"/>
      <c r="M37" s="2835"/>
      <c r="N37" s="2662"/>
      <c r="O37" s="2673"/>
      <c r="P37" s="2662"/>
      <c r="Q37" s="2662"/>
      <c r="R37" s="2662"/>
      <c r="S37" s="2662"/>
      <c r="T37" s="2662"/>
      <c r="U37" s="2662"/>
      <c r="V37" s="2662"/>
    </row>
    <row r="38" spans="1:30" ht="13.5" thickBot="1">
      <c r="A38" s="2854" t="s">
        <v>2978</v>
      </c>
      <c r="B38" s="2655"/>
      <c r="C38" s="2655"/>
      <c r="D38" s="2655"/>
      <c r="E38" s="2655"/>
      <c r="F38" s="2893"/>
      <c r="G38" s="2888"/>
      <c r="H38" s="2888"/>
      <c r="I38" s="2888"/>
      <c r="J38" s="2662"/>
      <c r="K38" s="2838"/>
      <c r="L38" s="2835"/>
      <c r="M38" s="2835"/>
      <c r="N38" s="2662"/>
      <c r="O38" s="2673"/>
      <c r="P38" s="2662"/>
      <c r="Q38" s="2662"/>
      <c r="R38" s="2662"/>
      <c r="S38" s="2662"/>
      <c r="T38" s="2662"/>
      <c r="U38" s="2662"/>
      <c r="V38" s="2662"/>
    </row>
    <row r="39" spans="1:30" s="2658" customFormat="1" ht="14.25" thickTop="1" thickBot="1">
      <c r="A39" s="2656" t="s">
        <v>2979</v>
      </c>
      <c r="B39" s="2657"/>
      <c r="C39" s="2657"/>
      <c r="D39" s="2657"/>
      <c r="E39" s="2657"/>
      <c r="F39" s="2657"/>
      <c r="G39" s="2657"/>
      <c r="H39" s="2657"/>
      <c r="I39" s="2657"/>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4"/>
      <c r="B40" s="2594"/>
      <c r="C40" s="2594"/>
      <c r="D40" s="2594"/>
      <c r="E40" s="2594"/>
      <c r="F40" s="2594"/>
      <c r="G40" s="2594"/>
      <c r="H40" s="2594"/>
      <c r="I40" s="1764"/>
      <c r="J40" s="2731"/>
      <c r="K40" s="2837"/>
      <c r="L40" s="2674"/>
      <c r="M40" s="2674"/>
      <c r="N40" s="2731"/>
      <c r="O40" s="2674"/>
      <c r="P40" s="2662"/>
      <c r="Q40" s="2662"/>
      <c r="R40" s="2662"/>
      <c r="S40" s="2662"/>
      <c r="T40" s="2662"/>
      <c r="U40" s="2662"/>
      <c r="V40" s="2662"/>
    </row>
    <row r="41" spans="1:30">
      <c r="A41" s="2659" t="s">
        <v>2980</v>
      </c>
      <c r="B41" s="1944"/>
      <c r="C41" s="1558"/>
      <c r="D41" s="2594"/>
      <c r="E41" s="2594"/>
      <c r="F41" s="2594"/>
      <c r="G41" s="2594"/>
      <c r="H41" s="2594"/>
      <c r="I41" s="1762"/>
      <c r="J41" s="2662"/>
      <c r="K41" s="2838"/>
      <c r="L41" s="2835"/>
      <c r="M41" s="2835"/>
      <c r="N41" s="2662"/>
      <c r="O41" s="2673"/>
      <c r="P41" s="2662"/>
      <c r="Q41" s="2662"/>
      <c r="R41" s="2662"/>
      <c r="S41" s="2662"/>
      <c r="T41" s="2662"/>
      <c r="U41" s="2662"/>
      <c r="V41" s="2662"/>
    </row>
    <row r="42" spans="1:30" ht="25.5">
      <c r="A42" s="329" t="s">
        <v>2981</v>
      </c>
      <c r="B42" s="11" t="s">
        <v>2982</v>
      </c>
      <c r="C42" s="11" t="s">
        <v>2983</v>
      </c>
      <c r="D42" s="11" t="s">
        <v>2984</v>
      </c>
      <c r="E42" s="11" t="s">
        <v>2985</v>
      </c>
      <c r="F42" s="11" t="s">
        <v>2986</v>
      </c>
      <c r="G42" s="11" t="s">
        <v>2987</v>
      </c>
      <c r="H42" s="11" t="s">
        <v>2988</v>
      </c>
      <c r="I42" s="11" t="s">
        <v>2989</v>
      </c>
      <c r="J42" s="2849" t="s">
        <v>2990</v>
      </c>
      <c r="K42" s="2850" t="s">
        <v>2991</v>
      </c>
      <c r="L42" s="2850" t="s">
        <v>2992</v>
      </c>
      <c r="M42" s="2850" t="s">
        <v>2993</v>
      </c>
      <c r="N42" s="2843" t="s">
        <v>2994</v>
      </c>
      <c r="O42" s="2843" t="s">
        <v>2995</v>
      </c>
      <c r="P42" s="2843" t="s">
        <v>2996</v>
      </c>
      <c r="Q42" s="2844" t="s">
        <v>2997</v>
      </c>
      <c r="R42" s="2844" t="s">
        <v>2998</v>
      </c>
      <c r="S42" s="2662"/>
      <c r="T42" s="2662"/>
      <c r="U42" s="2662"/>
      <c r="V42" s="2662"/>
    </row>
    <row r="43" spans="1:30" s="1930" customFormat="1">
      <c r="A43" s="1756"/>
      <c r="B43" s="1182"/>
      <c r="C43" s="1182"/>
      <c r="D43" s="1182"/>
      <c r="E43" s="1182"/>
      <c r="F43" s="1182"/>
      <c r="G43" s="1182"/>
      <c r="H43" s="1182"/>
      <c r="I43" s="1182"/>
      <c r="J43" s="2660"/>
      <c r="K43" s="2661"/>
      <c r="L43" s="2661"/>
      <c r="M43" s="1182"/>
      <c r="N43" s="1182"/>
      <c r="O43" s="1182"/>
      <c r="P43" s="1182"/>
      <c r="Q43" s="1182"/>
      <c r="R43" s="1182"/>
      <c r="S43" s="2662"/>
      <c r="T43" s="2662"/>
      <c r="U43" s="2662"/>
      <c r="V43" s="2662"/>
    </row>
    <row r="44" spans="1:30" s="1930" customFormat="1">
      <c r="A44" s="1756"/>
      <c r="B44" s="1756"/>
      <c r="C44" s="1182"/>
      <c r="D44" s="1182"/>
      <c r="E44" s="1182"/>
      <c r="F44" s="1182"/>
      <c r="G44" s="1182"/>
      <c r="H44" s="1182"/>
      <c r="I44" s="1182"/>
      <c r="J44" s="2660"/>
      <c r="K44" s="2661"/>
      <c r="L44" s="2661"/>
      <c r="M44" s="1182"/>
      <c r="N44" s="1182"/>
      <c r="O44" s="1182"/>
      <c r="P44" s="1182"/>
      <c r="Q44" s="1182"/>
      <c r="R44" s="1182"/>
      <c r="S44" s="2662"/>
      <c r="T44" s="2662"/>
      <c r="U44" s="2662"/>
      <c r="V44" s="2662"/>
    </row>
    <row r="45" spans="1:30" s="1930" customFormat="1">
      <c r="A45" s="1756"/>
      <c r="B45" s="1756"/>
      <c r="C45" s="1182"/>
      <c r="D45" s="1182"/>
      <c r="E45" s="1182"/>
      <c r="F45" s="1182"/>
      <c r="G45" s="1182"/>
      <c r="H45" s="1182"/>
      <c r="I45" s="1182"/>
      <c r="J45" s="2660"/>
      <c r="K45" s="2661"/>
      <c r="L45" s="2661"/>
      <c r="M45" s="1182"/>
      <c r="N45" s="1182"/>
      <c r="O45" s="1182"/>
      <c r="P45" s="1182"/>
      <c r="Q45" s="1182"/>
      <c r="R45" s="1182"/>
      <c r="S45" s="2662"/>
      <c r="T45" s="2662"/>
      <c r="U45" s="2662"/>
      <c r="V45" s="2662"/>
    </row>
    <row r="46" spans="1:30" s="1930" customFormat="1">
      <c r="A46" s="1756"/>
      <c r="B46" s="1756"/>
      <c r="C46" s="1182"/>
      <c r="D46" s="1182"/>
      <c r="E46" s="1182"/>
      <c r="F46" s="1182"/>
      <c r="G46" s="1182"/>
      <c r="H46" s="1182"/>
      <c r="I46" s="1182"/>
      <c r="J46" s="2660"/>
      <c r="K46" s="2661"/>
      <c r="L46" s="2661"/>
      <c r="M46" s="1182"/>
      <c r="N46" s="1182"/>
      <c r="O46" s="1182"/>
      <c r="P46" s="1182"/>
      <c r="Q46" s="1182"/>
      <c r="R46" s="1182"/>
      <c r="S46" s="2662"/>
      <c r="T46" s="2662"/>
      <c r="U46" s="2662"/>
      <c r="V46" s="2662"/>
    </row>
    <row r="47" spans="1:30" s="1930" customFormat="1">
      <c r="A47" s="1756"/>
      <c r="B47" s="1756"/>
      <c r="C47" s="1182"/>
      <c r="D47" s="1182"/>
      <c r="E47" s="1182"/>
      <c r="F47" s="1182"/>
      <c r="G47" s="1182"/>
      <c r="H47" s="1182"/>
      <c r="I47" s="1182"/>
      <c r="J47" s="2660"/>
      <c r="K47" s="2661"/>
      <c r="L47" s="2661"/>
      <c r="M47" s="1182"/>
      <c r="N47" s="1182"/>
      <c r="O47" s="1182"/>
      <c r="P47" s="1182"/>
      <c r="Q47" s="1182"/>
      <c r="R47" s="1182"/>
      <c r="S47" s="2662"/>
      <c r="T47" s="2662"/>
      <c r="U47" s="2662"/>
      <c r="V47" s="2662"/>
    </row>
    <row r="48" spans="1:30" s="1930" customFormat="1">
      <c r="A48" s="1756"/>
      <c r="B48" s="1756"/>
      <c r="C48" s="1182"/>
      <c r="D48" s="1182"/>
      <c r="E48" s="1182"/>
      <c r="F48" s="1182"/>
      <c r="G48" s="1182"/>
      <c r="H48" s="1182"/>
      <c r="I48" s="1182"/>
      <c r="J48" s="2660"/>
      <c r="K48" s="2661"/>
      <c r="L48" s="2661"/>
      <c r="M48" s="1182"/>
      <c r="N48" s="1182"/>
      <c r="O48" s="1182"/>
      <c r="P48" s="1182"/>
      <c r="Q48" s="1182"/>
      <c r="R48" s="1182"/>
      <c r="S48" s="2662"/>
      <c r="T48" s="2662"/>
      <c r="U48" s="2662"/>
      <c r="V48" s="2662"/>
    </row>
    <row r="49" spans="1:22" s="1930" customFormat="1">
      <c r="A49" s="1756"/>
      <c r="B49" s="1756"/>
      <c r="C49" s="1182"/>
      <c r="D49" s="1182"/>
      <c r="E49" s="1182"/>
      <c r="F49" s="1182"/>
      <c r="G49" s="1182"/>
      <c r="H49" s="1182"/>
      <c r="I49" s="1182"/>
      <c r="J49" s="2660"/>
      <c r="K49" s="2661"/>
      <c r="L49" s="2661"/>
      <c r="M49" s="1182"/>
      <c r="N49" s="1182"/>
      <c r="O49" s="1182"/>
      <c r="P49" s="1182"/>
      <c r="Q49" s="1182"/>
      <c r="R49" s="1182"/>
      <c r="S49" s="2662"/>
      <c r="T49" s="2662"/>
      <c r="U49" s="2662"/>
      <c r="V49" s="2662"/>
    </row>
    <row r="50" spans="1:22" s="1930" customFormat="1">
      <c r="A50" s="1756"/>
      <c r="B50" s="1756"/>
      <c r="C50" s="1182"/>
      <c r="D50" s="1182"/>
      <c r="E50" s="1182"/>
      <c r="F50" s="1182"/>
      <c r="G50" s="1182"/>
      <c r="H50" s="1182"/>
      <c r="I50" s="1182"/>
      <c r="J50" s="2660"/>
      <c r="K50" s="2661"/>
      <c r="L50" s="2661"/>
      <c r="M50" s="1182"/>
      <c r="N50" s="1182"/>
      <c r="O50" s="1182"/>
      <c r="P50" s="1182"/>
      <c r="Q50" s="1182"/>
      <c r="R50" s="1182"/>
      <c r="S50" s="2662"/>
      <c r="T50" s="2662"/>
      <c r="U50" s="2662"/>
      <c r="V50" s="2662"/>
    </row>
    <row r="51" spans="1:22" s="1930" customFormat="1">
      <c r="A51" s="1756"/>
      <c r="B51" s="1756"/>
      <c r="C51" s="1182"/>
      <c r="D51" s="1182"/>
      <c r="E51" s="1182"/>
      <c r="F51" s="1182"/>
      <c r="G51" s="1182"/>
      <c r="H51" s="1182"/>
      <c r="I51" s="1182"/>
      <c r="J51" s="2660"/>
      <c r="K51" s="2661"/>
      <c r="L51" s="2661"/>
      <c r="M51" s="1182"/>
      <c r="N51" s="1182"/>
      <c r="O51" s="1182"/>
      <c r="P51" s="1182"/>
      <c r="Q51" s="1182"/>
      <c r="R51" s="1182"/>
    </row>
    <row r="52" spans="1:22" s="1930" customFormat="1">
      <c r="A52" s="1756"/>
      <c r="B52" s="1756"/>
      <c r="C52" s="1756"/>
      <c r="D52" s="1756"/>
      <c r="E52" s="1756"/>
      <c r="F52" s="1182"/>
      <c r="G52" s="1756"/>
      <c r="H52" s="1756"/>
      <c r="I52" s="1756"/>
      <c r="J52" s="2663"/>
      <c r="K52" s="2661"/>
      <c r="L52" s="2661"/>
      <c r="M52" s="2661"/>
      <c r="N52" s="1756"/>
      <c r="O52" s="1756"/>
      <c r="P52" s="1756"/>
      <c r="Q52" s="1756"/>
      <c r="R52" s="1756"/>
    </row>
    <row r="53" spans="1:22" s="1930" customFormat="1">
      <c r="A53" s="1756"/>
      <c r="B53" s="1756"/>
      <c r="C53" s="1756"/>
      <c r="D53" s="1756"/>
      <c r="E53" s="1756"/>
      <c r="F53" s="1182"/>
      <c r="G53" s="1756"/>
      <c r="H53" s="1756"/>
      <c r="I53" s="1756"/>
      <c r="J53" s="2663"/>
      <c r="K53" s="2661"/>
      <c r="L53" s="2661"/>
      <c r="M53" s="2661"/>
      <c r="N53" s="1756"/>
      <c r="O53" s="1756"/>
      <c r="P53" s="1756"/>
      <c r="Q53" s="1756"/>
      <c r="R53" s="1756"/>
    </row>
    <row r="54" spans="1:22" s="1930" customFormat="1">
      <c r="A54" s="1756"/>
      <c r="B54" s="1756"/>
      <c r="C54" s="1756"/>
      <c r="D54" s="1756"/>
      <c r="E54" s="1756"/>
      <c r="F54" s="1182"/>
      <c r="G54" s="1756"/>
      <c r="H54" s="1756"/>
      <c r="I54" s="1756"/>
      <c r="J54" s="2663"/>
      <c r="K54" s="2661"/>
      <c r="L54" s="2661"/>
      <c r="M54" s="2661"/>
      <c r="N54" s="1756"/>
      <c r="O54" s="1756"/>
      <c r="P54" s="1756"/>
      <c r="Q54" s="1756"/>
      <c r="R54" s="1756"/>
    </row>
    <row r="55" spans="1:22" s="1930" customFormat="1">
      <c r="A55" s="1756"/>
      <c r="B55" s="1756"/>
      <c r="C55" s="1756"/>
      <c r="D55" s="1756"/>
      <c r="E55" s="1756"/>
      <c r="F55" s="1182"/>
      <c r="G55" s="1756"/>
      <c r="H55" s="1756"/>
      <c r="I55" s="1756"/>
      <c r="J55" s="2663"/>
      <c r="K55" s="2661"/>
      <c r="L55" s="2661"/>
      <c r="M55" s="2661"/>
      <c r="N55" s="1756"/>
      <c r="O55" s="1756"/>
      <c r="P55" s="1756"/>
      <c r="Q55" s="1756"/>
      <c r="R55" s="1756"/>
    </row>
    <row r="56" spans="1:22" s="1930" customFormat="1">
      <c r="A56" s="1756"/>
      <c r="B56" s="1756"/>
      <c r="C56" s="1756"/>
      <c r="D56" s="1756"/>
      <c r="E56" s="1756"/>
      <c r="F56" s="1182"/>
      <c r="G56" s="1756"/>
      <c r="H56" s="1756"/>
      <c r="I56" s="1756"/>
      <c r="J56" s="2663"/>
      <c r="K56" s="2661"/>
      <c r="L56" s="2661"/>
      <c r="M56" s="2661"/>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5974.5</v>
      </c>
      <c r="B3" s="14">
        <f>IF(C3="否",G5-AT5,G5)</f>
        <v>44859.7</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44859.7</v>
      </c>
      <c r="H5" s="16">
        <f t="shared" ref="H5:AT5" si="0">SUM(H13:H656)</f>
        <v>44859.7</v>
      </c>
      <c r="I5" s="16">
        <f t="shared" si="0"/>
        <v>44859.7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44859.7</v>
      </c>
      <c r="BA5" s="18">
        <f t="shared" si="1"/>
        <v>44859.7</v>
      </c>
      <c r="BB5" s="18">
        <f t="shared" si="1"/>
        <v>44859.7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5974.5</v>
      </c>
      <c r="F6" s="16" t="s">
        <v>1</v>
      </c>
      <c r="G6" s="16" t="s">
        <v>2</v>
      </c>
      <c r="H6" s="20">
        <f>SUMIF(I$12:AB$12,"总值",I6:AB6)</f>
        <v>5974.5</v>
      </c>
      <c r="I6" s="16">
        <f t="shared" ref="I6:AB6" si="2">ROUND($A$3*I5/$B$3,2)</f>
        <v>5974.5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5974.5</v>
      </c>
      <c r="AZ6" s="16" t="s">
        <v>3</v>
      </c>
      <c r="BA6" s="16">
        <f>ROUND($AY$6*BA5/$AZ$5,2)</f>
        <v>5974.5</v>
      </c>
      <c r="BB6" s="16">
        <f>ROUND($AY$6*BB5/$AZ$5,2)</f>
        <v>5974.5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3071</v>
      </c>
      <c r="J9" s="918"/>
      <c r="K9" s="1789"/>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1343</v>
      </c>
      <c r="J10" s="918"/>
      <c r="K10" s="1795"/>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3069</v>
      </c>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商业</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t="str">
        <f>I11</f>
        <v>酒店</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ustomHeight="1">
      <c r="A13" s="1182"/>
      <c r="B13" s="1182"/>
      <c r="C13" s="3051" t="s">
        <v>3070</v>
      </c>
      <c r="D13" s="1811" t="s">
        <v>3068</v>
      </c>
      <c r="E13" s="16">
        <f>IF($C$3="是",ROUND($A$3*G13/$B$3,2),ROUND($A$3*(G13-AT13)/$B$3,2))</f>
        <v>5974.5</v>
      </c>
      <c r="F13" s="32"/>
      <c r="G13" s="33">
        <f>H13+AC13+AT13</f>
        <v>44859.7</v>
      </c>
      <c r="H13" s="20">
        <f>SUMIF(I$12:AB$12,"总值",I13:AB13)</f>
        <v>44859.7</v>
      </c>
      <c r="I13" s="1812">
        <v>44859.7</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酒店</v>
      </c>
      <c r="AY13" s="1534">
        <f>ROUND($AY$6*AZ13/$AZ$5,2)</f>
        <v>5974.5</v>
      </c>
      <c r="AZ13" s="16">
        <f>BA13+BL13</f>
        <v>44859.7</v>
      </c>
      <c r="BA13" s="16">
        <f>SUM(BB13:BK13)</f>
        <v>44859.7</v>
      </c>
      <c r="BB13" s="16">
        <f>IF($D13="是",I13-J13,0)</f>
        <v>44859.7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28.5">
      <c r="A3" s="3307"/>
      <c r="B3" s="3307"/>
      <c r="C3" s="3307"/>
      <c r="D3" s="3308"/>
      <c r="E3" s="33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8" sqref="D38"/>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2"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318" t="s">
        <v>1817</v>
      </c>
      <c r="B2" s="3318"/>
      <c r="C2" s="3318"/>
      <c r="D2" s="904" t="s">
        <v>1793</v>
      </c>
      <c r="E2" s="1825" t="s">
        <v>1794</v>
      </c>
      <c r="F2" s="2882"/>
      <c r="G2" s="2873"/>
      <c r="H2" s="2874"/>
      <c r="I2" s="2548" t="s">
        <v>1818</v>
      </c>
      <c r="J2" s="2882"/>
      <c r="K2" s="2882"/>
      <c r="L2" s="2882"/>
      <c r="M2" s="2882"/>
      <c r="N2" s="2884"/>
      <c r="O2" s="2882"/>
      <c r="P2" s="2882"/>
    </row>
    <row r="3" spans="1:16" ht="15.75" thickBot="1">
      <c r="A3" s="3319" t="s">
        <v>1791</v>
      </c>
      <c r="B3" s="3319"/>
      <c r="C3" s="3319"/>
      <c r="D3" s="46">
        <f>'数据-基础表'!AY6</f>
        <v>5974.5</v>
      </c>
      <c r="E3" s="46">
        <f>'数据-基础表'!AZ5</f>
        <v>44859.7</v>
      </c>
      <c r="F3" s="2882"/>
      <c r="G3" s="1307"/>
      <c r="H3" s="1157" t="s">
        <v>1792</v>
      </c>
      <c r="I3" s="964">
        <f>ROUND('数据-基础表'!B3/'数据-基础表'!A3,2)</f>
        <v>7.51</v>
      </c>
      <c r="J3" s="2882"/>
      <c r="K3" s="2882"/>
      <c r="L3" s="2882"/>
      <c r="M3" s="2882"/>
      <c r="N3" s="2884"/>
      <c r="O3" s="2882"/>
      <c r="P3" s="2882"/>
    </row>
    <row r="4" spans="1:16" ht="15">
      <c r="A4" s="3320"/>
      <c r="B4" s="3321"/>
      <c r="C4" s="3322"/>
      <c r="D4" s="1827" t="s">
        <v>1793</v>
      </c>
      <c r="E4" s="1828" t="s">
        <v>1794</v>
      </c>
      <c r="F4" s="2882"/>
      <c r="G4" s="2875" t="s">
        <v>1819</v>
      </c>
      <c r="H4" s="1157" t="s">
        <v>1799</v>
      </c>
      <c r="I4" s="964">
        <f>ROUND(SUMIF('数据-基础表'!I9:AS9,"地上",'数据-基础表'!I5:AS5)/'数据-基础表'!A3,2)</f>
        <v>7.51</v>
      </c>
      <c r="J4" s="2882"/>
      <c r="K4" s="2882"/>
      <c r="L4" s="2882"/>
      <c r="M4" s="2882"/>
      <c r="N4" s="2884"/>
      <c r="O4" s="2882"/>
      <c r="P4" s="2882"/>
    </row>
    <row r="5" spans="1:16">
      <c r="A5" s="47" t="s">
        <v>1795</v>
      </c>
      <c r="B5" s="3323" t="s">
        <v>1796</v>
      </c>
      <c r="C5" s="3323"/>
      <c r="D5" s="48">
        <f>ROUND($D$3*E5/$E$3,2)</f>
        <v>0</v>
      </c>
      <c r="E5" s="49">
        <f>SUMIF('数据-基础表'!$11:$11,"住宅",'数据-基础表'!$5:$5)</f>
        <v>0</v>
      </c>
      <c r="F5" s="2882"/>
      <c r="G5" s="1307"/>
      <c r="H5" s="1157" t="s">
        <v>1792</v>
      </c>
      <c r="I5" s="964">
        <f>ROUND(E31/D31,2)</f>
        <v>7.51</v>
      </c>
      <c r="J5" s="2882"/>
      <c r="K5" s="2882"/>
      <c r="L5" s="2882"/>
      <c r="M5" s="2882"/>
      <c r="N5" s="2882"/>
      <c r="O5" s="2882"/>
      <c r="P5" s="2882"/>
    </row>
    <row r="6" spans="1:16" ht="15" thickBot="1">
      <c r="A6" s="1830"/>
      <c r="B6" s="3323" t="s">
        <v>1797</v>
      </c>
      <c r="C6" s="3323"/>
      <c r="D6" s="48">
        <f>ROUND($D$3*E6/$E$3,2)</f>
        <v>5974.5</v>
      </c>
      <c r="E6" s="49">
        <f>E3-E5</f>
        <v>44859.7</v>
      </c>
      <c r="F6" s="2882"/>
      <c r="G6" s="2876" t="s">
        <v>1798</v>
      </c>
      <c r="H6" s="1308" t="s">
        <v>1799</v>
      </c>
      <c r="I6" s="2877">
        <f>ROUND(F31/D31,2)</f>
        <v>7.51</v>
      </c>
      <c r="J6" s="2882"/>
      <c r="K6" s="2882"/>
      <c r="L6" s="2882"/>
      <c r="M6" s="2882"/>
      <c r="N6" s="2882"/>
      <c r="O6" s="2882"/>
      <c r="P6" s="2882"/>
    </row>
    <row r="7" spans="1:16" ht="15.75" thickBot="1">
      <c r="A7" s="3315"/>
      <c r="B7" s="3316"/>
      <c r="C7" s="3317"/>
      <c r="D7" s="1827" t="s">
        <v>1793</v>
      </c>
      <c r="E7" s="1831" t="s">
        <v>1800</v>
      </c>
      <c r="F7" s="2882"/>
      <c r="G7" s="2878" t="s">
        <v>1801</v>
      </c>
      <c r="H7" s="2879"/>
      <c r="I7" s="2880">
        <v>3.5</v>
      </c>
      <c r="J7" s="2882"/>
      <c r="K7" s="2882"/>
      <c r="L7" s="2882"/>
      <c r="M7" s="2882"/>
      <c r="N7" s="2882"/>
      <c r="O7" s="2882"/>
      <c r="P7" s="2882"/>
    </row>
    <row r="8" spans="1:16">
      <c r="A8" s="47" t="s">
        <v>1802</v>
      </c>
      <c r="B8" s="50" t="s">
        <v>1803</v>
      </c>
      <c r="C8" s="48" t="s">
        <v>1804</v>
      </c>
      <c r="D8" s="48">
        <f t="shared" ref="D8:D15" si="0">ROUND($D$3*E8/$E$3,2)</f>
        <v>5974.5</v>
      </c>
      <c r="E8" s="51">
        <f>SUMIF('数据-基础表'!BB10:BK10,"地上",'数据-基础表'!BB5:BK5)</f>
        <v>44859.7</v>
      </c>
      <c r="F8" s="2882"/>
      <c r="G8" s="2883"/>
      <c r="H8" s="2883"/>
      <c r="I8" s="2882"/>
      <c r="J8" s="2882"/>
      <c r="K8" s="2882"/>
      <c r="L8" s="2882"/>
      <c r="M8" s="2882"/>
      <c r="N8" s="2882"/>
      <c r="O8" s="2882"/>
      <c r="P8" s="2882"/>
    </row>
    <row r="9" spans="1:16">
      <c r="A9" s="1832"/>
      <c r="B9" s="1833"/>
      <c r="C9" s="48" t="s">
        <v>1805</v>
      </c>
      <c r="D9" s="48">
        <f t="shared" si="0"/>
        <v>0</v>
      </c>
      <c r="E9" s="52">
        <v>0</v>
      </c>
      <c r="F9" s="2882"/>
      <c r="G9" s="2883"/>
      <c r="H9" s="2883"/>
      <c r="I9" s="2882"/>
      <c r="J9" s="2882"/>
      <c r="K9" s="2882"/>
      <c r="L9" s="2882"/>
      <c r="M9" s="2882"/>
      <c r="N9" s="2882"/>
      <c r="O9" s="2882"/>
      <c r="P9" s="2882"/>
    </row>
    <row r="10" spans="1:16">
      <c r="A10" s="1832"/>
      <c r="B10" s="1833"/>
      <c r="C10" s="48" t="s">
        <v>1814</v>
      </c>
      <c r="D10" s="48">
        <f t="shared" si="0"/>
        <v>0</v>
      </c>
      <c r="E10" s="51">
        <f>SUMPRODUCT(('数据-基础表'!BB10:BK10="地下")*('数据-基础表'!BB11:BK11="商业")*('数据-基础表'!BB5:BK5))</f>
        <v>0</v>
      </c>
      <c r="F10" s="2882"/>
      <c r="G10" s="2883"/>
      <c r="H10" s="2883"/>
      <c r="I10" s="2882"/>
      <c r="J10" s="2882"/>
      <c r="K10" s="2882"/>
      <c r="L10" s="2882"/>
      <c r="M10" s="2882"/>
      <c r="N10" s="2882"/>
      <c r="O10" s="2882"/>
      <c r="P10" s="2882"/>
    </row>
    <row r="11" spans="1:16">
      <c r="A11" s="1832"/>
      <c r="B11" s="1833"/>
      <c r="C11" s="48" t="s">
        <v>1806</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32"/>
      <c r="B12" s="1833"/>
      <c r="C12" s="48" t="s">
        <v>1807</v>
      </c>
      <c r="D12" s="48">
        <f t="shared" si="0"/>
        <v>0</v>
      </c>
      <c r="E12" s="51">
        <f>SUMPRODUCT(('数据-基础表'!BB10:BK10="地下")*('数据-基础表'!BB11:BK11="仓储")*('数据-基础表'!BB5:BK5))</f>
        <v>0</v>
      </c>
      <c r="F12" s="2882"/>
      <c r="G12" s="2883"/>
      <c r="H12" s="2883"/>
      <c r="I12" s="2882"/>
      <c r="J12" s="2882"/>
      <c r="K12" s="2882"/>
      <c r="L12" s="2882"/>
      <c r="M12" s="2882"/>
      <c r="N12" s="2882"/>
      <c r="O12" s="2882"/>
      <c r="P12" s="2882"/>
    </row>
    <row r="13" spans="1:16">
      <c r="A13" s="1832"/>
      <c r="B13" s="1833"/>
      <c r="C13" s="48" t="s">
        <v>1808</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32"/>
      <c r="B14" s="1833"/>
      <c r="C14" s="48" t="s">
        <v>1820</v>
      </c>
      <c r="D14" s="48">
        <f t="shared" si="0"/>
        <v>0</v>
      </c>
      <c r="E14" s="51">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32"/>
      <c r="B15" s="1833"/>
      <c r="C15" s="48" t="s">
        <v>1815</v>
      </c>
      <c r="D15" s="48">
        <f t="shared" si="0"/>
        <v>0</v>
      </c>
      <c r="E15" s="51">
        <f>SUMPRODUCT(('数据-基础表'!BB10:BK10="地下")*('数据-基础表'!BB11:BK11="车库—办公")*('数据-基础表'!BB5:BK5))</f>
        <v>0</v>
      </c>
      <c r="F15" s="2882"/>
      <c r="G15" s="2883"/>
      <c r="H15" s="2883"/>
      <c r="I15" s="2882"/>
      <c r="J15" s="2882"/>
      <c r="K15" s="2882"/>
      <c r="L15" s="2882"/>
      <c r="M15" s="2882"/>
      <c r="N15" s="2882"/>
      <c r="O15" s="2882"/>
      <c r="P15" s="2882"/>
    </row>
    <row r="16" spans="1:16" ht="15.75" thickBot="1">
      <c r="A16" s="1830"/>
      <c r="B16" s="1833"/>
      <c r="C16" s="50" t="s">
        <v>1809</v>
      </c>
      <c r="D16" s="50">
        <f>SUM(D8:D15)</f>
        <v>5974.5</v>
      </c>
      <c r="E16" s="53">
        <f>SUM(E8:E15)</f>
        <v>44859.7</v>
      </c>
      <c r="F16" s="2882"/>
      <c r="G16" s="2883"/>
      <c r="H16" s="1834" t="s">
        <v>1821</v>
      </c>
      <c r="I16" s="1835"/>
      <c r="J16" s="1301"/>
      <c r="K16" s="3312" t="s">
        <v>1821</v>
      </c>
      <c r="L16" s="3313"/>
      <c r="M16" s="3313"/>
      <c r="N16" s="3313"/>
      <c r="O16" s="3313"/>
      <c r="P16" s="3314"/>
    </row>
    <row r="17" spans="1:19" ht="15">
      <c r="A17" s="1836" t="s">
        <v>1822</v>
      </c>
      <c r="B17" s="1837" t="s">
        <v>1823</v>
      </c>
      <c r="C17" s="1838" t="s">
        <v>1824</v>
      </c>
      <c r="D17" s="1839" t="s">
        <v>1812</v>
      </c>
      <c r="E17" s="1840" t="s">
        <v>1813</v>
      </c>
      <c r="F17" s="1841"/>
      <c r="G17" s="1842"/>
      <c r="H17" s="1843" t="s">
        <v>1825</v>
      </c>
      <c r="I17" s="1844" t="s">
        <v>1810</v>
      </c>
      <c r="J17" s="1301"/>
      <c r="K17" s="3309" t="s">
        <v>1826</v>
      </c>
      <c r="L17" s="3310"/>
      <c r="M17" s="3311"/>
      <c r="N17" s="3309" t="s">
        <v>1827</v>
      </c>
      <c r="O17" s="3310"/>
      <c r="P17" s="3311"/>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1854" t="str">
        <f>'数据-基础表'!C13</f>
        <v>酒店</v>
      </c>
      <c r="D19" s="48">
        <f>ROUND($D$3*E19/$E$3,2)</f>
        <v>5974.5</v>
      </c>
      <c r="E19" s="56">
        <f t="shared" ref="E19:E26" si="1">SUM(F19:G19)</f>
        <v>44859.7</v>
      </c>
      <c r="F19" s="3021">
        <f>'数据-基础表'!I13</f>
        <v>44859.7</v>
      </c>
      <c r="G19" s="3022"/>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5974.5</v>
      </c>
      <c r="S19" s="1158">
        <f t="shared" si="5"/>
        <v>44859.7</v>
      </c>
    </row>
    <row r="20" spans="1:19">
      <c r="A20" s="1857"/>
      <c r="B20" s="50" t="s">
        <v>1839</v>
      </c>
      <c r="C20" s="1854"/>
      <c r="D20" s="48">
        <f t="shared" ref="D20:D26" si="6">ROUND($D$3*E20/$E$3,2)</f>
        <v>0</v>
      </c>
      <c r="E20" s="56">
        <f t="shared" si="1"/>
        <v>0</v>
      </c>
      <c r="F20" s="3021"/>
      <c r="G20" s="3022"/>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1"/>
      <c r="G21" s="3022"/>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3"/>
      <c r="G22" s="3024"/>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3"/>
      <c r="G23" s="3024"/>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3"/>
      <c r="G24" s="3024"/>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3"/>
      <c r="G25" s="3024"/>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3"/>
      <c r="G26" s="3024"/>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5974.5</v>
      </c>
      <c r="E27" s="1303">
        <f>IF(SUM(E19:E26)='数据-基础表'!BA5,SUM(E19:E26),IF(F27="地上面积有误","面积有误","地下面积有误"))</f>
        <v>44859.7</v>
      </c>
      <c r="F27" s="1302">
        <f>IF(SUM(F19:F26)=E8,SUM(F19:F26),"地上面积有误")</f>
        <v>44859.7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5974.5</v>
      </c>
      <c r="S27" s="1157">
        <f>IF(SUM(S19:S26)=$E$3,SUM(S19:S26),SUM(S19:S26)&amp;"误差"&amp;ROUND(SUM(S19:S26)-E3,2))</f>
        <v>44859.7</v>
      </c>
    </row>
    <row r="28" spans="1:19">
      <c r="A28" s="1857"/>
      <c r="B28" s="50" t="s">
        <v>1841</v>
      </c>
      <c r="C28" s="1169" t="s">
        <v>1842</v>
      </c>
      <c r="D28" s="48">
        <f>ROUND($D$3*E28/$E$3,2)</f>
        <v>0</v>
      </c>
      <c r="E28" s="56">
        <f>SUM(F28:G28)</f>
        <v>0</v>
      </c>
      <c r="F28" s="60">
        <f>'数据-基础表'!BQ5+'数据-基础表'!BS5</f>
        <v>0</v>
      </c>
      <c r="G28" s="61">
        <f>'数据-基础表'!BR5+'数据-基础表'!BT5</f>
        <v>0</v>
      </c>
      <c r="H28" s="2882"/>
      <c r="I28" s="2882"/>
      <c r="J28" s="2882"/>
      <c r="K28" s="2882"/>
      <c r="L28" s="2882"/>
      <c r="M28" s="2882"/>
      <c r="N28" s="2882"/>
      <c r="O28" s="2882"/>
      <c r="P28" s="2882"/>
    </row>
    <row r="29" spans="1:19">
      <c r="A29" s="1857"/>
      <c r="B29" s="50" t="s">
        <v>1841</v>
      </c>
      <c r="C29" s="1861" t="s">
        <v>1843</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7"/>
      <c r="B30" s="50"/>
      <c r="C30" s="1862" t="s">
        <v>1840</v>
      </c>
      <c r="D30" s="1302">
        <f>SUM(D28:D29)</f>
        <v>0</v>
      </c>
      <c r="E30" s="1302">
        <f>SUM(E28:E29)</f>
        <v>0</v>
      </c>
      <c r="F30" s="1302">
        <f>SUM(F28:F29)</f>
        <v>0</v>
      </c>
      <c r="G30" s="1304">
        <f>SUM(G28:G29)</f>
        <v>0</v>
      </c>
      <c r="H30" s="2882"/>
      <c r="I30" s="2882"/>
      <c r="J30" s="2882"/>
      <c r="K30" s="2882"/>
      <c r="L30" s="2882"/>
      <c r="M30" s="2882"/>
      <c r="N30" s="2882"/>
      <c r="O30" s="2882"/>
      <c r="P30" s="2882"/>
    </row>
    <row r="31" spans="1:19" ht="15.75" thickBot="1">
      <c r="A31" s="1863"/>
      <c r="B31" s="1864"/>
      <c r="C31" s="944" t="s">
        <v>1844</v>
      </c>
      <c r="D31" s="685">
        <f>D27+D30</f>
        <v>5974.5</v>
      </c>
      <c r="E31" s="685">
        <f>E27+E30</f>
        <v>44859.7</v>
      </c>
      <c r="F31" s="686">
        <f>F27+F30</f>
        <v>44859.7</v>
      </c>
      <c r="G31" s="687">
        <f>G27+G30</f>
        <v>0</v>
      </c>
      <c r="H31" s="2882"/>
      <c r="I31" s="2882"/>
      <c r="J31" s="2882"/>
      <c r="K31" s="2882"/>
      <c r="L31" s="2882"/>
      <c r="M31" s="2882"/>
      <c r="N31" s="2882"/>
      <c r="O31" s="2882"/>
      <c r="P31" s="2882"/>
    </row>
    <row r="32" spans="1:19">
      <c r="A32" s="1829"/>
      <c r="B32" s="1829" t="s">
        <v>1845</v>
      </c>
      <c r="C32" s="1829"/>
      <c r="D32" s="1829"/>
      <c r="E32" s="1184">
        <f>SUMIF(C19:C26,"*住宅*",E19:E26)</f>
        <v>0</v>
      </c>
      <c r="F32" s="1829"/>
      <c r="G32" s="1829"/>
      <c r="H32" s="2882"/>
      <c r="I32" s="2882"/>
      <c r="J32" s="2882"/>
      <c r="K32" s="2882"/>
      <c r="L32" s="2882"/>
      <c r="M32" s="2882"/>
      <c r="N32" s="2882"/>
      <c r="O32" s="2882"/>
      <c r="P32" s="2882"/>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0" sqref="I20"/>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8.8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5"/>
      <c r="AO1" s="2895"/>
      <c r="AP1" s="2895"/>
      <c r="AQ1" s="2895"/>
      <c r="AR1" s="2895"/>
    </row>
    <row r="2" spans="1:67" s="1745" customFormat="1" ht="15.75" thickBot="1">
      <c r="A2" s="1870" t="s">
        <v>1847</v>
      </c>
      <c r="B2" s="1176">
        <f>项目基本情况!D3</f>
        <v>44280</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7"/>
      <c r="AO2" s="2897"/>
      <c r="AP2" s="2897"/>
      <c r="AQ2" s="2897"/>
      <c r="AR2" s="2897"/>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7"/>
      <c r="AO3" s="2897"/>
      <c r="AP3" s="2897"/>
      <c r="AQ3" s="2897"/>
      <c r="AR3" s="2897"/>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1"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897"/>
      <c r="AO4" s="2897"/>
      <c r="AP4" s="2897"/>
      <c r="AQ4" s="2897"/>
      <c r="AR4" s="2897"/>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3072</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酒店</v>
      </c>
      <c r="B6" s="1900" t="str">
        <f>IF(A6=0,"","经营性")</f>
        <v>经营性</v>
      </c>
      <c r="C6" s="1901" t="s">
        <v>1343</v>
      </c>
      <c r="D6" s="967">
        <f>SUMIF(项目基本情况!D$12:I$12,C6,项目基本情况!D$14:I$14)</f>
        <v>40</v>
      </c>
      <c r="E6" s="966">
        <f>IF(B6="","",SUMIF(项目基本情况!D$12:I$12,C6,项目基本情况!D$13:I$13))</f>
        <v>55035</v>
      </c>
      <c r="F6" s="68">
        <f>SUMIF(项目基本情况!D$12:I$12,C6,项目基本情况!D$15:I$15)</f>
        <v>29.46</v>
      </c>
      <c r="G6" s="69">
        <f>IF(ISERROR(ROUND(POWER(1+H6,D6-F6)*(POWER(1+H6,F6)-1)/(POWER(1+H6,D6)-1),3)),0,ROUND(POWER(1+H6,D6-F6)*(POWER(1+H6,F6)-1)/(POWER(1+H6,D6)-1),3))</f>
        <v>0.88900000000000001</v>
      </c>
      <c r="H6" s="741">
        <v>0.05</v>
      </c>
      <c r="I6" s="3195">
        <v>5.5E-2</v>
      </c>
      <c r="J6" s="70">
        <v>8.5000000000000006E-2</v>
      </c>
      <c r="K6" s="1161">
        <f>SUMIF('数据-汇总表'!C$19:C$33,A6,'数据-汇总表'!E$19:E$33)</f>
        <v>44859.7</v>
      </c>
      <c r="L6" s="742">
        <f>4500</f>
        <v>4500</v>
      </c>
      <c r="M6" s="71">
        <f t="shared" ref="M6:M14" si="0">ROUND(K6*L6/10000,0)</f>
        <v>20187</v>
      </c>
      <c r="N6" s="3199">
        <f>P20</f>
        <v>0.93</v>
      </c>
      <c r="O6" s="71" t="str">
        <f>IF($N$5="成新度","——",ROUND(M6*N6,0))</f>
        <v>——</v>
      </c>
      <c r="P6" s="72" t="str">
        <f>IF($N$5="成新度","——",M6-O6)</f>
        <v>——</v>
      </c>
      <c r="Q6" s="3200">
        <v>0.25</v>
      </c>
      <c r="R6" s="73">
        <f ca="1">SUMIF('数据-汇总表'!C$19:C$33,A6,'数据-汇总表'!R$19:R$27)</f>
        <v>5974.5</v>
      </c>
      <c r="S6" s="54">
        <f>IF('数据-汇总表'!$I$17="按面积比例",SUMIF('数据-汇总表'!C$19:C$33,A6,'数据-汇总表'!K$19:K$33),SUMIF('数据-汇总表'!C$19:C$33,A6,'数据-汇总表'!N$19:N$33))</f>
        <v>0</v>
      </c>
      <c r="T6" s="1334">
        <f>ROUND($L$14*S6/10000,0)</f>
        <v>0</v>
      </c>
      <c r="U6" s="3231">
        <f>U20</f>
        <v>1.95</v>
      </c>
      <c r="V6" s="75">
        <v>2.5000000000000001E-2</v>
      </c>
      <c r="W6" s="3232">
        <v>0.15</v>
      </c>
      <c r="X6" s="1171"/>
      <c r="Y6" s="76">
        <f>N6</f>
        <v>0.93</v>
      </c>
      <c r="Z6" s="77"/>
      <c r="AA6" s="70"/>
      <c r="AB6" s="70"/>
      <c r="AC6" s="1171"/>
      <c r="AD6" s="78"/>
      <c r="AE6" s="1172">
        <f ca="1">IF(AN6="",0,SUMIF(INDIRECT("'"&amp;AN6&amp;"'"&amp;"!E:E"),$AE$5,INDIRECT("'"&amp;AN6&amp;"'"&amp;"!F:F")))</f>
        <v>29.46</v>
      </c>
      <c r="AF6" s="1533"/>
      <c r="AG6" s="143">
        <f>IF(AF6="",0,AE6-AF6)</f>
        <v>0</v>
      </c>
      <c r="AH6" s="79"/>
      <c r="AI6" s="81">
        <v>365</v>
      </c>
      <c r="AJ6" s="82"/>
      <c r="AK6" s="83">
        <v>1.4999999999999999E-2</v>
      </c>
      <c r="AL6" s="84">
        <v>1.5E-3</v>
      </c>
      <c r="AM6" s="85">
        <v>0.02</v>
      </c>
      <c r="AN6" s="1902" t="s">
        <v>3080</v>
      </c>
      <c r="AO6" s="55">
        <f ca="1">SUMIF(INDIRECT("'"&amp;AN6&amp;"'"&amp;"!A:A"),"总价",INDIRECT("'"&amp;AN6&amp;"'"&amp;"!B:B"))</f>
        <v>32821</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95"/>
      <c r="AO14" s="2897"/>
      <c r="AP14" s="2897"/>
      <c r="AQ14" s="2897"/>
      <c r="AR14" s="2897"/>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95"/>
      <c r="AO15" s="2897"/>
      <c r="AP15" s="2897"/>
      <c r="AQ15" s="2897"/>
      <c r="AR15" s="2897"/>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0.88900000000000001</v>
      </c>
      <c r="H16" s="95">
        <f>ROUND(SUMPRODUCT(H6:H13,K6:K13)/SUMPRODUCT((H6:H13&gt;0)*(K6:K13)),3)</f>
        <v>0.05</v>
      </c>
      <c r="I16" s="96"/>
      <c r="J16" s="96"/>
      <c r="K16" s="97">
        <f>SUM(K6:K15)</f>
        <v>44859.7</v>
      </c>
      <c r="L16" s="98">
        <f>ROUND(M16*10000/SUM(K6:K14),0)</f>
        <v>4500</v>
      </c>
      <c r="M16" s="98">
        <f>SUM(M6:M14)</f>
        <v>20187</v>
      </c>
      <c r="N16" s="99">
        <f>ROUND(SUMPRODUCT(M6:M14,N6:N14)/M16,3)</f>
        <v>0.93</v>
      </c>
      <c r="O16" s="98">
        <f>SUM(O6:O14)</f>
        <v>0</v>
      </c>
      <c r="P16" s="98">
        <f>SUM(P6:P14)</f>
        <v>0</v>
      </c>
      <c r="Q16" s="100">
        <f>ROUND(SUMPRODUCT(Q6:Q13,K6:K13)/SUMPRODUCT((Q6:Q13&gt;0)*(K6:K13)),2)</f>
        <v>0.25</v>
      </c>
      <c r="R16" s="1165">
        <f ca="1">SUM(R6:R13)</f>
        <v>5974.5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5"/>
      <c r="AO16" s="2897"/>
      <c r="AP16" s="2897"/>
      <c r="AQ16" s="2897"/>
      <c r="AR16" s="2897"/>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1896</v>
      </c>
      <c r="B18" s="2909"/>
      <c r="C18" s="2897"/>
      <c r="D18" s="2900"/>
      <c r="E18" s="2897"/>
      <c r="F18" s="2897"/>
      <c r="G18" s="2897"/>
      <c r="H18" s="2897"/>
      <c r="I18" s="2897"/>
      <c r="J18" s="2897"/>
      <c r="K18" s="2896"/>
      <c r="L18" s="2896"/>
      <c r="M18" s="2895"/>
      <c r="N18" s="2895"/>
      <c r="O18" s="2895"/>
      <c r="P18" s="2895"/>
      <c r="Q18" s="2895"/>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25">
      <c r="A19" s="1909" t="s">
        <v>1897</v>
      </c>
      <c r="B19" s="108">
        <v>0</v>
      </c>
      <c r="C19" s="3025" t="s">
        <v>3048</v>
      </c>
      <c r="D19" s="2900"/>
      <c r="E19" s="2897"/>
      <c r="F19" s="2897"/>
      <c r="G19" s="2897"/>
      <c r="H19" s="2897"/>
      <c r="I19" s="2897"/>
      <c r="J19" s="2897"/>
      <c r="K19" s="2896"/>
      <c r="L19" s="3060"/>
      <c r="M19" s="2895"/>
      <c r="N19" s="2895">
        <v>2015</v>
      </c>
      <c r="O19" s="2895"/>
      <c r="P19" s="2895"/>
      <c r="Q19" s="2895"/>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25">
      <c r="A20" s="1910" t="s">
        <v>1898</v>
      </c>
      <c r="B20" s="3201">
        <v>3</v>
      </c>
      <c r="C20" s="3026" t="s">
        <v>3046</v>
      </c>
      <c r="D20" s="2900"/>
      <c r="E20" s="2897"/>
      <c r="F20" s="2897"/>
      <c r="G20" s="2897"/>
      <c r="H20" s="2897"/>
      <c r="I20" s="2897"/>
      <c r="J20" s="2897"/>
      <c r="K20" s="2896"/>
      <c r="L20" s="3060" t="s">
        <v>3452</v>
      </c>
      <c r="M20" s="2895"/>
      <c r="N20" s="2895">
        <f>ROUND(1-(2021-N19)/60,2)</f>
        <v>0.9</v>
      </c>
      <c r="O20" s="2895">
        <v>0.95</v>
      </c>
      <c r="P20" s="2895">
        <f>ROUND((N20+O20)/2,2)</f>
        <v>0.93</v>
      </c>
      <c r="Q20" s="2895"/>
      <c r="R20" s="2895"/>
      <c r="S20" s="2895"/>
      <c r="T20" s="2895"/>
      <c r="U20" s="2895">
        <f>ROUND(1.5*1.3,2)</f>
        <v>1.95</v>
      </c>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25">
      <c r="A21" s="1911" t="s">
        <v>1899</v>
      </c>
      <c r="B21" s="109">
        <f>B20</f>
        <v>3</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2895"/>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25">
      <c r="A22" s="1910" t="s">
        <v>1900</v>
      </c>
      <c r="B22" s="110">
        <f>B19+B20</f>
        <v>3</v>
      </c>
      <c r="C22" s="2897"/>
      <c r="D22" s="2900"/>
      <c r="E22" s="2897"/>
      <c r="F22" s="2897"/>
      <c r="G22" s="2897"/>
      <c r="H22" s="2897"/>
      <c r="I22" s="2897"/>
      <c r="J22" s="2897"/>
      <c r="K22" s="2896"/>
      <c r="L22" s="2896"/>
      <c r="M22" s="2895"/>
      <c r="N22" s="2895"/>
      <c r="O22" s="2895"/>
      <c r="P22" s="2895"/>
      <c r="Q22" s="2895"/>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25">
      <c r="A23" s="1911" t="s">
        <v>1901</v>
      </c>
      <c r="B23" s="110">
        <f>B19+B21</f>
        <v>3</v>
      </c>
      <c r="C23" s="2897"/>
      <c r="D23" s="2900"/>
      <c r="E23" s="2897"/>
      <c r="F23" s="2897"/>
      <c r="G23" s="2897"/>
      <c r="H23" s="2897"/>
      <c r="I23" s="2897"/>
      <c r="J23" s="2897"/>
      <c r="K23" s="2896"/>
      <c r="L23" s="2896"/>
      <c r="M23" s="2895"/>
      <c r="N23" s="2895"/>
      <c r="O23" s="2895"/>
      <c r="P23" s="2895"/>
      <c r="Q23" s="2895"/>
      <c r="R23" s="2895"/>
      <c r="S23" s="2895"/>
      <c r="T23" s="2895"/>
      <c r="U23" s="2895"/>
      <c r="V23" s="2895"/>
      <c r="W23" s="2895"/>
      <c r="X23" s="2895"/>
      <c r="Y23" s="2895"/>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12" t="s">
        <v>1902</v>
      </c>
      <c r="B24" s="111">
        <f>B20-B21</f>
        <v>0</v>
      </c>
      <c r="C24" s="2897"/>
      <c r="D24" s="2900"/>
      <c r="E24" s="2897"/>
      <c r="F24" s="2897"/>
      <c r="G24" s="2897"/>
      <c r="H24" s="2897"/>
      <c r="I24" s="2897"/>
      <c r="J24" s="2897"/>
      <c r="K24" s="2896"/>
      <c r="L24" s="2896"/>
      <c r="M24" s="2895"/>
      <c r="N24" s="2895"/>
      <c r="O24" s="2895"/>
      <c r="P24" s="2895"/>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5" thickBot="1">
      <c r="A25" s="1743"/>
      <c r="B25" s="1874"/>
      <c r="C25" s="2897"/>
      <c r="D25" s="2900"/>
      <c r="E25" s="2897"/>
      <c r="F25" s="2897"/>
      <c r="G25" s="2897"/>
      <c r="H25" s="2897"/>
      <c r="I25" s="2897"/>
      <c r="J25" s="2897"/>
      <c r="K25" s="2896"/>
      <c r="L25" s="2896"/>
      <c r="M25" s="2895"/>
      <c r="N25" s="2895"/>
      <c r="O25" s="2895"/>
      <c r="P25" s="2895"/>
      <c r="Q25" s="2895"/>
      <c r="R25" s="2895"/>
      <c r="S25" s="2895"/>
      <c r="T25" s="2895"/>
      <c r="U25" s="2895"/>
      <c r="V25" s="2895"/>
      <c r="W25" s="2895"/>
      <c r="X25" s="2895"/>
      <c r="Y25" s="2895"/>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70" t="s">
        <v>1903</v>
      </c>
      <c r="B26" s="1913" t="s">
        <v>1904</v>
      </c>
      <c r="C26" s="2901" t="s">
        <v>1905</v>
      </c>
      <c r="D26" s="2900"/>
      <c r="E26" s="2897"/>
      <c r="F26" s="2897"/>
      <c r="G26" s="2897"/>
      <c r="H26" s="2897"/>
      <c r="I26" s="2897"/>
      <c r="J26" s="2897"/>
      <c r="K26" s="2896"/>
      <c r="L26" s="2896"/>
      <c r="M26" s="2895"/>
      <c r="N26" s="2895"/>
      <c r="O26" s="2895"/>
      <c r="P26" s="2895"/>
      <c r="Q26" s="2895"/>
      <c r="R26" s="2895"/>
      <c r="S26" s="2895"/>
      <c r="T26" s="2895"/>
      <c r="U26" s="2895"/>
      <c r="V26" s="2895"/>
      <c r="W26" s="2895"/>
      <c r="X26" s="2895"/>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5" customFormat="1" ht="27.75">
      <c r="A27" s="1914" t="s">
        <v>1906</v>
      </c>
      <c r="B27" s="112">
        <v>105</v>
      </c>
      <c r="C27" s="3027" t="s">
        <v>3050</v>
      </c>
      <c r="D27" s="2903"/>
      <c r="E27" s="2884"/>
      <c r="F27" s="2884"/>
      <c r="G27" s="2897"/>
      <c r="H27" s="2897"/>
      <c r="I27" s="2897"/>
      <c r="J27" s="2897"/>
      <c r="K27" s="2896"/>
      <c r="L27" s="2896"/>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105</v>
      </c>
      <c r="C28" s="2904"/>
      <c r="D28" s="2903"/>
      <c r="E28" s="2884"/>
      <c r="F28" s="2884"/>
      <c r="G28" s="2897"/>
      <c r="H28" s="2897"/>
      <c r="I28" s="2897"/>
      <c r="J28" s="2897"/>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成本法!C10</f>
        <v>471</v>
      </c>
      <c r="C29" s="3028" t="s">
        <v>3037</v>
      </c>
      <c r="D29" s="2903"/>
      <c r="E29" s="2884"/>
      <c r="F29" s="2884"/>
      <c r="G29" s="2897"/>
      <c r="H29" s="2897"/>
      <c r="I29" s="2897"/>
      <c r="J29" s="2897"/>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4"/>
      <c r="D30" s="2903"/>
      <c r="E30" s="2884"/>
      <c r="F30" s="2884"/>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2"/>
      <c r="D31" s="2903"/>
      <c r="E31" s="2884"/>
      <c r="F31" s="2884"/>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0.05</v>
      </c>
      <c r="C33" s="3029" t="s">
        <v>3038</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29" t="s">
        <v>3039</v>
      </c>
      <c r="D34" s="2908" t="s">
        <v>3047</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29" t="s">
        <v>3040</v>
      </c>
      <c r="D35" s="2903"/>
      <c r="E35" s="2884"/>
      <c r="F35" s="2884"/>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29" t="s">
        <v>3041</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25">
      <c r="A37" s="1918" t="s">
        <v>1916</v>
      </c>
      <c r="B37" s="120">
        <v>0.03</v>
      </c>
      <c r="C37" s="3029" t="s">
        <v>3042</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25">
      <c r="A38" s="1916" t="s">
        <v>1917</v>
      </c>
      <c r="B38" s="118">
        <v>0.03</v>
      </c>
      <c r="C38" s="3029" t="s">
        <v>3042</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25">
      <c r="A39" s="1919" t="s">
        <v>1918</v>
      </c>
      <c r="B39" s="323">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29.25" thickBot="1">
      <c r="A40" s="3040" t="s">
        <v>3276</v>
      </c>
      <c r="B40" s="1210">
        <f ca="1">IF(A40="利息：取LPR",存贷款利率!G1,存贷款利率!G1+C40)</f>
        <v>4.3499999999999997E-2</v>
      </c>
      <c r="C40" s="3039">
        <v>5.0000000000000001E-3</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25">
      <c r="A41" s="1914" t="s">
        <v>1919</v>
      </c>
      <c r="B41" s="121">
        <f>B42+B43</f>
        <v>5.6000000000000001E-2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25">
      <c r="A42" s="1920" t="s">
        <v>1920</v>
      </c>
      <c r="B42" s="122">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25">
      <c r="A43" s="1920" t="s">
        <v>1921</v>
      </c>
      <c r="B43" s="123">
        <f>B42*(B44+B45+B46)+B47</f>
        <v>6.000000000000001E-3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25">
      <c r="A44" s="1921" t="s">
        <v>1922</v>
      </c>
      <c r="B44" s="124">
        <v>7.0000000000000007E-2</v>
      </c>
      <c r="C44" s="3029" t="s">
        <v>3051</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25">
      <c r="A45" s="1921" t="s">
        <v>1923</v>
      </c>
      <c r="B45" s="122">
        <v>0.03</v>
      </c>
      <c r="C45" s="3028" t="s">
        <v>3043</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25">
      <c r="A46" s="1921" t="s">
        <v>1924</v>
      </c>
      <c r="B46" s="122">
        <v>0.02</v>
      </c>
      <c r="C46" s="3028" t="s">
        <v>3044</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22" t="s">
        <v>1925</v>
      </c>
      <c r="B47" s="125"/>
      <c r="C47" s="3031" t="s">
        <v>3052</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25">
      <c r="A48" s="1923" t="s">
        <v>1926</v>
      </c>
      <c r="B48" s="126">
        <v>0.04</v>
      </c>
      <c r="C48" s="3028" t="s">
        <v>3043</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9" t="s">
        <v>1927</v>
      </c>
      <c r="B49" s="122">
        <v>5.0000000000000001E-4</v>
      </c>
      <c r="C49" s="3028" t="s">
        <v>3045</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25">
      <c r="A50" s="1924" t="s">
        <v>1928</v>
      </c>
      <c r="B50" s="127">
        <v>1.2E-2</v>
      </c>
      <c r="C50" s="2884"/>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7" t="s">
        <v>1929</v>
      </c>
      <c r="B51" s="128">
        <v>0.12</v>
      </c>
      <c r="C51" s="2884"/>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25">
      <c r="A52" s="1924" t="s">
        <v>1930</v>
      </c>
      <c r="B52" s="129">
        <f>SUMIF(A54:A63,B53,B54:B63)</f>
        <v>6</v>
      </c>
      <c r="C52" s="2884"/>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7">
      <c r="A53" s="1916" t="s">
        <v>1931</v>
      </c>
      <c r="B53" s="1925" t="s">
        <v>442</v>
      </c>
      <c r="C53" s="2884" t="s">
        <v>1932</v>
      </c>
      <c r="D53" s="3030" t="s">
        <v>3049</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25">
      <c r="A54" s="1926" t="s">
        <v>1933</v>
      </c>
      <c r="B54" s="80">
        <v>14</v>
      </c>
      <c r="C54" s="2884">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25">
      <c r="A55" s="1926" t="s">
        <v>1934</v>
      </c>
      <c r="B55" s="80">
        <v>9</v>
      </c>
      <c r="C55" s="2884">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25">
      <c r="A56" s="1926" t="s">
        <v>1935</v>
      </c>
      <c r="B56" s="80">
        <v>6</v>
      </c>
      <c r="C56" s="2884">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25">
      <c r="A57" s="1926" t="s">
        <v>1936</v>
      </c>
      <c r="B57" s="80">
        <v>3</v>
      </c>
      <c r="C57" s="2884">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25">
      <c r="A58" s="1926" t="s">
        <v>1937</v>
      </c>
      <c r="B58" s="80">
        <v>1.5</v>
      </c>
      <c r="C58" s="2884">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25">
      <c r="A59" s="1926" t="s">
        <v>1938</v>
      </c>
      <c r="B59" s="80"/>
      <c r="C59" s="2884">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25">
      <c r="A60" s="1926" t="s">
        <v>1939</v>
      </c>
      <c r="B60" s="80"/>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25">
      <c r="A61" s="1926" t="s">
        <v>1940</v>
      </c>
      <c r="B61" s="80"/>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25">
      <c r="A62" s="1926" t="s">
        <v>1941</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7" t="s">
        <v>1942</v>
      </c>
      <c r="B63" s="130"/>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901" customFormat="1">
      <c r="A64" s="2887"/>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901" customFormat="1">
      <c r="A65" s="2887"/>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901" customFormat="1">
      <c r="A66" s="2887"/>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901" customFormat="1">
      <c r="A67" s="2887"/>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901" customFormat="1">
      <c r="A68" s="2887"/>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J17" sqref="J17"/>
    </sheetView>
  </sheetViews>
  <sheetFormatPr defaultColWidth="9" defaultRowHeight="14.25"/>
  <cols>
    <col min="1" max="1" width="9.5" style="1873" customWidth="1"/>
    <col min="2" max="2" width="24.5" style="1758" customWidth="1"/>
    <col min="3" max="3" width="24.5" style="2732" customWidth="1"/>
    <col min="4" max="4" width="2.625" style="2732" customWidth="1"/>
    <col min="5" max="5" width="5.875" style="2732" customWidth="1"/>
    <col min="6" max="6" width="27" style="1758"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7"/>
    <col min="30" max="16384" width="9" style="1873"/>
  </cols>
  <sheetData>
    <row r="1" spans="1:29" s="2680" customFormat="1" ht="18.75" thickBot="1">
      <c r="A1" s="3324" t="s">
        <v>3029</v>
      </c>
      <c r="B1" s="3325"/>
      <c r="C1" s="3325"/>
      <c r="D1" s="3325"/>
      <c r="E1" s="3325"/>
      <c r="F1" s="3325"/>
      <c r="G1" s="3325"/>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3025</v>
      </c>
      <c r="D2" s="2684"/>
      <c r="E2" s="2681"/>
      <c r="F2" s="2685"/>
      <c r="G2" s="2683" t="s">
        <v>3026</v>
      </c>
      <c r="H2" s="907"/>
      <c r="I2" s="907"/>
      <c r="J2" s="907"/>
      <c r="K2" s="907"/>
      <c r="L2" s="907"/>
      <c r="M2" s="907"/>
      <c r="N2" s="907"/>
      <c r="O2" s="907"/>
      <c r="P2" s="907"/>
      <c r="Q2" s="907"/>
      <c r="R2" s="907"/>
    </row>
    <row r="3" spans="1:29" ht="25.5">
      <c r="A3" s="2664" t="s">
        <v>3027</v>
      </c>
      <c r="B3" s="2686" t="s">
        <v>2999</v>
      </c>
      <c r="C3" s="2687"/>
      <c r="D3" s="2688"/>
      <c r="E3" s="2665" t="s">
        <v>3027</v>
      </c>
      <c r="F3" s="2689" t="s">
        <v>3000</v>
      </c>
      <c r="G3" s="2690" t="s">
        <v>3028</v>
      </c>
      <c r="H3" s="907"/>
      <c r="I3" s="907"/>
      <c r="J3" s="907"/>
      <c r="K3" s="907"/>
      <c r="L3" s="907"/>
      <c r="M3" s="907"/>
      <c r="N3" s="907"/>
      <c r="O3" s="907"/>
      <c r="P3" s="907"/>
      <c r="Q3" s="907"/>
      <c r="R3" s="907"/>
    </row>
    <row r="4" spans="1:29" ht="36">
      <c r="A4" s="2665"/>
      <c r="B4" s="329" t="s">
        <v>3001</v>
      </c>
      <c r="C4" s="3052" t="s">
        <v>3074</v>
      </c>
      <c r="D4" s="2688"/>
      <c r="E4" s="2692"/>
      <c r="F4" s="1558" t="s">
        <v>3002</v>
      </c>
      <c r="G4" s="2693" t="s">
        <v>3003</v>
      </c>
      <c r="H4" s="907"/>
      <c r="I4" s="907"/>
      <c r="J4" s="907"/>
      <c r="K4" s="907"/>
      <c r="L4" s="907"/>
      <c r="M4" s="907"/>
      <c r="N4" s="907"/>
      <c r="O4" s="907"/>
      <c r="P4" s="907"/>
      <c r="Q4" s="907"/>
      <c r="R4" s="907"/>
    </row>
    <row r="5" spans="1:29" ht="24">
      <c r="A5" s="2665"/>
      <c r="B5" s="329" t="s">
        <v>3004</v>
      </c>
      <c r="C5" s="2691"/>
      <c r="D5" s="2688"/>
      <c r="E5" s="2692"/>
      <c r="F5" s="329" t="s">
        <v>3005</v>
      </c>
      <c r="G5" s="2693" t="s">
        <v>3006</v>
      </c>
      <c r="H5" s="907"/>
      <c r="I5" s="907"/>
      <c r="J5" s="907"/>
      <c r="K5" s="907"/>
      <c r="L5" s="907"/>
      <c r="M5" s="907"/>
      <c r="N5" s="907"/>
      <c r="O5" s="907"/>
      <c r="P5" s="907"/>
      <c r="Q5" s="907"/>
      <c r="R5" s="907"/>
    </row>
    <row r="6" spans="1:29">
      <c r="A6" s="2665"/>
      <c r="B6" s="329" t="s">
        <v>3007</v>
      </c>
      <c r="C6" s="3053" t="s">
        <v>3076</v>
      </c>
      <c r="D6" s="2688"/>
      <c r="E6" s="2692"/>
      <c r="F6" s="329" t="s">
        <v>3008</v>
      </c>
      <c r="G6" s="2693" t="s">
        <v>3009</v>
      </c>
      <c r="H6" s="907"/>
      <c r="I6" s="907"/>
      <c r="J6" s="907"/>
      <c r="K6" s="907"/>
      <c r="L6" s="907"/>
      <c r="M6" s="907"/>
      <c r="N6" s="907"/>
      <c r="O6" s="907"/>
      <c r="P6" s="907"/>
      <c r="Q6" s="907"/>
      <c r="R6" s="907"/>
    </row>
    <row r="7" spans="1:29" ht="24.75" thickBot="1">
      <c r="A7" s="2665"/>
      <c r="B7" s="329" t="s">
        <v>3005</v>
      </c>
      <c r="C7" s="3053" t="s">
        <v>3076</v>
      </c>
      <c r="D7" s="2694"/>
      <c r="E7" s="2695"/>
      <c r="F7" s="2696" t="s">
        <v>3010</v>
      </c>
      <c r="G7" s="2697" t="s">
        <v>3011</v>
      </c>
      <c r="H7" s="907"/>
      <c r="I7" s="907"/>
      <c r="J7" s="907"/>
      <c r="K7" s="907"/>
      <c r="L7" s="907"/>
      <c r="M7" s="907"/>
      <c r="N7" s="907"/>
      <c r="O7" s="907"/>
      <c r="P7" s="907"/>
      <c r="Q7" s="907"/>
      <c r="R7" s="907"/>
    </row>
    <row r="8" spans="1:29">
      <c r="A8" s="2665"/>
      <c r="B8" s="329" t="s">
        <v>3008</v>
      </c>
      <c r="C8" s="3053" t="s">
        <v>3078</v>
      </c>
      <c r="D8" s="2694"/>
      <c r="E8" s="2694"/>
      <c r="F8" s="2698"/>
      <c r="G8" s="2698"/>
      <c r="H8" s="907"/>
      <c r="I8" s="907"/>
      <c r="J8" s="907"/>
      <c r="K8" s="907"/>
      <c r="L8" s="907"/>
      <c r="M8" s="907"/>
      <c r="N8" s="907"/>
      <c r="O8" s="907"/>
      <c r="P8" s="907"/>
      <c r="Q8" s="907"/>
      <c r="R8" s="907"/>
    </row>
    <row r="9" spans="1:29">
      <c r="A9" s="2665"/>
      <c r="B9" s="329" t="s">
        <v>3012</v>
      </c>
      <c r="C9" s="3052" t="s">
        <v>3076</v>
      </c>
      <c r="D9" s="2688"/>
      <c r="E9" s="2694"/>
      <c r="F9" s="2698"/>
      <c r="G9" s="2698"/>
      <c r="H9" s="907"/>
      <c r="I9" s="907"/>
      <c r="J9" s="907"/>
      <c r="K9" s="907"/>
      <c r="L9" s="907"/>
      <c r="M9" s="907"/>
      <c r="N9" s="907"/>
      <c r="O9" s="907"/>
      <c r="P9" s="907"/>
      <c r="Q9" s="907"/>
      <c r="R9" s="907"/>
    </row>
    <row r="10" spans="1:29" s="2703" customFormat="1" ht="15" thickBot="1">
      <c r="A10" s="2666"/>
      <c r="B10" s="2699" t="s">
        <v>3013</v>
      </c>
      <c r="C10" s="3054" t="s">
        <v>3079</v>
      </c>
      <c r="D10" s="2688"/>
      <c r="E10" s="2688"/>
      <c r="F10" s="2698"/>
      <c r="G10" s="2698"/>
      <c r="H10" s="2700"/>
      <c r="I10" s="2701"/>
      <c r="J10" s="2702"/>
      <c r="K10" s="2700"/>
      <c r="L10" s="2701"/>
      <c r="M10" s="2702"/>
      <c r="N10" s="2700"/>
      <c r="O10" s="2701"/>
      <c r="P10" s="2702"/>
      <c r="Q10" s="2700"/>
      <c r="R10" s="2701"/>
      <c r="S10" s="907"/>
      <c r="T10" s="907"/>
      <c r="U10" s="907"/>
      <c r="V10" s="907"/>
      <c r="W10" s="907"/>
      <c r="X10" s="907"/>
      <c r="Y10" s="907"/>
      <c r="Z10" s="907"/>
      <c r="AA10" s="907"/>
      <c r="AB10" s="907"/>
      <c r="AC10" s="907"/>
    </row>
    <row r="11" spans="1:29" s="2703" customFormat="1">
      <c r="A11" s="2704"/>
      <c r="B11" s="2694"/>
      <c r="C11" s="2688"/>
      <c r="D11" s="2688"/>
      <c r="E11" s="2688"/>
      <c r="F11" s="2694"/>
      <c r="G11" s="2705"/>
      <c r="H11" s="2700"/>
      <c r="I11" s="2701"/>
      <c r="J11" s="2702"/>
      <c r="K11" s="2700"/>
      <c r="L11" s="2701"/>
      <c r="M11" s="2702"/>
      <c r="N11" s="2700"/>
      <c r="O11" s="2701"/>
      <c r="P11" s="2702"/>
      <c r="Q11" s="2700"/>
      <c r="R11" s="2701"/>
      <c r="S11" s="907"/>
      <c r="T11" s="907"/>
      <c r="U11" s="907"/>
      <c r="V11" s="907"/>
      <c r="W11" s="907"/>
      <c r="X11" s="907"/>
      <c r="Y11" s="907"/>
      <c r="Z11" s="907"/>
      <c r="AA11" s="907"/>
      <c r="AB11" s="907"/>
      <c r="AC11" s="907"/>
    </row>
    <row r="12" spans="1:29" s="2680" customFormat="1" ht="18">
      <c r="A12" s="2704"/>
      <c r="B12" s="2694"/>
      <c r="C12" s="2688"/>
      <c r="D12" s="2706"/>
      <c r="E12" s="2688"/>
      <c r="F12" s="2694"/>
      <c r="G12" s="2705"/>
      <c r="H12" s="2707"/>
      <c r="I12" s="2708"/>
      <c r="J12" s="2707"/>
      <c r="K12" s="2707"/>
      <c r="L12" s="2709"/>
      <c r="M12" s="2707"/>
      <c r="N12" s="2710"/>
      <c r="O12" s="2711"/>
      <c r="P12" s="2710"/>
      <c r="Q12" s="2710"/>
      <c r="R12" s="2678"/>
      <c r="S12" s="2679"/>
      <c r="T12" s="2679"/>
      <c r="U12" s="2679"/>
      <c r="V12" s="2679"/>
      <c r="W12" s="2679"/>
      <c r="X12" s="2679"/>
      <c r="Y12" s="2679"/>
      <c r="Z12" s="2679"/>
      <c r="AA12" s="2679"/>
      <c r="AB12" s="2679"/>
      <c r="AC12" s="2679"/>
    </row>
    <row r="13" spans="1:29" ht="15.75" thickBot="1">
      <c r="A13" s="2712" t="s">
        <v>3030</v>
      </c>
      <c r="B13" s="2706"/>
      <c r="C13" s="2706"/>
      <c r="D13" s="2704"/>
      <c r="E13" s="2706"/>
      <c r="F13" s="2706"/>
      <c r="G13" s="2706"/>
    </row>
    <row r="14" spans="1:29" ht="15" thickBot="1">
      <c r="A14" s="2716"/>
      <c r="B14" s="2716"/>
      <c r="C14" s="2717" t="s">
        <v>3014</v>
      </c>
      <c r="D14" s="2688"/>
      <c r="E14" s="2718"/>
      <c r="F14" s="2718"/>
      <c r="G14" s="2683" t="s">
        <v>3015</v>
      </c>
    </row>
    <row r="15" spans="1:29" ht="25.5">
      <c r="A15" s="2667" t="s">
        <v>3016</v>
      </c>
      <c r="B15" s="2719" t="s">
        <v>2999</v>
      </c>
      <c r="C15" s="2720">
        <f>C3</f>
        <v>0</v>
      </c>
      <c r="D15" s="2688"/>
      <c r="E15" s="2668" t="s">
        <v>3017</v>
      </c>
      <c r="F15" s="2719" t="s">
        <v>3018</v>
      </c>
      <c r="G15" s="2721" t="str">
        <f>G3</f>
        <v>估价对象位于XX开发区，园区建设成熟度XX，产业集聚程度XX</v>
      </c>
    </row>
    <row r="16" spans="1:29" ht="38.25">
      <c r="A16" s="2669"/>
      <c r="B16" s="2722" t="s">
        <v>3001</v>
      </c>
      <c r="C16" s="2723" t="str">
        <f>C4</f>
        <v>一般</v>
      </c>
      <c r="D16" s="2688"/>
      <c r="E16" s="2670"/>
      <c r="F16" s="2724" t="s">
        <v>3002</v>
      </c>
      <c r="G16" s="2725" t="str">
        <f>G4</f>
        <v>估价对象周边道路状况、公共交通通达情况、停车便捷程度，综合评价交通便捷度较好</v>
      </c>
    </row>
    <row r="17" spans="1:18">
      <c r="A17" s="2669"/>
      <c r="B17" s="2722" t="s">
        <v>3004</v>
      </c>
      <c r="C17" s="2723">
        <f>C5</f>
        <v>0</v>
      </c>
      <c r="D17" s="2694"/>
      <c r="E17" s="2670"/>
      <c r="F17" s="2724" t="s">
        <v>3019</v>
      </c>
      <c r="G17" s="2726"/>
    </row>
    <row r="18" spans="1:18" ht="25.5">
      <c r="A18" s="2669"/>
      <c r="B18" s="2724" t="s">
        <v>3007</v>
      </c>
      <c r="C18" s="2725" t="str">
        <f>C6</f>
        <v>较好</v>
      </c>
      <c r="D18" s="2694"/>
      <c r="E18" s="2670"/>
      <c r="F18" s="2724" t="s">
        <v>3010</v>
      </c>
      <c r="G18" s="2725" t="str">
        <f>G7</f>
        <v>该园区内是否有污染型企业，绿化情况，卫生条件，整体环境状况判断</v>
      </c>
    </row>
    <row r="19" spans="1:18" ht="25.5">
      <c r="A19" s="2669"/>
      <c r="B19" s="2724" t="s">
        <v>3020</v>
      </c>
      <c r="C19" s="2726"/>
      <c r="D19" s="2688"/>
      <c r="E19" s="2670"/>
      <c r="F19" s="329" t="s">
        <v>3005</v>
      </c>
      <c r="G19" s="2725" t="str">
        <f>G5</f>
        <v>估价对象所在区域公共配套设施齐备情况</v>
      </c>
    </row>
    <row r="20" spans="1:18">
      <c r="A20" s="2669"/>
      <c r="B20" s="2724" t="s">
        <v>3021</v>
      </c>
      <c r="C20" s="2723" t="str">
        <f>C9</f>
        <v>较好</v>
      </c>
      <c r="D20" s="2694"/>
      <c r="E20" s="2670"/>
      <c r="F20" s="329" t="s">
        <v>3008</v>
      </c>
      <c r="G20" s="2725" t="str">
        <f>G6</f>
        <v>估价对象所在区域基础设施水平</v>
      </c>
    </row>
    <row r="21" spans="1:18">
      <c r="A21" s="2669"/>
      <c r="B21" s="329" t="s">
        <v>3005</v>
      </c>
      <c r="C21" s="2725" t="str">
        <f>C7</f>
        <v>较好</v>
      </c>
      <c r="D21" s="2688"/>
      <c r="E21" s="2670"/>
      <c r="F21" s="2724" t="s">
        <v>3022</v>
      </c>
      <c r="G21" s="2727"/>
    </row>
    <row r="22" spans="1:18" ht="13.5" customHeight="1">
      <c r="A22" s="2669"/>
      <c r="B22" s="329" t="s">
        <v>3008</v>
      </c>
      <c r="C22" s="2725" t="str">
        <f>C8</f>
        <v>六通</v>
      </c>
      <c r="D22" s="2688"/>
      <c r="E22" s="2670"/>
      <c r="F22" s="2724" t="s">
        <v>3013</v>
      </c>
      <c r="G22" s="2726"/>
    </row>
    <row r="23" spans="1:18" s="907" customFormat="1" ht="15" thickBot="1">
      <c r="A23" s="2669"/>
      <c r="B23" s="2724" t="s">
        <v>3022</v>
      </c>
      <c r="C23" s="2727"/>
      <c r="D23" s="1928"/>
      <c r="E23" s="2671"/>
      <c r="F23" s="2728" t="s">
        <v>3023</v>
      </c>
      <c r="G23" s="2729"/>
      <c r="H23" s="2713"/>
      <c r="I23" s="2714"/>
      <c r="J23" s="2713"/>
      <c r="K23" s="2713"/>
      <c r="L23" s="2714"/>
      <c r="M23" s="2713"/>
      <c r="N23" s="2713"/>
      <c r="O23" s="2714"/>
      <c r="P23" s="2713"/>
      <c r="Q23" s="2713"/>
      <c r="R23" s="2715"/>
    </row>
    <row r="24" spans="1:18" s="907" customFormat="1" ht="15" thickBot="1">
      <c r="A24" s="2672"/>
      <c r="B24" s="2728" t="s">
        <v>3024</v>
      </c>
      <c r="C24" s="2730" t="str">
        <f>C10</f>
        <v>城市次干道——人民东路</v>
      </c>
      <c r="D24" s="1928"/>
      <c r="E24" s="2662"/>
      <c r="F24" s="2662"/>
      <c r="G24" s="2731"/>
      <c r="H24" s="2713"/>
      <c r="I24" s="2714"/>
      <c r="J24" s="2713"/>
      <c r="K24" s="2713"/>
      <c r="L24" s="2714"/>
      <c r="M24" s="2713"/>
      <c r="N24" s="2713"/>
      <c r="O24" s="2714"/>
      <c r="P24" s="2713"/>
      <c r="Q24" s="2713"/>
      <c r="R24" s="2715"/>
    </row>
    <row r="25" spans="1:18" s="907" customFormat="1">
      <c r="B25" s="2713"/>
      <c r="C25" s="2713"/>
      <c r="D25" s="2713"/>
      <c r="H25" s="2713"/>
      <c r="I25" s="2714"/>
      <c r="J25" s="2713"/>
      <c r="K25" s="2713"/>
      <c r="L25" s="2714"/>
      <c r="M25" s="2713"/>
      <c r="N25" s="2713"/>
      <c r="O25" s="2714"/>
      <c r="P25" s="2713"/>
      <c r="Q25" s="2713"/>
      <c r="R25" s="2715"/>
    </row>
    <row r="26" spans="1:18" s="907" customFormat="1">
      <c r="B26" s="2713"/>
      <c r="C26" s="2713"/>
      <c r="D26" s="2713"/>
      <c r="H26" s="2713"/>
      <c r="I26" s="2714"/>
      <c r="J26" s="2713"/>
      <c r="K26" s="2713"/>
      <c r="L26" s="2714"/>
      <c r="M26" s="2713"/>
      <c r="N26" s="2713"/>
      <c r="O26" s="2714"/>
      <c r="P26" s="2713"/>
      <c r="Q26" s="2713"/>
      <c r="R26" s="2715"/>
    </row>
    <row r="27" spans="1:18" s="907" customFormat="1">
      <c r="B27" s="2713"/>
      <c r="C27" s="2713"/>
      <c r="D27" s="2713"/>
      <c r="H27" s="2713"/>
      <c r="I27" s="2714"/>
      <c r="J27" s="2713"/>
      <c r="K27" s="2713"/>
      <c r="L27" s="2714"/>
      <c r="M27" s="2713"/>
      <c r="N27" s="2713"/>
      <c r="O27" s="2714"/>
      <c r="P27" s="2713"/>
      <c r="Q27" s="2713"/>
      <c r="R27" s="2715"/>
    </row>
    <row r="28" spans="1:18" s="907" customFormat="1">
      <c r="B28" s="2713"/>
      <c r="C28" s="2713"/>
      <c r="D28" s="2713"/>
      <c r="H28" s="2713"/>
      <c r="I28" s="2714"/>
      <c r="J28" s="2713"/>
      <c r="K28" s="2713"/>
      <c r="L28" s="2714"/>
      <c r="M28" s="2713"/>
      <c r="N28" s="2713"/>
      <c r="O28" s="2714"/>
      <c r="P28" s="2713"/>
      <c r="Q28" s="2713"/>
      <c r="R28" s="2715"/>
    </row>
    <row r="29" spans="1:18" s="907" customFormat="1">
      <c r="B29" s="2713"/>
      <c r="C29" s="2713"/>
      <c r="D29" s="2713"/>
      <c r="H29" s="2713"/>
      <c r="I29" s="2714"/>
      <c r="J29" s="2713"/>
      <c r="K29" s="2713"/>
      <c r="L29" s="2714"/>
      <c r="M29" s="2713"/>
      <c r="N29" s="2713"/>
      <c r="O29" s="2714"/>
      <c r="P29" s="2713"/>
      <c r="Q29" s="2713"/>
      <c r="R29" s="2715"/>
    </row>
    <row r="30" spans="1:18" s="907" customFormat="1">
      <c r="B30" s="2713"/>
      <c r="C30" s="2713"/>
      <c r="D30" s="2713"/>
      <c r="H30" s="2713"/>
      <c r="I30" s="2714"/>
      <c r="J30" s="2713"/>
      <c r="K30" s="2713"/>
      <c r="L30" s="2714"/>
      <c r="M30" s="2713"/>
      <c r="N30" s="2713"/>
      <c r="O30" s="2714"/>
      <c r="P30" s="2713"/>
      <c r="Q30" s="2713"/>
      <c r="R30" s="2715"/>
    </row>
    <row r="31" spans="1:18" s="907" customFormat="1">
      <c r="B31" s="2713"/>
      <c r="C31" s="2713"/>
      <c r="D31" s="2713"/>
      <c r="H31" s="2713"/>
      <c r="I31" s="2714"/>
      <c r="J31" s="2713"/>
      <c r="K31" s="2713"/>
      <c r="L31" s="2714"/>
      <c r="M31" s="2713"/>
      <c r="N31" s="2713"/>
      <c r="O31" s="2714"/>
      <c r="P31" s="2713"/>
      <c r="Q31" s="2713"/>
      <c r="R31" s="2715"/>
    </row>
    <row r="32" spans="1:18" s="907" customFormat="1">
      <c r="B32" s="2713"/>
      <c r="C32" s="2713"/>
      <c r="D32" s="2713"/>
      <c r="H32" s="2713"/>
      <c r="I32" s="2714"/>
      <c r="J32" s="2713"/>
      <c r="K32" s="2713"/>
      <c r="L32" s="2714"/>
      <c r="M32" s="2713"/>
      <c r="N32" s="2713"/>
      <c r="O32" s="2714"/>
      <c r="P32" s="2713"/>
      <c r="Q32" s="2713"/>
      <c r="R32" s="2715"/>
    </row>
    <row r="33" spans="2:18" s="907" customFormat="1">
      <c r="B33" s="2713"/>
      <c r="C33" s="2713"/>
      <c r="D33" s="2713"/>
      <c r="H33" s="2713"/>
      <c r="I33" s="2714"/>
      <c r="J33" s="2713"/>
      <c r="K33" s="2713"/>
      <c r="L33" s="2714"/>
      <c r="M33" s="2713"/>
      <c r="N33" s="2713"/>
      <c r="O33" s="2714"/>
      <c r="P33" s="2713"/>
      <c r="Q33" s="2713"/>
      <c r="R33" s="2715"/>
    </row>
    <row r="34" spans="2:18" s="907" customFormat="1">
      <c r="B34" s="2713"/>
      <c r="C34" s="2713"/>
      <c r="D34" s="2713"/>
      <c r="H34" s="2713"/>
      <c r="I34" s="2714"/>
      <c r="J34" s="2713"/>
      <c r="K34" s="2713"/>
      <c r="L34" s="2714"/>
      <c r="M34" s="2713"/>
      <c r="N34" s="2713"/>
      <c r="O34" s="2714"/>
      <c r="P34" s="2713"/>
      <c r="Q34" s="2713"/>
      <c r="R34" s="2715"/>
    </row>
    <row r="35" spans="2:18" s="907" customFormat="1">
      <c r="B35" s="2713"/>
      <c r="C35" s="2713"/>
      <c r="D35" s="2713"/>
      <c r="H35" s="2713"/>
      <c r="I35" s="2714"/>
      <c r="J35" s="2713"/>
      <c r="K35" s="2713"/>
      <c r="L35" s="2714"/>
      <c r="M35" s="2713"/>
      <c r="N35" s="2713"/>
      <c r="O35" s="2714"/>
      <c r="P35" s="2713"/>
      <c r="Q35" s="2713"/>
      <c r="R35" s="2715"/>
    </row>
    <row r="36" spans="2:18" s="907" customFormat="1">
      <c r="B36" s="2713"/>
      <c r="C36" s="2713"/>
      <c r="D36" s="2713"/>
      <c r="H36" s="2713"/>
      <c r="I36" s="2714"/>
      <c r="J36" s="2713"/>
      <c r="K36" s="2713"/>
      <c r="L36" s="2714"/>
      <c r="M36" s="2713"/>
      <c r="N36" s="2713"/>
      <c r="O36" s="2714"/>
      <c r="P36" s="2713"/>
      <c r="Q36" s="2713"/>
      <c r="R36" s="2715"/>
    </row>
    <row r="37" spans="2:18" s="907" customFormat="1">
      <c r="B37" s="2713"/>
      <c r="C37" s="2713"/>
      <c r="D37" s="2713"/>
      <c r="H37" s="2713"/>
      <c r="I37" s="2714"/>
      <c r="J37" s="2713"/>
      <c r="K37" s="2713"/>
      <c r="L37" s="2714"/>
      <c r="M37" s="2713"/>
      <c r="N37" s="2713"/>
      <c r="O37" s="2714"/>
      <c r="P37" s="2713"/>
      <c r="Q37" s="2713"/>
      <c r="R37" s="2715"/>
    </row>
    <row r="38" spans="2:18" s="907" customFormat="1">
      <c r="B38" s="2713"/>
      <c r="C38" s="2713"/>
      <c r="D38" s="2713"/>
      <c r="E38" s="2713"/>
      <c r="F38" s="2713"/>
      <c r="G38" s="2714"/>
      <c r="H38" s="2713"/>
      <c r="I38" s="2714"/>
      <c r="J38" s="2713"/>
      <c r="K38" s="2713"/>
      <c r="L38" s="2714"/>
      <c r="M38" s="2713"/>
      <c r="N38" s="2713"/>
      <c r="O38" s="2714"/>
      <c r="P38" s="2713"/>
      <c r="Q38" s="2713"/>
      <c r="R38" s="2715"/>
    </row>
    <row r="39" spans="2:18" s="907" customFormat="1">
      <c r="B39" s="2713"/>
      <c r="C39" s="2713"/>
      <c r="D39" s="2713"/>
      <c r="E39" s="2713"/>
      <c r="F39" s="2713"/>
      <c r="G39" s="2714"/>
      <c r="H39" s="2713"/>
      <c r="I39" s="2714"/>
      <c r="J39" s="2713"/>
      <c r="K39" s="2713"/>
      <c r="L39" s="2714"/>
      <c r="M39" s="2713"/>
      <c r="N39" s="2713"/>
      <c r="O39" s="2714"/>
      <c r="P39" s="2713"/>
      <c r="Q39" s="2713"/>
      <c r="R39" s="2715"/>
    </row>
    <row r="40" spans="2:18" s="907" customFormat="1">
      <c r="B40" s="2713"/>
      <c r="C40" s="2713"/>
      <c r="D40" s="2713"/>
      <c r="E40" s="2713"/>
      <c r="F40" s="2713"/>
      <c r="G40" s="2714"/>
      <c r="H40" s="2713"/>
      <c r="I40" s="2714"/>
      <c r="J40" s="2713"/>
      <c r="K40" s="2713"/>
      <c r="L40" s="2714"/>
      <c r="M40" s="2713"/>
      <c r="N40" s="2713"/>
      <c r="O40" s="2714"/>
      <c r="P40" s="2713"/>
      <c r="Q40" s="2713"/>
      <c r="R40" s="2715"/>
    </row>
    <row r="41" spans="2:18" s="907" customFormat="1">
      <c r="B41" s="2713"/>
      <c r="C41" s="2713"/>
      <c r="D41" s="2713"/>
      <c r="E41" s="2713"/>
      <c r="F41" s="2713"/>
      <c r="G41" s="2714"/>
      <c r="H41" s="2713"/>
      <c r="I41" s="2714"/>
      <c r="J41" s="2713"/>
      <c r="K41" s="2713"/>
      <c r="L41" s="2714"/>
      <c r="M41" s="2713"/>
      <c r="N41" s="2713"/>
      <c r="O41" s="2714"/>
      <c r="P41" s="2713"/>
      <c r="Q41" s="2713"/>
      <c r="R41" s="2715"/>
    </row>
    <row r="42" spans="2:18" s="907" customFormat="1">
      <c r="B42" s="2713"/>
      <c r="C42" s="2713"/>
      <c r="D42" s="2713"/>
      <c r="E42" s="2713"/>
      <c r="F42" s="2713"/>
      <c r="G42" s="2714"/>
      <c r="H42" s="2713"/>
      <c r="I42" s="2714"/>
      <c r="J42" s="2713"/>
      <c r="K42" s="2713"/>
      <c r="L42" s="2714"/>
      <c r="M42" s="2713"/>
      <c r="N42" s="2713"/>
      <c r="O42" s="2714"/>
      <c r="P42" s="2713"/>
      <c r="Q42" s="2713"/>
      <c r="R42" s="2715"/>
    </row>
    <row r="43" spans="2:18" s="907" customFormat="1">
      <c r="B43" s="2713"/>
      <c r="C43" s="2713"/>
      <c r="D43" s="2713"/>
      <c r="E43" s="2713"/>
      <c r="F43" s="2713"/>
      <c r="G43" s="2714"/>
      <c r="H43" s="2713"/>
      <c r="I43" s="2714"/>
      <c r="J43" s="2713"/>
      <c r="K43" s="2713"/>
      <c r="L43" s="2714"/>
      <c r="M43" s="2713"/>
      <c r="N43" s="2713"/>
      <c r="O43" s="2714"/>
      <c r="P43" s="2713"/>
      <c r="Q43" s="2713"/>
      <c r="R43" s="2715"/>
    </row>
    <row r="44" spans="2:18" s="907" customFormat="1">
      <c r="B44" s="2713"/>
      <c r="C44" s="2713"/>
      <c r="D44" s="2713"/>
      <c r="E44" s="2713"/>
      <c r="F44" s="2713"/>
      <c r="G44" s="2714"/>
      <c r="H44" s="2713"/>
      <c r="I44" s="2714"/>
      <c r="J44" s="2713"/>
      <c r="K44" s="2713"/>
      <c r="L44" s="2714"/>
      <c r="M44" s="2713"/>
      <c r="N44" s="2713"/>
      <c r="O44" s="2714"/>
      <c r="P44" s="2713"/>
      <c r="Q44" s="2713"/>
      <c r="R44" s="2715"/>
    </row>
    <row r="45" spans="2:18" s="907" customFormat="1">
      <c r="B45" s="2713"/>
      <c r="C45" s="2713"/>
      <c r="D45" s="2713"/>
      <c r="E45" s="2713"/>
      <c r="F45" s="2713"/>
      <c r="G45" s="2714"/>
      <c r="H45" s="2713"/>
      <c r="I45" s="2714"/>
      <c r="J45" s="2713"/>
      <c r="K45" s="2713"/>
      <c r="L45" s="2714"/>
      <c r="M45" s="2713"/>
      <c r="N45" s="2713"/>
      <c r="O45" s="2714"/>
      <c r="P45" s="2713"/>
      <c r="Q45" s="2713"/>
      <c r="R45" s="2715"/>
    </row>
    <row r="46" spans="2:18" s="907" customFormat="1">
      <c r="B46" s="2713"/>
      <c r="C46" s="2713"/>
      <c r="D46" s="2713"/>
      <c r="E46" s="2713"/>
      <c r="F46" s="2713"/>
      <c r="G46" s="2714"/>
      <c r="H46" s="2713"/>
      <c r="I46" s="2714"/>
      <c r="J46" s="2713"/>
      <c r="K46" s="2713"/>
      <c r="L46" s="2714"/>
      <c r="M46" s="2713"/>
      <c r="N46" s="2713"/>
      <c r="O46" s="2714"/>
      <c r="P46" s="2713"/>
      <c r="Q46" s="2713"/>
      <c r="R46" s="2715"/>
    </row>
    <row r="47" spans="2:18" s="907" customFormat="1">
      <c r="B47" s="2713"/>
      <c r="C47" s="2713"/>
      <c r="D47" s="2713"/>
      <c r="E47" s="2713"/>
      <c r="F47" s="2713"/>
      <c r="G47" s="2714"/>
      <c r="H47" s="2713"/>
      <c r="I47" s="2714"/>
      <c r="J47" s="2713"/>
      <c r="K47" s="2713"/>
      <c r="L47" s="2714"/>
      <c r="M47" s="2713"/>
      <c r="N47" s="2713"/>
      <c r="O47" s="2714"/>
      <c r="P47" s="2713"/>
      <c r="Q47" s="2713"/>
      <c r="R47" s="2715"/>
    </row>
    <row r="48" spans="2:18" s="907" customFormat="1">
      <c r="B48" s="2713"/>
      <c r="C48" s="2713"/>
      <c r="D48" s="2713"/>
      <c r="E48" s="2713"/>
      <c r="F48" s="2713"/>
      <c r="G48" s="2714"/>
      <c r="H48" s="2713"/>
      <c r="I48" s="2714"/>
      <c r="J48" s="2713"/>
      <c r="K48" s="2713"/>
      <c r="L48" s="2714"/>
      <c r="M48" s="2713"/>
      <c r="N48" s="2713"/>
      <c r="O48" s="2714"/>
      <c r="P48" s="2713"/>
      <c r="Q48" s="2713"/>
      <c r="R48" s="2715"/>
    </row>
    <row r="49" spans="2:18" s="907" customFormat="1">
      <c r="B49" s="2713"/>
      <c r="C49" s="2713"/>
      <c r="D49" s="2713"/>
      <c r="E49" s="2713"/>
      <c r="F49" s="2713"/>
      <c r="G49" s="2714"/>
      <c r="H49" s="2713"/>
      <c r="I49" s="2714"/>
      <c r="J49" s="2713"/>
      <c r="K49" s="2713"/>
      <c r="L49" s="2714"/>
      <c r="M49" s="2713"/>
      <c r="N49" s="2713"/>
      <c r="O49" s="2714"/>
      <c r="P49" s="2713"/>
      <c r="Q49" s="2713"/>
      <c r="R49" s="2715"/>
    </row>
    <row r="50" spans="2:18" s="907" customFormat="1">
      <c r="B50" s="2713"/>
      <c r="C50" s="2713"/>
      <c r="D50" s="2713"/>
      <c r="E50" s="2713"/>
      <c r="F50" s="2713"/>
      <c r="G50" s="2714"/>
      <c r="H50" s="2713"/>
      <c r="I50" s="2714"/>
      <c r="J50" s="2713"/>
      <c r="K50" s="2713"/>
      <c r="L50" s="2714"/>
      <c r="M50" s="2713"/>
      <c r="N50" s="2713"/>
      <c r="O50" s="2714"/>
      <c r="P50" s="2713"/>
      <c r="Q50" s="2713"/>
      <c r="R50" s="2715"/>
    </row>
    <row r="51" spans="2:18" s="907" customFormat="1">
      <c r="B51" s="2713"/>
      <c r="C51" s="2713"/>
      <c r="D51" s="2713"/>
      <c r="E51" s="2713"/>
      <c r="F51" s="2713"/>
      <c r="G51" s="2714"/>
      <c r="H51" s="2713"/>
      <c r="I51" s="2714"/>
      <c r="J51" s="2713"/>
      <c r="K51" s="2713"/>
      <c r="L51" s="2714"/>
      <c r="M51" s="2713"/>
      <c r="N51" s="2713"/>
      <c r="O51" s="2714"/>
      <c r="P51" s="2713"/>
      <c r="Q51" s="2713"/>
      <c r="R51" s="2715"/>
    </row>
    <row r="52" spans="2:18" s="907" customFormat="1">
      <c r="B52" s="2713"/>
      <c r="C52" s="2713"/>
      <c r="D52" s="2713"/>
      <c r="E52" s="2713"/>
      <c r="F52" s="2713"/>
      <c r="G52" s="2714"/>
      <c r="H52" s="2713"/>
      <c r="I52" s="2714"/>
      <c r="J52" s="2713"/>
      <c r="K52" s="2713"/>
      <c r="L52" s="2714"/>
      <c r="M52" s="2713"/>
      <c r="N52" s="2713"/>
      <c r="O52" s="2714"/>
      <c r="P52" s="2713"/>
      <c r="Q52" s="2713"/>
      <c r="R52" s="2715"/>
    </row>
    <row r="53" spans="2:18" s="907" customFormat="1">
      <c r="B53" s="2713"/>
      <c r="C53" s="2713"/>
      <c r="D53" s="2713"/>
      <c r="E53" s="2713"/>
      <c r="F53" s="2713"/>
      <c r="G53" s="2714"/>
      <c r="H53" s="2713"/>
      <c r="I53" s="2714"/>
      <c r="J53" s="2713"/>
      <c r="K53" s="2713"/>
      <c r="L53" s="2714"/>
      <c r="M53" s="2713"/>
      <c r="N53" s="2713"/>
      <c r="O53" s="2714"/>
      <c r="P53" s="2713"/>
      <c r="Q53" s="2713"/>
      <c r="R53" s="2715"/>
    </row>
    <row r="54" spans="2:18" s="907" customFormat="1">
      <c r="B54" s="2713"/>
      <c r="C54" s="2713"/>
      <c r="D54" s="2713"/>
      <c r="E54" s="2713"/>
      <c r="F54" s="2713"/>
      <c r="G54" s="2714"/>
      <c r="H54" s="2713"/>
      <c r="I54" s="2714"/>
      <c r="J54" s="2713"/>
      <c r="K54" s="2713"/>
      <c r="L54" s="2714"/>
      <c r="M54" s="2713"/>
      <c r="N54" s="2713"/>
      <c r="O54" s="2714"/>
      <c r="P54" s="2713"/>
      <c r="Q54" s="2713"/>
      <c r="R54" s="2715"/>
    </row>
    <row r="55" spans="2:18" s="907" customFormat="1">
      <c r="B55" s="2713"/>
      <c r="C55" s="2713"/>
      <c r="D55" s="2713"/>
      <c r="E55" s="2713"/>
      <c r="F55" s="2713"/>
      <c r="G55" s="2714"/>
      <c r="H55" s="2713"/>
      <c r="I55" s="2714"/>
      <c r="J55" s="2713"/>
      <c r="K55" s="2713"/>
      <c r="L55" s="2714"/>
      <c r="M55" s="2713"/>
      <c r="N55" s="2713"/>
      <c r="O55" s="2714"/>
      <c r="P55" s="2713"/>
      <c r="Q55" s="2713"/>
      <c r="R55" s="2715"/>
    </row>
    <row r="56" spans="2:18" s="907" customFormat="1">
      <c r="B56" s="2713"/>
      <c r="C56" s="2713"/>
      <c r="D56" s="2713"/>
      <c r="E56" s="2713"/>
      <c r="F56" s="2713"/>
      <c r="G56" s="2714"/>
      <c r="H56" s="2713"/>
      <c r="I56" s="2714"/>
      <c r="J56" s="2713"/>
      <c r="K56" s="2713"/>
      <c r="L56" s="2714"/>
      <c r="M56" s="2713"/>
      <c r="N56" s="2713"/>
      <c r="O56" s="2714"/>
      <c r="P56" s="2713"/>
      <c r="Q56" s="2713"/>
      <c r="R56" s="2715"/>
    </row>
    <row r="57" spans="2:18" s="907" customFormat="1">
      <c r="B57" s="2713"/>
      <c r="C57" s="2713"/>
      <c r="D57" s="2713"/>
      <c r="E57" s="2713"/>
      <c r="F57" s="2713"/>
      <c r="G57" s="2714"/>
      <c r="H57" s="2713"/>
      <c r="I57" s="2714"/>
      <c r="J57" s="2713"/>
      <c r="K57" s="2713"/>
      <c r="L57" s="2714"/>
      <c r="M57" s="2713"/>
      <c r="N57" s="2713"/>
      <c r="O57" s="2714"/>
      <c r="P57" s="2713"/>
      <c r="Q57" s="2713"/>
      <c r="R57" s="2715"/>
    </row>
    <row r="58" spans="2:18" s="907" customFormat="1">
      <c r="B58" s="2713"/>
      <c r="C58" s="2713"/>
      <c r="D58" s="2713"/>
      <c r="E58" s="2713"/>
      <c r="F58" s="2713"/>
      <c r="G58" s="2714"/>
      <c r="H58" s="2713"/>
      <c r="I58" s="2714"/>
      <c r="J58" s="2713"/>
      <c r="K58" s="2713"/>
      <c r="L58" s="2714"/>
      <c r="M58" s="2713"/>
      <c r="N58" s="2713"/>
      <c r="O58" s="2714"/>
      <c r="P58" s="2713"/>
      <c r="Q58" s="2713"/>
      <c r="R58" s="2715"/>
    </row>
    <row r="59" spans="2:18" s="907" customFormat="1">
      <c r="B59" s="2713"/>
      <c r="C59" s="2713"/>
      <c r="D59" s="2713"/>
      <c r="E59" s="2713"/>
      <c r="F59" s="2713"/>
      <c r="G59" s="2714"/>
      <c r="H59" s="2713"/>
      <c r="I59" s="2714"/>
      <c r="J59" s="2713"/>
      <c r="K59" s="2713"/>
      <c r="L59" s="2714"/>
      <c r="M59" s="2713"/>
      <c r="N59" s="2713"/>
      <c r="O59" s="2714"/>
      <c r="P59" s="2713"/>
      <c r="Q59" s="2713"/>
      <c r="R59" s="2715"/>
    </row>
    <row r="60" spans="2:18" s="907" customFormat="1">
      <c r="B60" s="2713"/>
      <c r="C60" s="2713"/>
      <c r="D60" s="2713"/>
      <c r="E60" s="2713"/>
      <c r="F60" s="2713"/>
      <c r="G60" s="2714"/>
      <c r="H60" s="2713"/>
      <c r="I60" s="2714"/>
      <c r="J60" s="2713"/>
      <c r="K60" s="2713"/>
      <c r="L60" s="2714"/>
      <c r="M60" s="2713"/>
      <c r="N60" s="2713"/>
      <c r="O60" s="2714"/>
      <c r="P60" s="2713"/>
      <c r="Q60" s="2713"/>
      <c r="R60" s="2715"/>
    </row>
    <row r="61" spans="2:18" s="907" customFormat="1">
      <c r="B61" s="2713"/>
      <c r="C61" s="2713"/>
      <c r="D61" s="2713"/>
      <c r="E61" s="2713"/>
      <c r="F61" s="2713"/>
      <c r="G61" s="2714"/>
      <c r="H61" s="2713"/>
      <c r="I61" s="2714"/>
      <c r="J61" s="2713"/>
      <c r="K61" s="2713"/>
      <c r="L61" s="2714"/>
      <c r="M61" s="2713"/>
      <c r="N61" s="2713"/>
      <c r="O61" s="2714"/>
      <c r="P61" s="2713"/>
      <c r="Q61" s="2713"/>
      <c r="R61" s="2715"/>
    </row>
    <row r="62" spans="2:18" s="907" customFormat="1">
      <c r="B62" s="2713"/>
      <c r="C62" s="2713"/>
      <c r="D62" s="2713"/>
      <c r="E62" s="2713"/>
      <c r="F62" s="2713"/>
      <c r="G62" s="2714"/>
      <c r="H62" s="2713"/>
      <c r="I62" s="2714"/>
      <c r="J62" s="2713"/>
      <c r="K62" s="2713"/>
      <c r="L62" s="2714"/>
      <c r="M62" s="2713"/>
      <c r="N62" s="2713"/>
      <c r="O62" s="2714"/>
      <c r="P62" s="2713"/>
      <c r="Q62" s="2713"/>
      <c r="R62" s="2715"/>
    </row>
    <row r="63" spans="2:18" s="907" customFormat="1">
      <c r="B63" s="2713"/>
      <c r="C63" s="2713"/>
      <c r="D63" s="2713"/>
      <c r="E63" s="2713"/>
      <c r="F63" s="2713"/>
      <c r="G63" s="2714"/>
      <c r="H63" s="2713"/>
      <c r="I63" s="2714"/>
      <c r="J63" s="2713"/>
      <c r="K63" s="2713"/>
      <c r="L63" s="2714"/>
      <c r="M63" s="2713"/>
      <c r="N63" s="2713"/>
      <c r="O63" s="2714"/>
      <c r="P63" s="2713"/>
      <c r="Q63" s="2713"/>
      <c r="R63" s="2715"/>
    </row>
    <row r="64" spans="2:18" s="907" customFormat="1">
      <c r="B64" s="2713"/>
      <c r="C64" s="2713"/>
      <c r="D64" s="2713"/>
      <c r="E64" s="2713"/>
      <c r="F64" s="2713"/>
      <c r="G64" s="2714"/>
      <c r="H64" s="2713"/>
      <c r="I64" s="2714"/>
      <c r="J64" s="2713"/>
      <c r="K64" s="2713"/>
      <c r="L64" s="2714"/>
      <c r="M64" s="2713"/>
      <c r="N64" s="2713"/>
      <c r="O64" s="2714"/>
      <c r="P64" s="2713"/>
      <c r="Q64" s="2713"/>
      <c r="R64" s="2715"/>
    </row>
    <row r="65" spans="2:18" s="907" customFormat="1">
      <c r="B65" s="2713"/>
      <c r="C65" s="2713"/>
      <c r="D65" s="2713"/>
      <c r="E65" s="2713"/>
      <c r="F65" s="2713"/>
      <c r="G65" s="2714"/>
      <c r="H65" s="2713"/>
      <c r="I65" s="2714"/>
      <c r="J65" s="2713"/>
      <c r="K65" s="2713"/>
      <c r="L65" s="2714"/>
      <c r="M65" s="2713"/>
      <c r="N65" s="2713"/>
      <c r="O65" s="2714"/>
      <c r="P65" s="2713"/>
      <c r="Q65" s="2713"/>
      <c r="R65" s="2715"/>
    </row>
    <row r="66" spans="2:18" s="907" customFormat="1">
      <c r="B66" s="2713"/>
      <c r="C66" s="2713"/>
      <c r="D66" s="2713"/>
      <c r="E66" s="2713"/>
      <c r="F66" s="2713"/>
      <c r="G66" s="2714"/>
      <c r="H66" s="2713"/>
      <c r="I66" s="2714"/>
      <c r="J66" s="2713"/>
      <c r="K66" s="2713"/>
      <c r="L66" s="2714"/>
      <c r="M66" s="2713"/>
      <c r="N66" s="2713"/>
      <c r="O66" s="2714"/>
      <c r="P66" s="2713"/>
      <c r="Q66" s="2713"/>
      <c r="R66" s="2715"/>
    </row>
    <row r="67" spans="2:18" s="907" customFormat="1">
      <c r="B67" s="2713"/>
      <c r="C67" s="2713"/>
      <c r="D67" s="2713"/>
      <c r="E67" s="2713"/>
      <c r="F67" s="2713"/>
      <c r="G67" s="2714"/>
      <c r="H67" s="2713"/>
      <c r="I67" s="2714"/>
      <c r="J67" s="2713"/>
      <c r="K67" s="2713"/>
      <c r="L67" s="2714"/>
      <c r="M67" s="2713"/>
      <c r="N67" s="2713"/>
      <c r="O67" s="2714"/>
      <c r="P67" s="2713"/>
      <c r="Q67" s="2713"/>
      <c r="R67" s="2715"/>
    </row>
    <row r="68" spans="2:18" s="907" customFormat="1">
      <c r="B68" s="2713"/>
      <c r="C68" s="2713"/>
      <c r="D68" s="2713"/>
      <c r="E68" s="2713"/>
      <c r="F68" s="2713"/>
      <c r="G68" s="2714"/>
      <c r="H68" s="2713"/>
      <c r="I68" s="2714"/>
      <c r="J68" s="2713"/>
      <c r="K68" s="2713"/>
      <c r="L68" s="2714"/>
      <c r="M68" s="2713"/>
      <c r="N68" s="2713"/>
      <c r="O68" s="2714"/>
      <c r="P68" s="2713"/>
      <c r="Q68" s="2713"/>
      <c r="R68" s="2715"/>
    </row>
    <row r="69" spans="2:18" s="907" customFormat="1">
      <c r="B69" s="2713"/>
      <c r="C69" s="2713"/>
      <c r="D69" s="2713"/>
      <c r="E69" s="2713"/>
      <c r="F69" s="2713"/>
      <c r="G69" s="2714"/>
      <c r="H69" s="2713"/>
      <c r="I69" s="2714"/>
      <c r="J69" s="2713"/>
      <c r="K69" s="2713"/>
      <c r="L69" s="2714"/>
      <c r="M69" s="2713"/>
      <c r="N69" s="2713"/>
      <c r="O69" s="2714"/>
      <c r="P69" s="2713"/>
      <c r="Q69" s="2713"/>
      <c r="R69" s="2715"/>
    </row>
    <row r="70" spans="2:18" s="907" customFormat="1">
      <c r="B70" s="2713"/>
      <c r="C70" s="2713"/>
      <c r="D70" s="2713"/>
      <c r="E70" s="2713"/>
      <c r="F70" s="2713"/>
      <c r="G70" s="2714"/>
      <c r="H70" s="2713"/>
      <c r="I70" s="2714"/>
      <c r="J70" s="2713"/>
      <c r="K70" s="2713"/>
      <c r="L70" s="2714"/>
      <c r="M70" s="2713"/>
      <c r="N70" s="2713"/>
      <c r="O70" s="2714"/>
      <c r="P70" s="2713"/>
      <c r="Q70" s="2713"/>
      <c r="R70" s="2715"/>
    </row>
    <row r="71" spans="2:18" s="907" customFormat="1">
      <c r="B71" s="2713"/>
      <c r="C71" s="2713"/>
      <c r="D71" s="2713"/>
      <c r="E71" s="2713"/>
      <c r="F71" s="2713"/>
      <c r="G71" s="2714"/>
      <c r="H71" s="2713"/>
      <c r="I71" s="2714"/>
      <c r="J71" s="2713"/>
      <c r="K71" s="2713"/>
      <c r="L71" s="2714"/>
      <c r="M71" s="2713"/>
      <c r="N71" s="2713"/>
      <c r="O71" s="2714"/>
      <c r="P71" s="2713"/>
      <c r="Q71" s="2713"/>
      <c r="R71" s="2715"/>
    </row>
    <row r="72" spans="2:18" s="907" customFormat="1">
      <c r="B72" s="2713"/>
      <c r="C72" s="2713"/>
      <c r="D72" s="2713"/>
      <c r="E72" s="2713"/>
      <c r="F72" s="2713"/>
      <c r="G72" s="2714"/>
      <c r="H72" s="2713"/>
      <c r="I72" s="2714"/>
      <c r="J72" s="2713"/>
      <c r="K72" s="2713"/>
      <c r="L72" s="2714"/>
      <c r="M72" s="2713"/>
      <c r="N72" s="2713"/>
      <c r="O72" s="2714"/>
      <c r="P72" s="2713"/>
      <c r="Q72" s="2713"/>
      <c r="R72" s="2715"/>
    </row>
    <row r="73" spans="2:18" s="907" customFormat="1">
      <c r="B73" s="2713"/>
      <c r="C73" s="2713"/>
      <c r="D73" s="2713"/>
      <c r="E73" s="2713"/>
      <c r="F73" s="2713"/>
      <c r="G73" s="2714"/>
      <c r="H73" s="2713"/>
      <c r="I73" s="2714"/>
      <c r="J73" s="2713"/>
      <c r="K73" s="2713"/>
      <c r="L73" s="2714"/>
      <c r="M73" s="2713"/>
      <c r="N73" s="2713"/>
      <c r="O73" s="2714"/>
      <c r="P73" s="2713"/>
      <c r="Q73" s="2713"/>
      <c r="R73" s="2715"/>
    </row>
    <row r="74" spans="2:18" s="907" customFormat="1">
      <c r="B74" s="2713"/>
      <c r="C74" s="2713"/>
      <c r="D74" s="2713"/>
      <c r="E74" s="2713"/>
      <c r="F74" s="2713"/>
      <c r="G74" s="2714"/>
      <c r="H74" s="2713"/>
      <c r="I74" s="2714"/>
      <c r="J74" s="2713"/>
      <c r="K74" s="2713"/>
      <c r="L74" s="2714"/>
      <c r="M74" s="2713"/>
      <c r="N74" s="2713"/>
      <c r="O74" s="2714"/>
      <c r="P74" s="2713"/>
      <c r="Q74" s="2713"/>
      <c r="R74" s="2715"/>
    </row>
    <row r="75" spans="2:18" s="907" customFormat="1">
      <c r="B75" s="2713"/>
      <c r="C75" s="2713"/>
      <c r="D75" s="2713"/>
      <c r="E75" s="2713"/>
      <c r="F75" s="2713"/>
      <c r="G75" s="2714"/>
      <c r="H75" s="2713"/>
      <c r="I75" s="2714"/>
      <c r="J75" s="2713"/>
      <c r="K75" s="2713"/>
      <c r="L75" s="2714"/>
      <c r="M75" s="2713"/>
      <c r="N75" s="2713"/>
      <c r="O75" s="2714"/>
      <c r="P75" s="2713"/>
      <c r="Q75" s="2713"/>
      <c r="R75" s="2715"/>
    </row>
    <row r="76" spans="2:18" s="907" customFormat="1">
      <c r="B76" s="2713"/>
      <c r="C76" s="2713"/>
      <c r="D76" s="2713"/>
      <c r="E76" s="2713"/>
      <c r="F76" s="2713"/>
      <c r="G76" s="2714"/>
      <c r="H76" s="2713"/>
      <c r="I76" s="2714"/>
      <c r="J76" s="2713"/>
      <c r="K76" s="2713"/>
      <c r="L76" s="2714"/>
      <c r="M76" s="2713"/>
      <c r="N76" s="2713"/>
      <c r="O76" s="2714"/>
      <c r="P76" s="2713"/>
      <c r="Q76" s="2713"/>
      <c r="R76" s="2715"/>
    </row>
    <row r="77" spans="2:18" s="907" customFormat="1">
      <c r="B77" s="2713"/>
      <c r="C77" s="2713"/>
      <c r="D77" s="2713"/>
      <c r="E77" s="2713"/>
      <c r="F77" s="2713"/>
      <c r="G77" s="2714"/>
      <c r="H77" s="2713"/>
      <c r="I77" s="2714"/>
      <c r="J77" s="2713"/>
      <c r="K77" s="2713"/>
      <c r="L77" s="2714"/>
      <c r="M77" s="2713"/>
      <c r="N77" s="2713"/>
      <c r="O77" s="2714"/>
      <c r="P77" s="2713"/>
      <c r="Q77" s="2713"/>
      <c r="R77" s="2715"/>
    </row>
    <row r="78" spans="2:18" s="907" customFormat="1">
      <c r="B78" s="2713"/>
      <c r="C78" s="2713"/>
      <c r="D78" s="2713"/>
      <c r="E78" s="2713"/>
      <c r="F78" s="2713"/>
      <c r="G78" s="2714"/>
      <c r="H78" s="2713"/>
      <c r="I78" s="2714"/>
      <c r="J78" s="2713"/>
      <c r="K78" s="2713"/>
      <c r="L78" s="2714"/>
      <c r="M78" s="2713"/>
      <c r="N78" s="2713"/>
      <c r="O78" s="2714"/>
      <c r="P78" s="2713"/>
      <c r="Q78" s="2713"/>
      <c r="R78" s="2715"/>
    </row>
    <row r="79" spans="2:18" s="907" customFormat="1">
      <c r="B79" s="2713"/>
      <c r="C79" s="2713"/>
      <c r="D79" s="2713"/>
      <c r="E79" s="2713"/>
      <c r="F79" s="2713"/>
      <c r="G79" s="2714"/>
      <c r="H79" s="2713"/>
      <c r="I79" s="2714"/>
      <c r="J79" s="2713"/>
      <c r="K79" s="2713"/>
      <c r="L79" s="2714"/>
      <c r="M79" s="2713"/>
      <c r="N79" s="2713"/>
      <c r="O79" s="2714"/>
      <c r="P79" s="2713"/>
      <c r="Q79" s="2713"/>
      <c r="R79" s="2715"/>
    </row>
    <row r="80" spans="2:18" s="907" customFormat="1">
      <c r="B80" s="2713"/>
      <c r="C80" s="2713"/>
      <c r="D80" s="2713"/>
      <c r="E80" s="2713"/>
      <c r="F80" s="2713"/>
      <c r="G80" s="2714"/>
      <c r="H80" s="2713"/>
      <c r="I80" s="2714"/>
      <c r="J80" s="2713"/>
      <c r="K80" s="2713"/>
      <c r="L80" s="2714"/>
      <c r="M80" s="2713"/>
      <c r="N80" s="2713"/>
      <c r="O80" s="2714"/>
      <c r="P80" s="2713"/>
      <c r="Q80" s="2713"/>
      <c r="R80" s="2715"/>
    </row>
    <row r="81" spans="2:18" s="907" customFormat="1">
      <c r="B81" s="2713"/>
      <c r="C81" s="2713"/>
      <c r="D81" s="2713"/>
      <c r="E81" s="2713"/>
      <c r="F81" s="2713"/>
      <c r="G81" s="2714"/>
      <c r="H81" s="2713"/>
      <c r="I81" s="2714"/>
      <c r="J81" s="2713"/>
      <c r="K81" s="2713"/>
      <c r="L81" s="2714"/>
      <c r="M81" s="2713"/>
      <c r="N81" s="2713"/>
      <c r="O81" s="2714"/>
      <c r="P81" s="2713"/>
      <c r="Q81" s="2713"/>
      <c r="R81" s="2715"/>
    </row>
    <row r="82" spans="2:18" s="907" customFormat="1">
      <c r="B82" s="2713"/>
      <c r="C82" s="2713"/>
      <c r="D82" s="2713"/>
      <c r="E82" s="2713"/>
      <c r="F82" s="2713"/>
      <c r="G82" s="2714"/>
      <c r="H82" s="2713"/>
      <c r="I82" s="2714"/>
      <c r="J82" s="2713"/>
      <c r="K82" s="2713"/>
      <c r="L82" s="2714"/>
      <c r="M82" s="2713"/>
      <c r="N82" s="2713"/>
      <c r="O82" s="2714"/>
      <c r="P82" s="2713"/>
      <c r="Q82" s="2713"/>
      <c r="R82" s="2715"/>
    </row>
    <row r="83" spans="2:18" s="907" customFormat="1">
      <c r="B83" s="2713"/>
      <c r="C83" s="2713"/>
      <c r="D83" s="2713"/>
      <c r="E83" s="2713"/>
      <c r="F83" s="2713"/>
      <c r="G83" s="2714"/>
      <c r="H83" s="2713"/>
      <c r="I83" s="2714"/>
      <c r="J83" s="2713"/>
      <c r="K83" s="2713"/>
      <c r="L83" s="2714"/>
      <c r="M83" s="2713"/>
      <c r="N83" s="2713"/>
      <c r="O83" s="2714"/>
      <c r="P83" s="2713"/>
      <c r="Q83" s="2713"/>
      <c r="R83" s="2715"/>
    </row>
    <row r="84" spans="2:18" s="907" customFormat="1">
      <c r="B84" s="2713"/>
      <c r="C84" s="2713"/>
      <c r="D84" s="2713"/>
      <c r="E84" s="2713"/>
      <c r="F84" s="2713"/>
      <c r="G84" s="2714"/>
      <c r="H84" s="2713"/>
      <c r="I84" s="2714"/>
      <c r="J84" s="2713"/>
      <c r="K84" s="2713"/>
      <c r="L84" s="2714"/>
      <c r="M84" s="2713"/>
      <c r="N84" s="2713"/>
      <c r="O84" s="2714"/>
      <c r="P84" s="2713"/>
      <c r="Q84" s="2713"/>
      <c r="R84" s="2715"/>
    </row>
    <row r="85" spans="2:18" s="907" customFormat="1">
      <c r="B85" s="2713"/>
      <c r="C85" s="2713"/>
      <c r="D85" s="2713"/>
      <c r="E85" s="2713"/>
      <c r="F85" s="2713"/>
      <c r="G85" s="2714"/>
      <c r="H85" s="2713"/>
      <c r="I85" s="2714"/>
      <c r="J85" s="2713"/>
      <c r="K85" s="2713"/>
      <c r="L85" s="2714"/>
      <c r="M85" s="2713"/>
      <c r="N85" s="2713"/>
      <c r="O85" s="2714"/>
      <c r="P85" s="2713"/>
      <c r="Q85" s="2713"/>
      <c r="R85" s="2715"/>
    </row>
    <row r="86" spans="2:18" s="907" customFormat="1">
      <c r="B86" s="2713"/>
      <c r="C86" s="2713"/>
      <c r="D86" s="2713"/>
      <c r="E86" s="2713"/>
      <c r="F86" s="2713"/>
      <c r="G86" s="2714"/>
      <c r="H86" s="2713"/>
      <c r="I86" s="2714"/>
      <c r="J86" s="2713"/>
      <c r="K86" s="2713"/>
      <c r="L86" s="2714"/>
      <c r="M86" s="2713"/>
      <c r="N86" s="2713"/>
      <c r="O86" s="2714"/>
      <c r="P86" s="2713"/>
      <c r="Q86" s="2713"/>
      <c r="R86" s="2715"/>
    </row>
    <row r="87" spans="2:18" s="907" customFormat="1">
      <c r="B87" s="2713"/>
      <c r="C87" s="2713"/>
      <c r="D87" s="2713"/>
      <c r="E87" s="2713"/>
      <c r="F87" s="2713"/>
      <c r="G87" s="2714"/>
      <c r="H87" s="2713"/>
      <c r="I87" s="2714"/>
      <c r="J87" s="2713"/>
      <c r="K87" s="2713"/>
      <c r="L87" s="2714"/>
      <c r="M87" s="2713"/>
      <c r="N87" s="2713"/>
      <c r="O87" s="2714"/>
      <c r="P87" s="2713"/>
      <c r="Q87" s="2713"/>
      <c r="R87" s="2715"/>
    </row>
    <row r="88" spans="2:18" s="907" customFormat="1">
      <c r="B88" s="2713"/>
      <c r="C88" s="2713"/>
      <c r="D88" s="2713"/>
      <c r="E88" s="2713"/>
      <c r="F88" s="2713"/>
      <c r="G88" s="2714"/>
      <c r="H88" s="2713"/>
      <c r="I88" s="2714"/>
      <c r="J88" s="2713"/>
      <c r="K88" s="2713"/>
      <c r="L88" s="2714"/>
      <c r="M88" s="2713"/>
      <c r="N88" s="2713"/>
      <c r="O88" s="2714"/>
      <c r="P88" s="2713"/>
      <c r="Q88" s="2713"/>
      <c r="R88" s="2715"/>
    </row>
    <row r="89" spans="2:18" s="907" customFormat="1">
      <c r="B89" s="2713"/>
      <c r="C89" s="2713"/>
      <c r="D89" s="2713"/>
      <c r="E89" s="2713"/>
      <c r="F89" s="2713"/>
      <c r="G89" s="2714"/>
      <c r="H89" s="2713"/>
      <c r="I89" s="2714"/>
      <c r="J89" s="2713"/>
      <c r="K89" s="2713"/>
      <c r="L89" s="2714"/>
      <c r="M89" s="2713"/>
      <c r="N89" s="2713"/>
      <c r="O89" s="2714"/>
      <c r="P89" s="2713"/>
      <c r="Q89" s="2713"/>
      <c r="R89" s="2715"/>
    </row>
    <row r="90" spans="2:18" s="907" customFormat="1">
      <c r="B90" s="2713"/>
      <c r="C90" s="2713"/>
      <c r="D90" s="2713"/>
      <c r="E90" s="2713"/>
      <c r="F90" s="2713"/>
      <c r="G90" s="2714"/>
      <c r="H90" s="2713"/>
      <c r="I90" s="2714"/>
      <c r="J90" s="2713"/>
      <c r="K90" s="2713"/>
      <c r="L90" s="2714"/>
      <c r="M90" s="2713"/>
      <c r="N90" s="2713"/>
      <c r="O90" s="2714"/>
      <c r="P90" s="2713"/>
      <c r="Q90" s="2713"/>
      <c r="R90" s="2715"/>
    </row>
    <row r="91" spans="2:18" s="907" customFormat="1">
      <c r="B91" s="2713"/>
      <c r="C91" s="2713"/>
      <c r="D91" s="2713"/>
      <c r="E91" s="2713"/>
      <c r="F91" s="2713"/>
      <c r="G91" s="2714"/>
      <c r="H91" s="2713"/>
      <c r="I91" s="2714"/>
      <c r="J91" s="2713"/>
      <c r="K91" s="2713"/>
      <c r="L91" s="2714"/>
      <c r="M91" s="2713"/>
      <c r="N91" s="2713"/>
      <c r="O91" s="2714"/>
      <c r="P91" s="2713"/>
      <c r="Q91" s="2713"/>
      <c r="R91" s="2715"/>
    </row>
    <row r="92" spans="2:18" s="907" customFormat="1">
      <c r="B92" s="2713"/>
      <c r="C92" s="2713"/>
      <c r="D92" s="2713"/>
      <c r="E92" s="2713"/>
      <c r="F92" s="2713"/>
      <c r="G92" s="2714"/>
      <c r="H92" s="2713"/>
      <c r="I92" s="2714"/>
      <c r="J92" s="2713"/>
      <c r="K92" s="2713"/>
      <c r="L92" s="2714"/>
      <c r="M92" s="2713"/>
      <c r="N92" s="2713"/>
      <c r="O92" s="2714"/>
      <c r="P92" s="2713"/>
      <c r="Q92" s="2713"/>
      <c r="R92" s="2715"/>
    </row>
    <row r="93" spans="2:18" s="907" customFormat="1">
      <c r="B93" s="2713"/>
      <c r="C93" s="2713"/>
      <c r="D93" s="2713"/>
      <c r="E93" s="2713"/>
      <c r="F93" s="2713"/>
      <c r="G93" s="2714"/>
      <c r="H93" s="2713"/>
      <c r="I93" s="2714"/>
      <c r="J93" s="2713"/>
      <c r="K93" s="2713"/>
      <c r="L93" s="2714"/>
      <c r="M93" s="2713"/>
      <c r="N93" s="2713"/>
      <c r="O93" s="2714"/>
      <c r="P93" s="2713"/>
      <c r="Q93" s="2713"/>
      <c r="R93" s="2715"/>
    </row>
    <row r="94" spans="2:18" s="907" customFormat="1">
      <c r="B94" s="2713"/>
      <c r="C94" s="2713"/>
      <c r="D94" s="2713"/>
      <c r="E94" s="2713"/>
      <c r="F94" s="2713"/>
      <c r="G94" s="2714"/>
      <c r="H94" s="2713"/>
      <c r="I94" s="2714"/>
      <c r="J94" s="2713"/>
      <c r="K94" s="2713"/>
      <c r="L94" s="2714"/>
      <c r="M94" s="2713"/>
      <c r="N94" s="2713"/>
      <c r="O94" s="2714"/>
      <c r="P94" s="2713"/>
      <c r="Q94" s="2713"/>
      <c r="R94" s="2715"/>
    </row>
    <row r="95" spans="2:18" s="907" customFormat="1">
      <c r="B95" s="2713"/>
      <c r="C95" s="2713"/>
      <c r="D95" s="2713"/>
      <c r="E95" s="2713"/>
      <c r="F95" s="2713"/>
      <c r="G95" s="2714"/>
      <c r="H95" s="2713"/>
      <c r="I95" s="2714"/>
      <c r="J95" s="2713"/>
      <c r="K95" s="2713"/>
      <c r="L95" s="2714"/>
      <c r="M95" s="2713"/>
      <c r="N95" s="2713"/>
      <c r="O95" s="2714"/>
      <c r="P95" s="2713"/>
      <c r="Q95" s="2713"/>
      <c r="R95" s="2715"/>
    </row>
    <row r="96" spans="2:18" s="907" customFormat="1">
      <c r="B96" s="2713"/>
      <c r="C96" s="2713"/>
      <c r="D96" s="2713"/>
      <c r="E96" s="2713"/>
      <c r="F96" s="2713"/>
      <c r="G96" s="2714"/>
      <c r="H96" s="2713"/>
      <c r="I96" s="2714"/>
      <c r="J96" s="2713"/>
      <c r="K96" s="2713"/>
      <c r="L96" s="2714"/>
      <c r="M96" s="2713"/>
      <c r="N96" s="2713"/>
      <c r="O96" s="2714"/>
      <c r="P96" s="2713"/>
      <c r="Q96" s="2713"/>
      <c r="R96" s="2715"/>
    </row>
    <row r="97" spans="2:18" s="907" customFormat="1">
      <c r="B97" s="2713"/>
      <c r="C97" s="2713"/>
      <c r="D97" s="2713"/>
      <c r="E97" s="2713"/>
      <c r="F97" s="2713"/>
      <c r="G97" s="2714"/>
      <c r="H97" s="2713"/>
      <c r="I97" s="2714"/>
      <c r="J97" s="2713"/>
      <c r="K97" s="2713"/>
      <c r="L97" s="2714"/>
      <c r="M97" s="2713"/>
      <c r="N97" s="2713"/>
      <c r="O97" s="2714"/>
      <c r="P97" s="2713"/>
      <c r="Q97" s="2713"/>
      <c r="R97" s="2715"/>
    </row>
    <row r="98" spans="2:18" s="907" customFormat="1">
      <c r="B98" s="2713"/>
      <c r="C98" s="2713"/>
      <c r="D98" s="2713"/>
      <c r="E98" s="2713"/>
      <c r="F98" s="2713"/>
      <c r="G98" s="2714"/>
      <c r="H98" s="2713"/>
      <c r="I98" s="2714"/>
      <c r="J98" s="2713"/>
      <c r="K98" s="2713"/>
      <c r="L98" s="2714"/>
      <c r="M98" s="2713"/>
      <c r="N98" s="2713"/>
      <c r="O98" s="2714"/>
      <c r="P98" s="2713"/>
      <c r="Q98" s="2713"/>
      <c r="R98" s="2715"/>
    </row>
    <row r="99" spans="2:18" s="907" customFormat="1">
      <c r="B99" s="2713"/>
      <c r="C99" s="2713"/>
      <c r="D99" s="2713"/>
      <c r="E99" s="2713"/>
      <c r="F99" s="2713"/>
      <c r="G99" s="2714"/>
      <c r="H99" s="2713"/>
      <c r="I99" s="2714"/>
      <c r="J99" s="2713"/>
      <c r="K99" s="2713"/>
      <c r="L99" s="2714"/>
      <c r="M99" s="2713"/>
      <c r="N99" s="2713"/>
      <c r="O99" s="2714"/>
      <c r="P99" s="2713"/>
      <c r="Q99" s="2713"/>
      <c r="R99" s="2715"/>
    </row>
    <row r="100" spans="2:18" s="907" customFormat="1">
      <c r="B100" s="2713"/>
      <c r="C100" s="2713"/>
      <c r="D100" s="2713"/>
      <c r="E100" s="2713"/>
      <c r="F100" s="2713"/>
      <c r="G100" s="2714"/>
      <c r="H100" s="2713"/>
      <c r="I100" s="2714"/>
      <c r="J100" s="2713"/>
      <c r="K100" s="2713"/>
      <c r="L100" s="2714"/>
      <c r="M100" s="2713"/>
      <c r="N100" s="2713"/>
      <c r="O100" s="2714"/>
      <c r="P100" s="2713"/>
      <c r="Q100" s="2713"/>
      <c r="R100" s="2715"/>
    </row>
    <row r="101" spans="2:18" s="907" customFormat="1">
      <c r="B101" s="2713"/>
      <c r="C101" s="2713"/>
      <c r="D101" s="2713"/>
      <c r="E101" s="2713"/>
      <c r="F101" s="2713"/>
      <c r="G101" s="2714"/>
      <c r="H101" s="2713"/>
      <c r="I101" s="2714"/>
      <c r="J101" s="2713"/>
      <c r="K101" s="2713"/>
      <c r="L101" s="2714"/>
      <c r="M101" s="2713"/>
      <c r="N101" s="2713"/>
      <c r="O101" s="2714"/>
      <c r="P101" s="2713"/>
      <c r="Q101" s="2713"/>
      <c r="R101" s="2715"/>
    </row>
    <row r="102" spans="2:18" s="907" customFormat="1">
      <c r="B102" s="2713"/>
      <c r="C102" s="2713"/>
      <c r="D102" s="2713"/>
      <c r="E102" s="2713"/>
      <c r="F102" s="2713"/>
      <c r="G102" s="2714"/>
      <c r="H102" s="2713"/>
      <c r="I102" s="2714"/>
      <c r="J102" s="2713"/>
      <c r="K102" s="2713"/>
      <c r="L102" s="2714"/>
      <c r="M102" s="2713"/>
      <c r="N102" s="2713"/>
      <c r="O102" s="2714"/>
      <c r="P102" s="2713"/>
      <c r="Q102" s="2713"/>
      <c r="R102" s="2715"/>
    </row>
    <row r="103" spans="2:18" s="907" customFormat="1">
      <c r="B103" s="2713"/>
      <c r="C103" s="2713"/>
      <c r="D103" s="2713"/>
      <c r="E103" s="2713"/>
      <c r="F103" s="2713"/>
      <c r="G103" s="2714"/>
      <c r="H103" s="2713"/>
      <c r="I103" s="2714"/>
      <c r="J103" s="2713"/>
      <c r="K103" s="2713"/>
      <c r="L103" s="2714"/>
      <c r="M103" s="2713"/>
      <c r="N103" s="2713"/>
      <c r="O103" s="2714"/>
      <c r="P103" s="2713"/>
      <c r="Q103" s="2713"/>
      <c r="R103" s="2715"/>
    </row>
    <row r="104" spans="2:18" s="907" customFormat="1">
      <c r="B104" s="2713"/>
      <c r="C104" s="2713"/>
      <c r="D104" s="2713"/>
      <c r="E104" s="2713"/>
      <c r="F104" s="2713"/>
      <c r="G104" s="2714"/>
      <c r="H104" s="2713"/>
      <c r="I104" s="2714"/>
      <c r="J104" s="2713"/>
      <c r="K104" s="2713"/>
      <c r="L104" s="2714"/>
      <c r="M104" s="2713"/>
      <c r="N104" s="2713"/>
      <c r="O104" s="2714"/>
      <c r="P104" s="2713"/>
      <c r="Q104" s="2713"/>
      <c r="R104" s="2715"/>
    </row>
    <row r="105" spans="2:18" s="907" customFormat="1">
      <c r="B105" s="2713"/>
      <c r="C105" s="2713"/>
      <c r="D105" s="2713"/>
      <c r="E105" s="2713"/>
      <c r="F105" s="2713"/>
      <c r="G105" s="2714"/>
      <c r="H105" s="2713"/>
      <c r="I105" s="2714"/>
      <c r="J105" s="2713"/>
      <c r="K105" s="2713"/>
      <c r="L105" s="2714"/>
      <c r="M105" s="2713"/>
      <c r="N105" s="2713"/>
      <c r="O105" s="2714"/>
      <c r="P105" s="2713"/>
      <c r="Q105" s="2713"/>
      <c r="R105" s="2715"/>
    </row>
    <row r="106" spans="2:18" s="907" customFormat="1">
      <c r="B106" s="2713"/>
      <c r="C106" s="2713"/>
      <c r="D106" s="2713"/>
      <c r="E106" s="2713"/>
      <c r="F106" s="2713"/>
      <c r="G106" s="2714"/>
      <c r="H106" s="2713"/>
      <c r="I106" s="2714"/>
      <c r="J106" s="2713"/>
      <c r="K106" s="2713"/>
      <c r="L106" s="2714"/>
      <c r="M106" s="2713"/>
      <c r="N106" s="2713"/>
      <c r="O106" s="2714"/>
      <c r="P106" s="2713"/>
      <c r="Q106" s="2713"/>
      <c r="R106" s="2715"/>
    </row>
    <row r="107" spans="2:18" s="907" customFormat="1">
      <c r="B107" s="2713"/>
      <c r="C107" s="2713"/>
      <c r="D107" s="2713"/>
      <c r="E107" s="2713"/>
      <c r="F107" s="2713"/>
      <c r="G107" s="2714"/>
      <c r="H107" s="2713"/>
      <c r="I107" s="2714"/>
      <c r="J107" s="2713"/>
      <c r="K107" s="2713"/>
      <c r="L107" s="2714"/>
      <c r="M107" s="2713"/>
      <c r="N107" s="2713"/>
      <c r="O107" s="2714"/>
      <c r="P107" s="2713"/>
      <c r="Q107" s="2713"/>
      <c r="R107" s="2715"/>
    </row>
    <row r="108" spans="2:18" s="907" customFormat="1">
      <c r="B108" s="2713"/>
      <c r="C108" s="2713"/>
      <c r="D108" s="2713"/>
      <c r="E108" s="2713"/>
      <c r="F108" s="2713"/>
      <c r="G108" s="2714"/>
      <c r="H108" s="2713"/>
      <c r="I108" s="2714"/>
      <c r="J108" s="2713"/>
      <c r="K108" s="2713"/>
      <c r="L108" s="2714"/>
      <c r="M108" s="2713"/>
      <c r="N108" s="2713"/>
      <c r="O108" s="2714"/>
      <c r="P108" s="2713"/>
      <c r="Q108" s="2713"/>
      <c r="R108" s="2715"/>
    </row>
    <row r="109" spans="2:18" s="907" customFormat="1">
      <c r="B109" s="2713"/>
      <c r="C109" s="2713"/>
      <c r="D109" s="2713"/>
      <c r="E109" s="2713"/>
      <c r="F109" s="2713"/>
      <c r="G109" s="2714"/>
      <c r="H109" s="2713"/>
      <c r="I109" s="2714"/>
      <c r="J109" s="2713"/>
      <c r="K109" s="2713"/>
      <c r="L109" s="2714"/>
      <c r="M109" s="2713"/>
      <c r="N109" s="2713"/>
      <c r="O109" s="2714"/>
      <c r="P109" s="2713"/>
      <c r="Q109" s="2713"/>
      <c r="R109" s="2715"/>
    </row>
    <row r="110" spans="2:18" s="907" customFormat="1">
      <c r="B110" s="2713"/>
      <c r="C110" s="2713"/>
      <c r="D110" s="2713"/>
      <c r="E110" s="2713"/>
      <c r="F110" s="2713"/>
      <c r="G110" s="2714"/>
      <c r="H110" s="2713"/>
      <c r="I110" s="2714"/>
      <c r="J110" s="2713"/>
      <c r="K110" s="2713"/>
      <c r="L110" s="2714"/>
      <c r="M110" s="2713"/>
      <c r="N110" s="2713"/>
      <c r="O110" s="2714"/>
      <c r="P110" s="2713"/>
      <c r="Q110" s="2713"/>
      <c r="R110" s="2715"/>
    </row>
    <row r="111" spans="2:18" s="907" customFormat="1">
      <c r="B111" s="2713"/>
      <c r="C111" s="2713"/>
      <c r="D111" s="2713"/>
      <c r="E111" s="2713"/>
      <c r="F111" s="2713"/>
      <c r="G111" s="2714"/>
      <c r="H111" s="2713"/>
      <c r="I111" s="2714"/>
      <c r="J111" s="2713"/>
      <c r="K111" s="2713"/>
      <c r="L111" s="2714"/>
      <c r="M111" s="2713"/>
      <c r="N111" s="2713"/>
      <c r="O111" s="2714"/>
      <c r="P111" s="2713"/>
      <c r="Q111" s="2713"/>
      <c r="R111" s="2715"/>
    </row>
    <row r="112" spans="2:18" s="907" customFormat="1">
      <c r="B112" s="2713"/>
      <c r="C112" s="2713"/>
      <c r="D112" s="2713"/>
      <c r="E112" s="2713"/>
      <c r="F112" s="2713"/>
      <c r="G112" s="2714"/>
      <c r="H112" s="2713"/>
      <c r="I112" s="2714"/>
      <c r="J112" s="2713"/>
      <c r="K112" s="2713"/>
      <c r="L112" s="2714"/>
      <c r="M112" s="2713"/>
      <c r="N112" s="2713"/>
      <c r="O112" s="2714"/>
      <c r="P112" s="2713"/>
      <c r="Q112" s="2713"/>
      <c r="R112" s="2715"/>
    </row>
    <row r="113" spans="2:18" s="907" customFormat="1">
      <c r="B113" s="2713"/>
      <c r="C113" s="2713"/>
      <c r="D113" s="2713"/>
      <c r="E113" s="2713"/>
      <c r="F113" s="2713"/>
      <c r="G113" s="2714"/>
      <c r="H113" s="2713"/>
      <c r="I113" s="2714"/>
      <c r="J113" s="2713"/>
      <c r="K113" s="2713"/>
      <c r="L113" s="2714"/>
      <c r="M113" s="2713"/>
      <c r="N113" s="2713"/>
      <c r="O113" s="2714"/>
      <c r="P113" s="2713"/>
      <c r="Q113" s="2713"/>
      <c r="R113" s="2715"/>
    </row>
    <row r="114" spans="2:18" s="907" customFormat="1">
      <c r="B114" s="2713"/>
      <c r="C114" s="2713"/>
      <c r="D114" s="2713"/>
      <c r="E114" s="2713"/>
      <c r="F114" s="2713"/>
      <c r="G114" s="2714"/>
      <c r="H114" s="2713"/>
      <c r="I114" s="2714"/>
      <c r="J114" s="2713"/>
      <c r="K114" s="2713"/>
      <c r="L114" s="2714"/>
      <c r="M114" s="2713"/>
      <c r="N114" s="2713"/>
      <c r="O114" s="2714"/>
      <c r="P114" s="2713"/>
      <c r="Q114" s="2713"/>
      <c r="R114" s="2715"/>
    </row>
    <row r="115" spans="2:18" s="907" customFormat="1">
      <c r="B115" s="2713"/>
      <c r="C115" s="2713"/>
      <c r="D115" s="2713"/>
      <c r="E115" s="2713"/>
      <c r="F115" s="2713"/>
      <c r="G115" s="2714"/>
      <c r="H115" s="2713"/>
      <c r="I115" s="2714"/>
      <c r="J115" s="2713"/>
      <c r="K115" s="2713"/>
      <c r="L115" s="2714"/>
      <c r="M115" s="2713"/>
      <c r="N115" s="2713"/>
      <c r="O115" s="2714"/>
      <c r="P115" s="2713"/>
      <c r="Q115" s="2713"/>
      <c r="R115" s="2715"/>
    </row>
    <row r="116" spans="2:18" s="907" customFormat="1">
      <c r="B116" s="2713"/>
      <c r="C116" s="2713"/>
      <c r="D116" s="2713"/>
      <c r="E116" s="2713"/>
      <c r="F116" s="2713"/>
      <c r="G116" s="2714"/>
      <c r="H116" s="2713"/>
      <c r="I116" s="2714"/>
      <c r="J116" s="2713"/>
      <c r="K116" s="2713"/>
      <c r="L116" s="2714"/>
      <c r="M116" s="2713"/>
      <c r="N116" s="2713"/>
      <c r="O116" s="2714"/>
      <c r="P116" s="2713"/>
      <c r="Q116" s="2713"/>
      <c r="R116" s="2715"/>
    </row>
    <row r="117" spans="2:18" s="907" customFormat="1">
      <c r="B117" s="2713"/>
      <c r="C117" s="2713"/>
      <c r="D117" s="2713"/>
      <c r="E117" s="2713"/>
      <c r="F117" s="2713"/>
      <c r="G117" s="2714"/>
      <c r="H117" s="2713"/>
      <c r="I117" s="2714"/>
      <c r="J117" s="2713"/>
      <c r="K117" s="2713"/>
      <c r="L117" s="2714"/>
      <c r="M117" s="2713"/>
      <c r="N117" s="2713"/>
      <c r="O117" s="2714"/>
      <c r="P117" s="2713"/>
      <c r="Q117" s="2713"/>
      <c r="R117" s="2715"/>
    </row>
    <row r="118" spans="2:18" s="907" customFormat="1">
      <c r="B118" s="2713"/>
      <c r="C118" s="2713"/>
      <c r="D118" s="2713"/>
      <c r="E118" s="2713"/>
      <c r="F118" s="2713"/>
      <c r="G118" s="2714"/>
      <c r="H118" s="2713"/>
      <c r="I118" s="2714"/>
      <c r="J118" s="2713"/>
      <c r="K118" s="2713"/>
      <c r="L118" s="2714"/>
      <c r="M118" s="2713"/>
      <c r="N118" s="2713"/>
      <c r="O118" s="2714"/>
      <c r="P118" s="2713"/>
      <c r="Q118" s="2713"/>
      <c r="R118" s="2715"/>
    </row>
    <row r="119" spans="2:18" s="907" customFormat="1">
      <c r="B119" s="2713"/>
      <c r="C119" s="2713"/>
      <c r="D119" s="2713"/>
      <c r="E119" s="2713"/>
      <c r="F119" s="2713"/>
      <c r="G119" s="2714"/>
      <c r="H119" s="2713"/>
      <c r="I119" s="2714"/>
      <c r="J119" s="2713"/>
      <c r="K119" s="2713"/>
      <c r="L119" s="2714"/>
      <c r="M119" s="2713"/>
      <c r="N119" s="2713"/>
      <c r="O119" s="2714"/>
      <c r="P119" s="2713"/>
      <c r="Q119" s="2713"/>
      <c r="R119" s="2715"/>
    </row>
    <row r="120" spans="2:18" s="907" customFormat="1">
      <c r="B120" s="2713"/>
      <c r="C120" s="2713"/>
      <c r="D120" s="2713"/>
      <c r="E120" s="2713"/>
      <c r="F120" s="2713"/>
      <c r="G120" s="2714"/>
      <c r="H120" s="2713"/>
      <c r="I120" s="2714"/>
      <c r="J120" s="2713"/>
      <c r="K120" s="2713"/>
      <c r="L120" s="2714"/>
      <c r="M120" s="2713"/>
      <c r="N120" s="2713"/>
      <c r="O120" s="2714"/>
      <c r="P120" s="2713"/>
      <c r="Q120" s="2713"/>
      <c r="R120" s="2715"/>
    </row>
    <row r="121" spans="2:18" s="907" customFormat="1">
      <c r="B121" s="2713"/>
      <c r="C121" s="2713"/>
      <c r="D121" s="2713"/>
      <c r="E121" s="2713"/>
      <c r="F121" s="2713"/>
      <c r="G121" s="2714"/>
      <c r="H121" s="2713"/>
      <c r="I121" s="2714"/>
      <c r="J121" s="2713"/>
      <c r="K121" s="2713"/>
      <c r="L121" s="2714"/>
      <c r="M121" s="2713"/>
      <c r="N121" s="2713"/>
      <c r="O121" s="2714"/>
      <c r="P121" s="2713"/>
      <c r="Q121" s="2713"/>
      <c r="R121" s="2715"/>
    </row>
    <row r="122" spans="2:18" s="907" customFormat="1">
      <c r="B122" s="2713"/>
      <c r="C122" s="2713"/>
      <c r="D122" s="2713"/>
      <c r="E122" s="2713"/>
      <c r="F122" s="2713"/>
      <c r="G122" s="2714"/>
      <c r="H122" s="2713"/>
      <c r="I122" s="2714"/>
      <c r="J122" s="2713"/>
      <c r="K122" s="2713"/>
      <c r="L122" s="2714"/>
      <c r="M122" s="2713"/>
      <c r="N122" s="2713"/>
      <c r="O122" s="2714"/>
      <c r="P122" s="2713"/>
      <c r="Q122" s="2713"/>
      <c r="R122" s="2715"/>
    </row>
    <row r="123" spans="2:18" s="907" customFormat="1">
      <c r="B123" s="2713"/>
      <c r="C123" s="2713"/>
      <c r="D123" s="2713"/>
      <c r="E123" s="2713"/>
      <c r="F123" s="2713"/>
      <c r="G123" s="2714"/>
      <c r="H123" s="2713"/>
      <c r="I123" s="2714"/>
      <c r="J123" s="2713"/>
      <c r="K123" s="2713"/>
      <c r="L123" s="2714"/>
      <c r="M123" s="2713"/>
      <c r="N123" s="2713"/>
      <c r="O123" s="2714"/>
      <c r="P123" s="2713"/>
      <c r="Q123" s="2713"/>
      <c r="R123" s="2715"/>
    </row>
    <row r="124" spans="2:18" s="907" customFormat="1">
      <c r="B124" s="2713"/>
      <c r="C124" s="2713"/>
      <c r="D124" s="2713"/>
      <c r="E124" s="2713"/>
      <c r="F124" s="2713"/>
      <c r="G124" s="2714"/>
      <c r="H124" s="2713"/>
      <c r="I124" s="2714"/>
      <c r="J124" s="2713"/>
      <c r="K124" s="2713"/>
      <c r="L124" s="2714"/>
      <c r="M124" s="2713"/>
      <c r="N124" s="2713"/>
      <c r="O124" s="2714"/>
      <c r="P124" s="2713"/>
      <c r="Q124" s="2713"/>
      <c r="R124" s="2715"/>
    </row>
    <row r="125" spans="2:18" s="907" customFormat="1">
      <c r="B125" s="2713"/>
      <c r="C125" s="2713"/>
      <c r="D125" s="2713"/>
      <c r="E125" s="2713"/>
      <c r="F125" s="2713"/>
      <c r="G125" s="2714"/>
      <c r="H125" s="2713"/>
      <c r="I125" s="2714"/>
      <c r="J125" s="2713"/>
      <c r="K125" s="2713"/>
      <c r="L125" s="2714"/>
      <c r="M125" s="2713"/>
      <c r="N125" s="2713"/>
      <c r="O125" s="2714"/>
      <c r="P125" s="2713"/>
      <c r="Q125" s="2713"/>
      <c r="R125" s="2715"/>
    </row>
    <row r="126" spans="2:18" s="907" customFormat="1">
      <c r="B126" s="2713"/>
      <c r="C126" s="2713"/>
      <c r="D126" s="2713"/>
      <c r="E126" s="2713"/>
      <c r="F126" s="2713"/>
      <c r="G126" s="2714"/>
      <c r="H126" s="2713"/>
      <c r="I126" s="2714"/>
      <c r="J126" s="2713"/>
      <c r="K126" s="2713"/>
      <c r="L126" s="2714"/>
      <c r="M126" s="2713"/>
      <c r="N126" s="2713"/>
      <c r="O126" s="2714"/>
      <c r="P126" s="2713"/>
      <c r="Q126" s="2713"/>
      <c r="R126" s="2715"/>
    </row>
    <row r="127" spans="2:18" s="907" customFormat="1">
      <c r="B127" s="2713"/>
      <c r="C127" s="2713"/>
      <c r="D127" s="2713"/>
      <c r="E127" s="2713"/>
      <c r="F127" s="2713"/>
      <c r="G127" s="2714"/>
      <c r="H127" s="2713"/>
      <c r="I127" s="2714"/>
      <c r="J127" s="2713"/>
      <c r="K127" s="2713"/>
      <c r="L127" s="2714"/>
      <c r="M127" s="2713"/>
      <c r="N127" s="2713"/>
      <c r="O127" s="2714"/>
      <c r="P127" s="2713"/>
      <c r="Q127" s="2713"/>
      <c r="R127" s="2715"/>
    </row>
    <row r="128" spans="2:18" s="907" customFormat="1">
      <c r="B128" s="2713"/>
      <c r="C128" s="2713"/>
      <c r="D128" s="2713"/>
      <c r="E128" s="2713"/>
      <c r="F128" s="2713"/>
      <c r="G128" s="2714"/>
      <c r="H128" s="2713"/>
      <c r="I128" s="2714"/>
      <c r="J128" s="2713"/>
      <c r="K128" s="2713"/>
      <c r="L128" s="2714"/>
      <c r="M128" s="2713"/>
      <c r="N128" s="2713"/>
      <c r="O128" s="2714"/>
      <c r="P128" s="2713"/>
      <c r="Q128" s="2713"/>
      <c r="R128" s="2715"/>
    </row>
    <row r="129" spans="2:18" s="907" customFormat="1">
      <c r="B129" s="2713"/>
      <c r="C129" s="2713"/>
      <c r="D129" s="2713"/>
      <c r="E129" s="2713"/>
      <c r="F129" s="2713"/>
      <c r="G129" s="2714"/>
      <c r="H129" s="2713"/>
      <c r="I129" s="2714"/>
      <c r="J129" s="2713"/>
      <c r="K129" s="2713"/>
      <c r="L129" s="2714"/>
      <c r="M129" s="2713"/>
      <c r="N129" s="2713"/>
      <c r="O129" s="2714"/>
      <c r="P129" s="2713"/>
      <c r="Q129" s="2713"/>
      <c r="R129" s="2715"/>
    </row>
    <row r="130" spans="2:18" s="907" customFormat="1">
      <c r="B130" s="2713"/>
      <c r="C130" s="2713"/>
      <c r="D130" s="2713"/>
      <c r="E130" s="2713"/>
      <c r="F130" s="2713"/>
      <c r="G130" s="2714"/>
      <c r="H130" s="2713"/>
      <c r="I130" s="2714"/>
      <c r="J130" s="2713"/>
      <c r="K130" s="2713"/>
      <c r="L130" s="2714"/>
      <c r="M130" s="2713"/>
      <c r="N130" s="2713"/>
      <c r="O130" s="2714"/>
      <c r="P130" s="2713"/>
      <c r="Q130" s="2713"/>
      <c r="R130" s="2715"/>
    </row>
    <row r="131" spans="2:18" s="907" customFormat="1">
      <c r="B131" s="2713"/>
      <c r="C131" s="2713"/>
      <c r="D131" s="2713"/>
      <c r="E131" s="2713"/>
      <c r="F131" s="2713"/>
      <c r="G131" s="2714"/>
      <c r="H131" s="2713"/>
      <c r="I131" s="2714"/>
      <c r="J131" s="2713"/>
      <c r="K131" s="2713"/>
      <c r="L131" s="2714"/>
      <c r="M131" s="2713"/>
      <c r="N131" s="2713"/>
      <c r="O131" s="2714"/>
      <c r="P131" s="2713"/>
      <c r="Q131" s="2713"/>
      <c r="R131" s="2715"/>
    </row>
    <row r="132" spans="2:18" s="907" customFormat="1">
      <c r="B132" s="2713"/>
      <c r="C132" s="2713"/>
      <c r="D132" s="2713"/>
      <c r="E132" s="2713"/>
      <c r="F132" s="2713"/>
      <c r="G132" s="2714"/>
      <c r="H132" s="2713"/>
      <c r="I132" s="2714"/>
      <c r="J132" s="2713"/>
      <c r="K132" s="2713"/>
      <c r="L132" s="2714"/>
      <c r="M132" s="2713"/>
      <c r="N132" s="2713"/>
      <c r="O132" s="2714"/>
      <c r="P132" s="2713"/>
      <c r="Q132" s="2713"/>
      <c r="R132" s="2715"/>
    </row>
    <row r="133" spans="2:18" s="907" customFormat="1">
      <c r="B133" s="2713"/>
      <c r="C133" s="2713"/>
      <c r="D133" s="2713"/>
      <c r="E133" s="2713"/>
      <c r="F133" s="2713"/>
      <c r="G133" s="2714"/>
      <c r="H133" s="2713"/>
      <c r="I133" s="2714"/>
      <c r="J133" s="2713"/>
      <c r="K133" s="2713"/>
      <c r="L133" s="2714"/>
      <c r="M133" s="2713"/>
      <c r="N133" s="2713"/>
      <c r="O133" s="2714"/>
      <c r="P133" s="2713"/>
      <c r="Q133" s="2713"/>
      <c r="R133" s="2715"/>
    </row>
    <row r="134" spans="2:18" s="907" customFormat="1">
      <c r="B134" s="2713"/>
      <c r="C134" s="2713"/>
      <c r="D134" s="2713"/>
      <c r="E134" s="2713"/>
      <c r="F134" s="2713"/>
      <c r="G134" s="2714"/>
      <c r="H134" s="2713"/>
      <c r="I134" s="2714"/>
      <c r="J134" s="2713"/>
      <c r="K134" s="2713"/>
      <c r="L134" s="2714"/>
      <c r="M134" s="2713"/>
      <c r="N134" s="2713"/>
      <c r="O134" s="2714"/>
      <c r="P134" s="2713"/>
      <c r="Q134" s="2713"/>
      <c r="R134" s="2715"/>
    </row>
    <row r="135" spans="2:18" s="907" customFormat="1">
      <c r="B135" s="2713"/>
      <c r="C135" s="2713"/>
      <c r="D135" s="2713"/>
      <c r="E135" s="2713"/>
      <c r="F135" s="2713"/>
      <c r="G135" s="2714"/>
      <c r="H135" s="2713"/>
      <c r="I135" s="2714"/>
      <c r="J135" s="2713"/>
      <c r="K135" s="2713"/>
      <c r="L135" s="2714"/>
      <c r="M135" s="2713"/>
      <c r="N135" s="2713"/>
      <c r="O135" s="2714"/>
      <c r="P135" s="2713"/>
      <c r="Q135" s="2713"/>
      <c r="R135" s="2715"/>
    </row>
    <row r="136" spans="2:18" s="907" customFormat="1">
      <c r="B136" s="2713"/>
      <c r="C136" s="2713"/>
      <c r="D136" s="2713"/>
      <c r="E136" s="2713"/>
      <c r="F136" s="2713"/>
      <c r="G136" s="2714"/>
      <c r="H136" s="2713"/>
      <c r="I136" s="2714"/>
      <c r="J136" s="2713"/>
      <c r="K136" s="2713"/>
      <c r="L136" s="2714"/>
      <c r="M136" s="2713"/>
      <c r="N136" s="2713"/>
      <c r="O136" s="2714"/>
      <c r="P136" s="2713"/>
      <c r="Q136" s="2713"/>
      <c r="R136" s="2715"/>
    </row>
    <row r="137" spans="2:18" s="907" customFormat="1">
      <c r="B137" s="2713"/>
      <c r="C137" s="2713"/>
      <c r="D137" s="2713"/>
      <c r="E137" s="2713"/>
      <c r="F137" s="2713"/>
      <c r="G137" s="2714"/>
      <c r="H137" s="2713"/>
      <c r="I137" s="2714"/>
      <c r="J137" s="2713"/>
      <c r="K137" s="2713"/>
      <c r="L137" s="2714"/>
      <c r="M137" s="2713"/>
      <c r="N137" s="2713"/>
      <c r="O137" s="2714"/>
      <c r="P137" s="2713"/>
      <c r="Q137" s="2713"/>
      <c r="R137" s="2715"/>
    </row>
    <row r="138" spans="2:18" s="907" customFormat="1">
      <c r="B138" s="2713"/>
      <c r="C138" s="2713"/>
      <c r="D138" s="2713"/>
      <c r="E138" s="2713"/>
      <c r="F138" s="2713"/>
      <c r="G138" s="2714"/>
      <c r="H138" s="2713"/>
      <c r="I138" s="2714"/>
      <c r="J138" s="2713"/>
      <c r="K138" s="2713"/>
      <c r="L138" s="2714"/>
      <c r="M138" s="2713"/>
      <c r="N138" s="2713"/>
      <c r="O138" s="2714"/>
      <c r="P138" s="2713"/>
      <c r="Q138" s="2713"/>
      <c r="R138" s="2715"/>
    </row>
    <row r="139" spans="2:18" s="907" customFormat="1">
      <c r="B139" s="2713"/>
      <c r="C139" s="2713"/>
      <c r="D139" s="2713"/>
      <c r="E139" s="2713"/>
      <c r="F139" s="2713"/>
      <c r="G139" s="2714"/>
      <c r="H139" s="2713"/>
      <c r="I139" s="2714"/>
      <c r="J139" s="2713"/>
      <c r="K139" s="2713"/>
      <c r="L139" s="2714"/>
      <c r="M139" s="2713"/>
      <c r="N139" s="2713"/>
      <c r="O139" s="2714"/>
      <c r="P139" s="2713"/>
      <c r="Q139" s="2713"/>
      <c r="R139" s="2715"/>
    </row>
    <row r="140" spans="2:18" s="907" customFormat="1">
      <c r="B140" s="2713"/>
      <c r="C140" s="2713"/>
      <c r="D140" s="2713"/>
      <c r="E140" s="2713"/>
      <c r="F140" s="2713"/>
      <c r="G140" s="2714"/>
      <c r="H140" s="2713"/>
      <c r="I140" s="2714"/>
      <c r="J140" s="2713"/>
      <c r="K140" s="2713"/>
      <c r="L140" s="2714"/>
      <c r="M140" s="2713"/>
      <c r="N140" s="2713"/>
      <c r="O140" s="2714"/>
      <c r="P140" s="2713"/>
      <c r="Q140" s="2713"/>
      <c r="R140" s="2715"/>
    </row>
    <row r="141" spans="2:18" s="907" customFormat="1">
      <c r="B141" s="2713"/>
      <c r="C141" s="2713"/>
      <c r="D141" s="2713"/>
      <c r="E141" s="2713"/>
      <c r="F141" s="2713"/>
      <c r="G141" s="2714"/>
      <c r="H141" s="2713"/>
      <c r="I141" s="2714"/>
      <c r="J141" s="2713"/>
      <c r="K141" s="2713"/>
      <c r="L141" s="2714"/>
      <c r="M141" s="2713"/>
      <c r="N141" s="2713"/>
      <c r="O141" s="2714"/>
      <c r="P141" s="2713"/>
      <c r="Q141" s="2713"/>
      <c r="R141" s="2715"/>
    </row>
    <row r="142" spans="2:18" s="907" customFormat="1">
      <c r="B142" s="2713"/>
      <c r="C142" s="2713"/>
      <c r="D142" s="2713"/>
      <c r="E142" s="2713"/>
      <c r="F142" s="2713"/>
      <c r="G142" s="2714"/>
      <c r="H142" s="2713"/>
      <c r="I142" s="2714"/>
      <c r="J142" s="2713"/>
      <c r="K142" s="2713"/>
      <c r="L142" s="2714"/>
      <c r="M142" s="2713"/>
      <c r="N142" s="2713"/>
      <c r="O142" s="2714"/>
      <c r="P142" s="2713"/>
      <c r="Q142" s="2713"/>
      <c r="R142" s="2715"/>
    </row>
    <row r="143" spans="2:18" s="907" customFormat="1">
      <c r="B143" s="2713"/>
      <c r="C143" s="2713"/>
      <c r="D143" s="2713"/>
      <c r="E143" s="2713"/>
      <c r="F143" s="2713"/>
      <c r="G143" s="2714"/>
      <c r="H143" s="2713"/>
      <c r="I143" s="2714"/>
      <c r="J143" s="2713"/>
      <c r="K143" s="2713"/>
      <c r="L143" s="2714"/>
      <c r="M143" s="2713"/>
      <c r="N143" s="2713"/>
      <c r="O143" s="2714"/>
      <c r="P143" s="2713"/>
      <c r="Q143" s="2713"/>
      <c r="R143" s="2715"/>
    </row>
    <row r="144" spans="2:18" s="907" customFormat="1">
      <c r="B144" s="2713"/>
      <c r="C144" s="2713"/>
      <c r="D144" s="2713"/>
      <c r="E144" s="2713"/>
      <c r="F144" s="2713"/>
      <c r="G144" s="2714"/>
      <c r="H144" s="2713"/>
      <c r="I144" s="2714"/>
      <c r="J144" s="2713"/>
      <c r="K144" s="2713"/>
      <c r="L144" s="2714"/>
      <c r="M144" s="2713"/>
      <c r="N144" s="2713"/>
      <c r="O144" s="2714"/>
      <c r="P144" s="2713"/>
      <c r="Q144" s="2713"/>
      <c r="R144" s="2715"/>
    </row>
    <row r="145" spans="2:18" s="907" customFormat="1">
      <c r="B145" s="2713"/>
      <c r="C145" s="2713"/>
      <c r="D145" s="2713"/>
      <c r="E145" s="2713"/>
      <c r="F145" s="2713"/>
      <c r="G145" s="2714"/>
      <c r="H145" s="2713"/>
      <c r="I145" s="2714"/>
      <c r="J145" s="2713"/>
      <c r="K145" s="2713"/>
      <c r="L145" s="2714"/>
      <c r="M145" s="2713"/>
      <c r="N145" s="2713"/>
      <c r="O145" s="2714"/>
      <c r="P145" s="2713"/>
      <c r="Q145" s="2713"/>
      <c r="R145" s="2715"/>
    </row>
    <row r="146" spans="2:18" s="907" customFormat="1">
      <c r="B146" s="2713"/>
      <c r="C146" s="2713"/>
      <c r="D146" s="2713"/>
      <c r="E146" s="2713"/>
      <c r="F146" s="2713"/>
      <c r="G146" s="2714"/>
      <c r="H146" s="2713"/>
      <c r="I146" s="2714"/>
      <c r="J146" s="2713"/>
      <c r="K146" s="2713"/>
      <c r="L146" s="2714"/>
      <c r="M146" s="2713"/>
      <c r="N146" s="2713"/>
      <c r="O146" s="2714"/>
      <c r="P146" s="2713"/>
      <c r="Q146" s="2713"/>
      <c r="R146" s="2715"/>
    </row>
    <row r="147" spans="2:18" s="907" customFormat="1">
      <c r="B147" s="2713"/>
      <c r="C147" s="2713"/>
      <c r="D147" s="2713"/>
      <c r="E147" s="2713"/>
      <c r="F147" s="2713"/>
      <c r="G147" s="2714"/>
      <c r="H147" s="2713"/>
      <c r="I147" s="2714"/>
      <c r="J147" s="2713"/>
      <c r="K147" s="2713"/>
      <c r="L147" s="2714"/>
      <c r="M147" s="2713"/>
      <c r="N147" s="2713"/>
      <c r="O147" s="2714"/>
      <c r="P147" s="2713"/>
      <c r="Q147" s="2713"/>
      <c r="R147" s="2715"/>
    </row>
    <row r="148" spans="2:18" s="907" customFormat="1">
      <c r="B148" s="2713"/>
      <c r="C148" s="2713"/>
      <c r="D148" s="2713"/>
      <c r="E148" s="2713"/>
      <c r="F148" s="2713"/>
      <c r="G148" s="2714"/>
      <c r="H148" s="2713"/>
      <c r="I148" s="2714"/>
      <c r="J148" s="2713"/>
      <c r="K148" s="2713"/>
      <c r="L148" s="2714"/>
      <c r="M148" s="2713"/>
      <c r="N148" s="2713"/>
      <c r="O148" s="2714"/>
      <c r="P148" s="2713"/>
      <c r="Q148" s="2713"/>
      <c r="R148" s="2715"/>
    </row>
    <row r="149" spans="2:18" s="907" customFormat="1">
      <c r="B149" s="2713"/>
      <c r="C149" s="2713"/>
      <c r="D149" s="2713"/>
      <c r="E149" s="2713"/>
      <c r="F149" s="2713"/>
      <c r="G149" s="2714"/>
      <c r="H149" s="2713"/>
      <c r="I149" s="2714"/>
      <c r="J149" s="2713"/>
      <c r="K149" s="2713"/>
      <c r="L149" s="2714"/>
      <c r="M149" s="2713"/>
      <c r="N149" s="2713"/>
      <c r="O149" s="2714"/>
      <c r="P149" s="2713"/>
      <c r="Q149" s="2713"/>
      <c r="R149" s="2715"/>
    </row>
    <row r="150" spans="2:18" s="907" customFormat="1">
      <c r="B150" s="2713"/>
      <c r="C150" s="2713"/>
      <c r="D150" s="2713"/>
      <c r="E150" s="2713"/>
      <c r="F150" s="2713"/>
      <c r="G150" s="2714"/>
      <c r="H150" s="2713"/>
      <c r="I150" s="2714"/>
      <c r="J150" s="2713"/>
      <c r="K150" s="2713"/>
      <c r="L150" s="2714"/>
      <c r="M150" s="2713"/>
      <c r="N150" s="2713"/>
      <c r="O150" s="2714"/>
      <c r="P150" s="2713"/>
      <c r="Q150" s="2713"/>
      <c r="R150" s="2715"/>
    </row>
    <row r="151" spans="2:18" s="907" customFormat="1">
      <c r="B151" s="2713"/>
      <c r="C151" s="2713"/>
      <c r="D151" s="2713"/>
      <c r="E151" s="2713"/>
      <c r="F151" s="2713"/>
      <c r="G151" s="2714"/>
      <c r="H151" s="2713"/>
      <c r="I151" s="2714"/>
      <c r="J151" s="2713"/>
      <c r="K151" s="2713"/>
      <c r="L151" s="2714"/>
      <c r="M151" s="2713"/>
      <c r="N151" s="2713"/>
      <c r="O151" s="2714"/>
      <c r="P151" s="2713"/>
      <c r="Q151" s="2713"/>
      <c r="R151" s="2715"/>
    </row>
    <row r="152" spans="2:18" s="907" customFormat="1">
      <c r="B152" s="2713"/>
      <c r="C152" s="2713"/>
      <c r="D152" s="2713"/>
      <c r="E152" s="2713"/>
      <c r="F152" s="2713"/>
      <c r="G152" s="2714"/>
      <c r="H152" s="2713"/>
      <c r="I152" s="2714"/>
      <c r="J152" s="2713"/>
      <c r="K152" s="2713"/>
      <c r="L152" s="2714"/>
      <c r="M152" s="2713"/>
      <c r="N152" s="2713"/>
      <c r="O152" s="2714"/>
      <c r="P152" s="2713"/>
      <c r="Q152" s="2713"/>
      <c r="R152" s="2715"/>
    </row>
    <row r="153" spans="2:18" s="907" customFormat="1">
      <c r="B153" s="2713"/>
      <c r="C153" s="2713"/>
      <c r="D153" s="2713"/>
      <c r="E153" s="2713"/>
      <c r="F153" s="2713"/>
      <c r="G153" s="2714"/>
      <c r="H153" s="2713"/>
      <c r="I153" s="2714"/>
      <c r="J153" s="2713"/>
      <c r="K153" s="2713"/>
      <c r="L153" s="2714"/>
      <c r="M153" s="2713"/>
      <c r="N153" s="2713"/>
      <c r="O153" s="2714"/>
      <c r="P153" s="2713"/>
      <c r="Q153" s="2713"/>
      <c r="R153" s="2715"/>
    </row>
    <row r="154" spans="2:18" s="907" customFormat="1">
      <c r="B154" s="2713"/>
      <c r="C154" s="2713"/>
      <c r="D154" s="2713"/>
      <c r="E154" s="2713"/>
      <c r="F154" s="2713"/>
      <c r="G154" s="2714"/>
      <c r="H154" s="2713"/>
      <c r="I154" s="2714"/>
      <c r="J154" s="2713"/>
      <c r="K154" s="2713"/>
      <c r="L154" s="2714"/>
      <c r="M154" s="2713"/>
      <c r="N154" s="2713"/>
      <c r="O154" s="2714"/>
      <c r="P154" s="2713"/>
      <c r="Q154" s="2713"/>
      <c r="R154" s="2715"/>
    </row>
    <row r="155" spans="2:18" s="907" customFormat="1">
      <c r="B155" s="2713"/>
      <c r="C155" s="2713"/>
      <c r="D155" s="2713"/>
      <c r="E155" s="2713"/>
      <c r="F155" s="2713"/>
      <c r="G155" s="2714"/>
      <c r="H155" s="2713"/>
      <c r="I155" s="2714"/>
      <c r="J155" s="2713"/>
      <c r="K155" s="2713"/>
      <c r="L155" s="2714"/>
      <c r="M155" s="2713"/>
      <c r="N155" s="2713"/>
      <c r="O155" s="2714"/>
      <c r="P155" s="2713"/>
      <c r="Q155" s="2713"/>
      <c r="R155" s="2715"/>
    </row>
    <row r="156" spans="2:18" s="907" customFormat="1">
      <c r="B156" s="2713"/>
      <c r="C156" s="2713"/>
      <c r="D156" s="2713"/>
      <c r="E156" s="2713"/>
      <c r="F156" s="2713"/>
      <c r="G156" s="2714"/>
      <c r="H156" s="2713"/>
      <c r="I156" s="2714"/>
      <c r="J156" s="2713"/>
      <c r="K156" s="2713"/>
      <c r="L156" s="2714"/>
      <c r="M156" s="2713"/>
      <c r="N156" s="2713"/>
      <c r="O156" s="2714"/>
      <c r="P156" s="2713"/>
      <c r="Q156" s="2713"/>
      <c r="R156" s="2715"/>
    </row>
    <row r="157" spans="2:18" s="907" customFormat="1">
      <c r="B157" s="2713"/>
      <c r="C157" s="2713"/>
      <c r="D157" s="2713"/>
      <c r="E157" s="2713"/>
      <c r="F157" s="2713"/>
      <c r="G157" s="2714"/>
      <c r="H157" s="2713"/>
      <c r="I157" s="2714"/>
      <c r="J157" s="2713"/>
      <c r="K157" s="2713"/>
      <c r="L157" s="2714"/>
      <c r="M157" s="2713"/>
      <c r="N157" s="2713"/>
      <c r="O157" s="2714"/>
      <c r="P157" s="2713"/>
      <c r="Q157" s="2713"/>
      <c r="R157" s="2715"/>
    </row>
    <row r="158" spans="2:18" s="907" customFormat="1">
      <c r="B158" s="2713"/>
      <c r="C158" s="2713"/>
      <c r="D158" s="2713"/>
      <c r="E158" s="2713"/>
      <c r="F158" s="2713"/>
      <c r="G158" s="2714"/>
      <c r="H158" s="2713"/>
      <c r="I158" s="2714"/>
      <c r="J158" s="2713"/>
      <c r="K158" s="2713"/>
      <c r="L158" s="2714"/>
      <c r="M158" s="2713"/>
      <c r="N158" s="2713"/>
      <c r="O158" s="2714"/>
      <c r="P158" s="2713"/>
      <c r="Q158" s="2713"/>
      <c r="R158" s="2715"/>
    </row>
    <row r="159" spans="2:18" s="907" customFormat="1">
      <c r="B159" s="2713"/>
      <c r="C159" s="2713"/>
      <c r="D159" s="2713"/>
      <c r="E159" s="2713"/>
      <c r="F159" s="2713"/>
      <c r="G159" s="2714"/>
      <c r="H159" s="2713"/>
      <c r="I159" s="2714"/>
      <c r="J159" s="2713"/>
      <c r="K159" s="2713"/>
      <c r="L159" s="2714"/>
      <c r="M159" s="2713"/>
      <c r="N159" s="2713"/>
      <c r="O159" s="2714"/>
      <c r="P159" s="2713"/>
      <c r="Q159" s="2713"/>
      <c r="R159" s="2715"/>
    </row>
    <row r="160" spans="2:18" s="907" customFormat="1">
      <c r="B160" s="2713"/>
      <c r="C160" s="2713"/>
      <c r="D160" s="2713"/>
      <c r="E160" s="2713"/>
      <c r="F160" s="2713"/>
      <c r="G160" s="2714"/>
      <c r="H160" s="2713"/>
      <c r="I160" s="2714"/>
      <c r="J160" s="2713"/>
      <c r="K160" s="2713"/>
      <c r="L160" s="2714"/>
      <c r="M160" s="2713"/>
      <c r="N160" s="2713"/>
      <c r="O160" s="2714"/>
      <c r="P160" s="2713"/>
      <c r="Q160" s="2713"/>
      <c r="R160" s="2715"/>
    </row>
    <row r="161" spans="2:18" s="907" customFormat="1">
      <c r="B161" s="2713"/>
      <c r="C161" s="2713"/>
      <c r="D161" s="2713"/>
      <c r="E161" s="2713"/>
      <c r="F161" s="2713"/>
      <c r="G161" s="2714"/>
      <c r="H161" s="2713"/>
      <c r="I161" s="2714"/>
      <c r="J161" s="2713"/>
      <c r="K161" s="2713"/>
      <c r="L161" s="2714"/>
      <c r="M161" s="2713"/>
      <c r="N161" s="2713"/>
      <c r="O161" s="2714"/>
      <c r="P161" s="2713"/>
      <c r="Q161" s="2713"/>
      <c r="R161" s="2715"/>
    </row>
    <row r="162" spans="2:18" s="907" customFormat="1">
      <c r="B162" s="2713"/>
      <c r="C162" s="2713"/>
      <c r="D162" s="2713"/>
      <c r="E162" s="2713"/>
      <c r="F162" s="2713"/>
      <c r="G162" s="2714"/>
      <c r="H162" s="2713"/>
      <c r="I162" s="2714"/>
      <c r="J162" s="2713"/>
      <c r="K162" s="2713"/>
      <c r="L162" s="2714"/>
      <c r="M162" s="2713"/>
      <c r="N162" s="2713"/>
      <c r="O162" s="2714"/>
      <c r="P162" s="2713"/>
      <c r="Q162" s="2713"/>
      <c r="R162" s="2715"/>
    </row>
    <row r="163" spans="2:18" s="907" customFormat="1">
      <c r="B163" s="2713"/>
      <c r="C163" s="2713"/>
      <c r="D163" s="2713"/>
      <c r="E163" s="2713"/>
      <c r="F163" s="2713"/>
      <c r="G163" s="2714"/>
      <c r="H163" s="2713"/>
      <c r="I163" s="2714"/>
      <c r="J163" s="2713"/>
      <c r="K163" s="2713"/>
      <c r="L163" s="2714"/>
      <c r="M163" s="2713"/>
      <c r="N163" s="2713"/>
      <c r="O163" s="2714"/>
      <c r="P163" s="2713"/>
      <c r="Q163" s="2713"/>
      <c r="R163" s="2715"/>
    </row>
    <row r="164" spans="2:18" s="907" customFormat="1">
      <c r="B164" s="2713"/>
      <c r="C164" s="2713"/>
      <c r="D164" s="2713"/>
      <c r="E164" s="2713"/>
      <c r="F164" s="2713"/>
      <c r="G164" s="2714"/>
      <c r="H164" s="2713"/>
      <c r="I164" s="2714"/>
      <c r="J164" s="2713"/>
      <c r="K164" s="2713"/>
      <c r="L164" s="2714"/>
      <c r="M164" s="2713"/>
      <c r="N164" s="2713"/>
      <c r="O164" s="2714"/>
      <c r="P164" s="2713"/>
      <c r="Q164" s="2713"/>
      <c r="R164" s="2715"/>
    </row>
    <row r="165" spans="2:18" s="907" customFormat="1">
      <c r="B165" s="2713"/>
      <c r="C165" s="2713"/>
      <c r="D165" s="2713"/>
      <c r="E165" s="2713"/>
      <c r="F165" s="2713"/>
      <c r="G165" s="2714"/>
      <c r="H165" s="2713"/>
      <c r="I165" s="2714"/>
      <c r="J165" s="2713"/>
      <c r="K165" s="2713"/>
      <c r="L165" s="2714"/>
      <c r="M165" s="2713"/>
      <c r="N165" s="2713"/>
      <c r="O165" s="2714"/>
      <c r="P165" s="2713"/>
      <c r="Q165" s="2713"/>
      <c r="R165" s="2715"/>
    </row>
    <row r="166" spans="2:18" s="907" customFormat="1">
      <c r="B166" s="2713"/>
      <c r="C166" s="2713"/>
      <c r="D166" s="2713"/>
      <c r="E166" s="2713"/>
      <c r="F166" s="2713"/>
      <c r="G166" s="2714"/>
      <c r="H166" s="2713"/>
      <c r="I166" s="2714"/>
      <c r="J166" s="2713"/>
      <c r="K166" s="2713"/>
      <c r="L166" s="2714"/>
      <c r="M166" s="2713"/>
      <c r="N166" s="2713"/>
      <c r="O166" s="2714"/>
      <c r="P166" s="2713"/>
      <c r="Q166" s="2713"/>
      <c r="R166" s="2715"/>
    </row>
    <row r="167" spans="2:18" s="907" customFormat="1">
      <c r="B167" s="2713"/>
      <c r="C167" s="2713"/>
      <c r="D167" s="2713"/>
      <c r="E167" s="2713"/>
      <c r="F167" s="2713"/>
      <c r="G167" s="2714"/>
      <c r="H167" s="2713"/>
      <c r="I167" s="2714"/>
      <c r="J167" s="2713"/>
      <c r="K167" s="2713"/>
      <c r="L167" s="2714"/>
      <c r="M167" s="2713"/>
      <c r="N167" s="2713"/>
      <c r="O167" s="2714"/>
      <c r="P167" s="2713"/>
      <c r="Q167" s="2713"/>
      <c r="R167" s="2715"/>
    </row>
    <row r="168" spans="2:18" s="907" customFormat="1">
      <c r="B168" s="2713"/>
      <c r="C168" s="2713"/>
      <c r="D168" s="2713"/>
      <c r="E168" s="2713"/>
      <c r="F168" s="2713"/>
      <c r="G168" s="2714"/>
      <c r="H168" s="2713"/>
      <c r="I168" s="2714"/>
      <c r="J168" s="2713"/>
      <c r="K168" s="2713"/>
      <c r="L168" s="2714"/>
      <c r="M168" s="2713"/>
      <c r="N168" s="2713"/>
      <c r="O168" s="2714"/>
      <c r="P168" s="2713"/>
      <c r="Q168" s="2713"/>
      <c r="R168" s="2715"/>
    </row>
    <row r="169" spans="2:18" s="907" customFormat="1">
      <c r="B169" s="2713"/>
      <c r="C169" s="2713"/>
      <c r="D169" s="2713"/>
      <c r="E169" s="2713"/>
      <c r="F169" s="2713"/>
      <c r="G169" s="2714"/>
      <c r="H169" s="2713"/>
      <c r="I169" s="2714"/>
      <c r="J169" s="2713"/>
      <c r="K169" s="2713"/>
      <c r="L169" s="2714"/>
      <c r="M169" s="2713"/>
      <c r="N169" s="2713"/>
      <c r="O169" s="2714"/>
      <c r="P169" s="2713"/>
      <c r="Q169" s="2713"/>
      <c r="R169" s="2715"/>
    </row>
    <row r="170" spans="2:18" s="907" customFormat="1">
      <c r="B170" s="2713"/>
      <c r="C170" s="2713"/>
      <c r="D170" s="2713"/>
      <c r="E170" s="2713"/>
      <c r="F170" s="2713"/>
      <c r="G170" s="2714"/>
      <c r="H170" s="2713"/>
      <c r="I170" s="2714"/>
      <c r="J170" s="2713"/>
      <c r="K170" s="2713"/>
      <c r="L170" s="2714"/>
      <c r="M170" s="2713"/>
      <c r="N170" s="2713"/>
      <c r="O170" s="2714"/>
      <c r="P170" s="2713"/>
      <c r="Q170" s="2713"/>
      <c r="R170" s="2715"/>
    </row>
    <row r="171" spans="2:18" s="907" customFormat="1">
      <c r="B171" s="2713"/>
      <c r="C171" s="2713"/>
      <c r="D171" s="2713"/>
      <c r="E171" s="2713"/>
      <c r="F171" s="2713"/>
      <c r="G171" s="2714"/>
      <c r="H171" s="2713"/>
      <c r="I171" s="2714"/>
      <c r="J171" s="2713"/>
      <c r="K171" s="2713"/>
      <c r="L171" s="2714"/>
      <c r="M171" s="2713"/>
      <c r="N171" s="2713"/>
      <c r="O171" s="2714"/>
      <c r="P171" s="2713"/>
      <c r="Q171" s="2713"/>
      <c r="R171" s="2715"/>
    </row>
    <row r="172" spans="2:18" s="907" customFormat="1">
      <c r="B172" s="2713"/>
      <c r="C172" s="2713"/>
      <c r="D172" s="2713"/>
      <c r="E172" s="2713"/>
      <c r="F172" s="2713"/>
      <c r="G172" s="2714"/>
      <c r="H172" s="2713"/>
      <c r="I172" s="2714"/>
      <c r="J172" s="2713"/>
      <c r="K172" s="2713"/>
      <c r="L172" s="2714"/>
      <c r="M172" s="2713"/>
      <c r="N172" s="2713"/>
      <c r="O172" s="2714"/>
      <c r="P172" s="2713"/>
      <c r="Q172" s="2713"/>
      <c r="R172" s="2715"/>
    </row>
    <row r="173" spans="2:18" s="907" customFormat="1">
      <c r="B173" s="2713"/>
      <c r="C173" s="2713"/>
      <c r="D173" s="2713"/>
      <c r="E173" s="2713"/>
      <c r="F173" s="2713"/>
      <c r="G173" s="2714"/>
      <c r="H173" s="2713"/>
      <c r="I173" s="2714"/>
      <c r="J173" s="2713"/>
      <c r="K173" s="2713"/>
      <c r="L173" s="2714"/>
      <c r="M173" s="2713"/>
      <c r="N173" s="2713"/>
      <c r="O173" s="2714"/>
      <c r="P173" s="2713"/>
      <c r="Q173" s="2713"/>
      <c r="R173" s="2715"/>
    </row>
    <row r="174" spans="2:18" s="907" customFormat="1">
      <c r="B174" s="2713"/>
      <c r="C174" s="2713"/>
      <c r="D174" s="2713"/>
      <c r="E174" s="2713"/>
      <c r="F174" s="2713"/>
      <c r="G174" s="2714"/>
      <c r="H174" s="2713"/>
      <c r="I174" s="2714"/>
      <c r="J174" s="2713"/>
      <c r="K174" s="2713"/>
      <c r="L174" s="2714"/>
      <c r="M174" s="2713"/>
      <c r="N174" s="2713"/>
      <c r="O174" s="2714"/>
      <c r="P174" s="2713"/>
      <c r="Q174" s="2713"/>
      <c r="R174" s="2715"/>
    </row>
    <row r="175" spans="2:18" s="907" customFormat="1">
      <c r="B175" s="2713"/>
      <c r="C175" s="2713"/>
      <c r="D175" s="2713"/>
      <c r="E175" s="2713"/>
      <c r="F175" s="2713"/>
      <c r="G175" s="2714"/>
      <c r="H175" s="2713"/>
      <c r="I175" s="2714"/>
      <c r="J175" s="2713"/>
      <c r="K175" s="2713"/>
      <c r="L175" s="2714"/>
      <c r="M175" s="2713"/>
      <c r="N175" s="2713"/>
      <c r="O175" s="2714"/>
      <c r="P175" s="2713"/>
      <c r="Q175" s="2713"/>
      <c r="R175" s="2715"/>
    </row>
    <row r="176" spans="2:18" s="907" customFormat="1">
      <c r="B176" s="2713"/>
      <c r="C176" s="2713"/>
      <c r="D176" s="2713"/>
      <c r="E176" s="2713"/>
      <c r="F176" s="2713"/>
      <c r="G176" s="2714"/>
      <c r="H176" s="2713"/>
      <c r="I176" s="2714"/>
      <c r="J176" s="2713"/>
      <c r="K176" s="2713"/>
      <c r="L176" s="2714"/>
      <c r="M176" s="2713"/>
      <c r="N176" s="2713"/>
      <c r="O176" s="2714"/>
      <c r="P176" s="2713"/>
      <c r="Q176" s="2713"/>
      <c r="R176" s="2715"/>
    </row>
    <row r="177" spans="1:18" s="907" customFormat="1">
      <c r="B177" s="2713"/>
      <c r="C177" s="2713"/>
      <c r="D177" s="2713"/>
      <c r="E177" s="2713"/>
      <c r="F177" s="2713"/>
      <c r="G177" s="2714"/>
      <c r="H177" s="2713"/>
      <c r="I177" s="2714"/>
      <c r="J177" s="2713"/>
      <c r="K177" s="2713"/>
      <c r="L177" s="2714"/>
      <c r="M177" s="2713"/>
      <c r="N177" s="2713"/>
      <c r="O177" s="2714"/>
      <c r="P177" s="2713"/>
      <c r="Q177" s="2713"/>
      <c r="R177" s="2715"/>
    </row>
    <row r="178" spans="1:18" s="907" customFormat="1">
      <c r="B178" s="2713"/>
      <c r="C178" s="2713"/>
      <c r="D178" s="2713"/>
      <c r="E178" s="2713"/>
      <c r="F178" s="2713"/>
      <c r="G178" s="2714"/>
      <c r="H178" s="2713"/>
      <c r="I178" s="2714"/>
      <c r="J178" s="2713"/>
      <c r="K178" s="2713"/>
      <c r="L178" s="2714"/>
      <c r="M178" s="2713"/>
      <c r="N178" s="2713"/>
      <c r="O178" s="2714"/>
      <c r="P178" s="2713"/>
      <c r="Q178" s="2713"/>
      <c r="R178" s="2715"/>
    </row>
    <row r="179" spans="1:18" s="907" customFormat="1">
      <c r="B179" s="2713"/>
      <c r="C179" s="2713"/>
      <c r="D179" s="2713"/>
      <c r="E179" s="2713"/>
      <c r="F179" s="2713"/>
      <c r="G179" s="2714"/>
      <c r="H179" s="2713"/>
      <c r="I179" s="2714"/>
      <c r="J179" s="2713"/>
      <c r="K179" s="2713"/>
      <c r="L179" s="2714"/>
      <c r="M179" s="2713"/>
      <c r="N179" s="2713"/>
      <c r="O179" s="2714"/>
      <c r="P179" s="2713"/>
      <c r="Q179" s="2713"/>
      <c r="R179" s="2715"/>
    </row>
    <row r="180" spans="1:18" s="907" customFormat="1">
      <c r="B180" s="2713"/>
      <c r="C180" s="2713"/>
      <c r="D180" s="2713"/>
      <c r="E180" s="2713"/>
      <c r="F180" s="2713"/>
      <c r="G180" s="2714"/>
      <c r="H180" s="2713"/>
      <c r="I180" s="2714"/>
      <c r="J180" s="2713"/>
      <c r="K180" s="2713"/>
      <c r="L180" s="2714"/>
      <c r="M180" s="2713"/>
      <c r="N180" s="2713"/>
      <c r="O180" s="2714"/>
      <c r="P180" s="2713"/>
      <c r="Q180" s="2713"/>
      <c r="R180" s="2715"/>
    </row>
    <row r="181" spans="1:18" s="907" customFormat="1">
      <c r="B181" s="2713"/>
      <c r="C181" s="2713"/>
      <c r="D181" s="2713"/>
      <c r="E181" s="2713"/>
      <c r="F181" s="2713"/>
      <c r="G181" s="2714"/>
      <c r="H181" s="2713"/>
      <c r="I181" s="2714"/>
      <c r="J181" s="2713"/>
      <c r="K181" s="2713"/>
      <c r="L181" s="2714"/>
      <c r="M181" s="2713"/>
      <c r="N181" s="2713"/>
      <c r="O181" s="2714"/>
      <c r="P181" s="2713"/>
      <c r="Q181" s="2713"/>
      <c r="R181" s="2715"/>
    </row>
    <row r="182" spans="1:18" s="907" customFormat="1">
      <c r="B182" s="2713"/>
      <c r="C182" s="2713"/>
      <c r="D182" s="2713"/>
      <c r="E182" s="2713"/>
      <c r="F182" s="2713"/>
      <c r="G182" s="2714"/>
      <c r="H182" s="2713"/>
      <c r="I182" s="2714"/>
      <c r="J182" s="2713"/>
      <c r="K182" s="2713"/>
      <c r="L182" s="2714"/>
      <c r="M182" s="2713"/>
      <c r="N182" s="2713"/>
      <c r="O182" s="2714"/>
      <c r="P182" s="2713"/>
      <c r="Q182" s="2713"/>
      <c r="R182" s="2715"/>
    </row>
    <row r="183" spans="1:18" s="907" customFormat="1">
      <c r="B183" s="2713"/>
      <c r="C183" s="2713"/>
      <c r="D183" s="2713"/>
      <c r="E183" s="2713"/>
      <c r="F183" s="2713"/>
      <c r="G183" s="2714"/>
      <c r="H183" s="2713"/>
      <c r="I183" s="2714"/>
      <c r="J183" s="2713"/>
      <c r="K183" s="2713"/>
      <c r="L183" s="2714"/>
      <c r="M183" s="2713"/>
      <c r="N183" s="2713"/>
      <c r="O183" s="2714"/>
      <c r="P183" s="2713"/>
      <c r="Q183" s="2713"/>
      <c r="R183" s="2715"/>
    </row>
    <row r="184" spans="1:18" s="907" customFormat="1">
      <c r="B184" s="2713"/>
      <c r="C184" s="2713"/>
      <c r="D184" s="2713"/>
      <c r="E184" s="2713"/>
      <c r="F184" s="2713"/>
      <c r="G184" s="2714"/>
      <c r="H184" s="2713"/>
      <c r="I184" s="2714"/>
      <c r="J184" s="2713"/>
      <c r="K184" s="2713"/>
      <c r="L184" s="2714"/>
      <c r="M184" s="2713"/>
      <c r="N184" s="2713"/>
      <c r="O184" s="2714"/>
      <c r="P184" s="2713"/>
      <c r="Q184" s="2713"/>
      <c r="R184" s="2715"/>
    </row>
    <row r="185" spans="1:18" s="907"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7"/>
      <c r="B186" s="2713"/>
      <c r="C186" s="2713"/>
      <c r="E186" s="2713"/>
      <c r="F186" s="2713"/>
      <c r="G186" s="2714"/>
    </row>
    <row r="187" spans="1:18">
      <c r="A187" s="907"/>
      <c r="B187" s="2713"/>
      <c r="C187" s="2713"/>
      <c r="E187" s="2713"/>
      <c r="F187" s="2713"/>
      <c r="G187" s="271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7" zoomScale="80" zoomScaleNormal="80" zoomScaleSheetLayoutView="80" workbookViewId="0">
      <selection activeCell="B9" sqref="B9"/>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44859.7</v>
      </c>
      <c r="C1" s="2910"/>
      <c r="D1" s="2910"/>
      <c r="E1" s="2910"/>
      <c r="F1" s="2910"/>
      <c r="G1" s="2911"/>
      <c r="H1" s="2912"/>
      <c r="I1" s="2912"/>
      <c r="J1" s="2912"/>
      <c r="K1" s="2912"/>
    </row>
    <row r="2" spans="1:11" ht="16.5">
      <c r="A2" s="2734" t="s">
        <v>1319</v>
      </c>
      <c r="B2" s="2734">
        <f>SUM(C14:C23)</f>
        <v>5974.5</v>
      </c>
      <c r="C2" s="2910"/>
      <c r="D2" s="2910"/>
      <c r="E2" s="2910"/>
      <c r="F2" s="2910"/>
      <c r="G2" s="2911"/>
      <c r="H2" s="2912"/>
      <c r="I2" s="2912"/>
      <c r="J2" s="2912"/>
      <c r="K2" s="2912"/>
    </row>
    <row r="3" spans="1:11" ht="16.5">
      <c r="A3" s="2734" t="s">
        <v>1328</v>
      </c>
      <c r="B3" s="2736">
        <f>项目基本情况!D3</f>
        <v>44280</v>
      </c>
      <c r="C3" s="2910"/>
      <c r="D3" s="2910"/>
      <c r="E3" s="2910"/>
      <c r="F3" s="2910"/>
      <c r="G3" s="2911"/>
      <c r="H3" s="2912"/>
      <c r="I3" s="2912"/>
      <c r="J3" s="2912"/>
      <c r="K3" s="2912"/>
    </row>
    <row r="4" spans="1:11" ht="33">
      <c r="A4" s="2734" t="s">
        <v>1327</v>
      </c>
      <c r="B4" s="2734" t="s">
        <v>1326</v>
      </c>
      <c r="C4" s="2734" t="s">
        <v>1325</v>
      </c>
      <c r="D4" s="2734" t="s">
        <v>1324</v>
      </c>
      <c r="E4" s="2910"/>
      <c r="F4" s="2911"/>
      <c r="G4" s="2911"/>
      <c r="H4" s="2912"/>
      <c r="I4" s="2912"/>
      <c r="J4" s="2912"/>
      <c r="K4" s="2912"/>
    </row>
    <row r="5" spans="1:11" ht="16.5">
      <c r="A5" s="2734" t="s">
        <v>1323</v>
      </c>
      <c r="B5" s="2734">
        <f ca="1">SUM(D14:D23)</f>
        <v>39669</v>
      </c>
      <c r="C5" s="2734">
        <f ca="1">ROUND(B5*10000/$B$1,0)</f>
        <v>8843</v>
      </c>
      <c r="D5" s="2734">
        <f ca="1">ROUND(B5*10000/$B$2,0)</f>
        <v>66397</v>
      </c>
      <c r="E5" s="2910"/>
      <c r="F5" s="2911"/>
      <c r="G5" s="2911"/>
      <c r="H5" s="2912"/>
      <c r="I5" s="2912"/>
      <c r="J5" s="2912"/>
      <c r="K5" s="2912"/>
    </row>
    <row r="6" spans="1:11" ht="16.5">
      <c r="A6" s="2734" t="s">
        <v>1322</v>
      </c>
      <c r="B6" s="2734">
        <f ca="1">SUM(G14:G23)</f>
        <v>39669</v>
      </c>
      <c r="C6" s="2734">
        <f ca="1">ROUND(B6*10000/$B$1,0)</f>
        <v>8843</v>
      </c>
      <c r="D6" s="2734">
        <f ca="1">ROUND(B6*10000/$B$2,0)</f>
        <v>66397</v>
      </c>
      <c r="E6" s="2910"/>
      <c r="F6" s="2911"/>
      <c r="G6" s="2911"/>
      <c r="H6" s="2912"/>
      <c r="I6" s="2912"/>
      <c r="J6" s="2912"/>
      <c r="K6" s="2912"/>
    </row>
    <row r="7" spans="1:11" ht="16.5">
      <c r="A7" s="2734" t="s">
        <v>1330</v>
      </c>
      <c r="B7" s="2734">
        <f>SUM(H14:H23)</f>
        <v>0</v>
      </c>
      <c r="C7" s="2734">
        <f>ROUND(B7*10000/$B$1,0)</f>
        <v>0</v>
      </c>
      <c r="D7" s="2734">
        <f>ROUND(B7*10000/$B$2,0)</f>
        <v>0</v>
      </c>
      <c r="E7" s="2910"/>
      <c r="F7" s="2911"/>
      <c r="G7" s="2911"/>
      <c r="H7" s="2912"/>
      <c r="I7" s="2912"/>
      <c r="J7" s="2912"/>
      <c r="K7" s="2912"/>
    </row>
    <row r="8" spans="1:11" ht="16.5">
      <c r="A8" s="2734" t="s">
        <v>1252</v>
      </c>
      <c r="B8" s="2734">
        <f ca="1">SUM(I14:I23)</f>
        <v>37533</v>
      </c>
      <c r="C8" s="2734">
        <f ca="1">ROUND(B8*10000/$B$1,0)</f>
        <v>8367</v>
      </c>
      <c r="D8" s="2734">
        <f ca="1">ROUND(B8*10000/$B$2,0)</f>
        <v>62822</v>
      </c>
      <c r="E8" s="2910"/>
      <c r="F8" s="2911"/>
      <c r="G8" s="2911"/>
      <c r="H8" s="2912"/>
      <c r="I8" s="2912"/>
      <c r="J8" s="2912"/>
      <c r="K8" s="2912"/>
    </row>
    <row r="9" spans="1:11" ht="16.5">
      <c r="A9" s="2734" t="s">
        <v>1321</v>
      </c>
      <c r="B9" s="2742"/>
      <c r="C9" s="2910"/>
      <c r="D9" s="2910"/>
      <c r="E9" s="2910"/>
      <c r="F9" s="2911"/>
      <c r="G9" s="2911"/>
      <c r="H9" s="2912"/>
      <c r="I9" s="2912"/>
      <c r="J9" s="2912"/>
      <c r="K9" s="2912"/>
    </row>
    <row r="10" spans="1:11" ht="16.5">
      <c r="A10" s="2734" t="s">
        <v>1320</v>
      </c>
      <c r="B10" s="2742"/>
      <c r="C10" s="2910"/>
      <c r="D10" s="2910"/>
      <c r="E10" s="2910"/>
      <c r="F10" s="2911"/>
      <c r="G10" s="2911"/>
      <c r="H10" s="2912"/>
      <c r="I10" s="2912"/>
      <c r="J10" s="2912"/>
      <c r="K10" s="2912"/>
    </row>
    <row r="11" spans="1:11" ht="16.5">
      <c r="A11" s="2734" t="s">
        <v>1336</v>
      </c>
      <c r="B11" s="2742"/>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7" t="s">
        <v>1335</v>
      </c>
      <c r="B13" s="2738" t="s">
        <v>1332</v>
      </c>
      <c r="C13" s="2738" t="s">
        <v>1334</v>
      </c>
      <c r="D13" s="2738" t="s">
        <v>1333</v>
      </c>
      <c r="E13" s="2734" t="s">
        <v>1325</v>
      </c>
      <c r="F13" s="2734" t="s">
        <v>1324</v>
      </c>
      <c r="G13" s="2738" t="s">
        <v>1318</v>
      </c>
      <c r="H13" s="2738" t="s">
        <v>1329</v>
      </c>
      <c r="I13" s="2738" t="s">
        <v>1317</v>
      </c>
      <c r="J13" s="2911"/>
      <c r="K13" s="2912"/>
    </row>
    <row r="14" spans="1:11" ht="16.5">
      <c r="A14" s="2739" t="s">
        <v>1316</v>
      </c>
      <c r="B14" s="2740">
        <f>结果表!B118</f>
        <v>44859.7</v>
      </c>
      <c r="C14" s="2740">
        <f>结果表!C118</f>
        <v>5974.5</v>
      </c>
      <c r="D14" s="2740">
        <f ca="1">结果表!H118</f>
        <v>39669</v>
      </c>
      <c r="E14" s="2740">
        <f ca="1">ROUND(D14*10000/B14,0)</f>
        <v>8843</v>
      </c>
      <c r="F14" s="2740">
        <f ca="1">ROUND(D14*10000/C14,0)</f>
        <v>66397</v>
      </c>
      <c r="G14" s="2740">
        <f ca="1">结果表!D122</f>
        <v>39669</v>
      </c>
      <c r="H14" s="2740" t="str">
        <f>结果表!D124</f>
        <v>——</v>
      </c>
      <c r="I14" s="2740">
        <f ca="1">结果表!D126</f>
        <v>37533</v>
      </c>
      <c r="J14" s="2911"/>
      <c r="K14" s="2912"/>
    </row>
    <row r="15" spans="1:11" ht="16.5">
      <c r="A15" s="2739" t="s">
        <v>1315</v>
      </c>
      <c r="B15" s="2741"/>
      <c r="C15" s="2741"/>
      <c r="D15" s="2741"/>
      <c r="E15" s="2740" t="e">
        <f t="shared" ref="E15:E23" si="0">ROUND(D15*10000/B15,0)</f>
        <v>#DIV/0!</v>
      </c>
      <c r="F15" s="2740" t="e">
        <f t="shared" ref="F15:F23" si="1">ROUND(D15*10000/C15,0)</f>
        <v>#DIV/0!</v>
      </c>
      <c r="G15" s="1501"/>
      <c r="H15" s="1501"/>
      <c r="I15" s="2741"/>
      <c r="J15" s="2911"/>
      <c r="K15" s="2912"/>
    </row>
    <row r="16" spans="1:11" ht="16.5">
      <c r="A16" s="2739" t="s">
        <v>1314</v>
      </c>
      <c r="B16" s="2741"/>
      <c r="C16" s="2741"/>
      <c r="D16" s="2741"/>
      <c r="E16" s="2740" t="e">
        <f t="shared" si="0"/>
        <v>#DIV/0!</v>
      </c>
      <c r="F16" s="2740" t="e">
        <f t="shared" si="1"/>
        <v>#DIV/0!</v>
      </c>
      <c r="G16" s="1501"/>
      <c r="H16" s="1501"/>
      <c r="I16" s="2741"/>
      <c r="J16" s="2912"/>
      <c r="K16" s="2912"/>
    </row>
    <row r="17" spans="1:11" ht="16.5">
      <c r="A17" s="2739" t="s">
        <v>1313</v>
      </c>
      <c r="B17" s="2741"/>
      <c r="C17" s="2741"/>
      <c r="D17" s="2741"/>
      <c r="E17" s="2740" t="e">
        <f t="shared" si="0"/>
        <v>#DIV/0!</v>
      </c>
      <c r="F17" s="2740" t="e">
        <f t="shared" si="1"/>
        <v>#DIV/0!</v>
      </c>
      <c r="G17" s="1501"/>
      <c r="H17" s="1501"/>
      <c r="I17" s="2741"/>
      <c r="J17" s="2912"/>
      <c r="K17" s="2912"/>
    </row>
    <row r="18" spans="1:11" ht="16.5">
      <c r="A18" s="2739" t="s">
        <v>1312</v>
      </c>
      <c r="B18" s="2741"/>
      <c r="C18" s="2741"/>
      <c r="D18" s="2741"/>
      <c r="E18" s="2740" t="e">
        <f t="shared" si="0"/>
        <v>#DIV/0!</v>
      </c>
      <c r="F18" s="2740" t="e">
        <f t="shared" si="1"/>
        <v>#DIV/0!</v>
      </c>
      <c r="G18" s="2741"/>
      <c r="H18" s="2741"/>
      <c r="I18" s="2741"/>
      <c r="J18" s="2912"/>
      <c r="K18" s="2912"/>
    </row>
    <row r="19" spans="1:11" ht="16.5">
      <c r="A19" s="2739" t="s">
        <v>1311</v>
      </c>
      <c r="B19" s="2741"/>
      <c r="C19" s="2741"/>
      <c r="D19" s="2741"/>
      <c r="E19" s="2740" t="e">
        <f t="shared" si="0"/>
        <v>#DIV/0!</v>
      </c>
      <c r="F19" s="2740" t="e">
        <f t="shared" si="1"/>
        <v>#DIV/0!</v>
      </c>
      <c r="G19" s="2741"/>
      <c r="H19" s="2741"/>
      <c r="I19" s="2741"/>
      <c r="J19" s="2912"/>
      <c r="K19" s="2912"/>
    </row>
    <row r="20" spans="1:11" ht="16.5">
      <c r="A20" s="2739" t="s">
        <v>1310</v>
      </c>
      <c r="B20" s="2741"/>
      <c r="C20" s="2741"/>
      <c r="D20" s="2741"/>
      <c r="E20" s="2740" t="e">
        <f t="shared" si="0"/>
        <v>#DIV/0!</v>
      </c>
      <c r="F20" s="2740" t="e">
        <f t="shared" si="1"/>
        <v>#DIV/0!</v>
      </c>
      <c r="G20" s="2741"/>
      <c r="H20" s="2741"/>
      <c r="I20" s="2741"/>
      <c r="J20" s="2912"/>
      <c r="K20" s="2912"/>
    </row>
    <row r="21" spans="1:11" ht="16.5">
      <c r="A21" s="2739" t="s">
        <v>1309</v>
      </c>
      <c r="B21" s="2741"/>
      <c r="C21" s="2741"/>
      <c r="D21" s="2741"/>
      <c r="E21" s="2740" t="e">
        <f t="shared" si="0"/>
        <v>#DIV/0!</v>
      </c>
      <c r="F21" s="2740" t="e">
        <f t="shared" si="1"/>
        <v>#DIV/0!</v>
      </c>
      <c r="G21" s="2741"/>
      <c r="H21" s="2741"/>
      <c r="I21" s="2741"/>
      <c r="J21" s="2912"/>
      <c r="K21" s="2912"/>
    </row>
    <row r="22" spans="1:11" ht="16.5">
      <c r="A22" s="2739" t="s">
        <v>1308</v>
      </c>
      <c r="B22" s="2741"/>
      <c r="C22" s="2741"/>
      <c r="D22" s="2741"/>
      <c r="E22" s="2740" t="e">
        <f t="shared" si="0"/>
        <v>#DIV/0!</v>
      </c>
      <c r="F22" s="2740" t="e">
        <f t="shared" si="1"/>
        <v>#DIV/0!</v>
      </c>
      <c r="G22" s="2741"/>
      <c r="H22" s="2741"/>
      <c r="I22" s="2741"/>
      <c r="J22" s="2912"/>
      <c r="K22" s="2912"/>
    </row>
    <row r="23" spans="1:11" ht="16.5">
      <c r="A23" s="2739" t="s">
        <v>1307</v>
      </c>
      <c r="B23" s="2741"/>
      <c r="C23" s="2741"/>
      <c r="D23" s="2741"/>
      <c r="E23" s="2742" t="e">
        <f t="shared" si="0"/>
        <v>#DIV/0!</v>
      </c>
      <c r="F23" s="2742" t="e">
        <f t="shared" si="1"/>
        <v>#DIV/0!</v>
      </c>
      <c r="G23" s="2741"/>
      <c r="H23" s="2741"/>
      <c r="I23" s="2741"/>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2" zoomScale="90" zoomScaleNormal="100" zoomScaleSheetLayoutView="90" zoomScalePageLayoutView="80" workbookViewId="0">
      <selection activeCell="E26" sqref="E26"/>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c r="H1" s="1937" t="str">
        <f>IF(G1="现房","——","估价对象范围")</f>
        <v>估价对象范围</v>
      </c>
      <c r="I1" s="1938"/>
    </row>
    <row r="2" spans="1:12" ht="21.75" customHeight="1" thickBot="1">
      <c r="A2" s="3396" t="str">
        <f>项目基本情况!S2</f>
        <v>江苏省无锡市江阴市东外环路410号酒店用房房地产</v>
      </c>
      <c r="B2" s="3397"/>
      <c r="C2" s="3397"/>
      <c r="D2" s="3397"/>
      <c r="E2" s="3397"/>
      <c r="F2" s="3397"/>
      <c r="G2" s="3397"/>
      <c r="H2" s="3397"/>
      <c r="I2" s="3398"/>
    </row>
    <row r="3" spans="1:12" ht="12.75">
      <c r="A3" s="3401" t="s">
        <v>1950</v>
      </c>
      <c r="B3" s="3402"/>
      <c r="C3" s="3402"/>
      <c r="D3" s="3402"/>
      <c r="E3" s="3402"/>
      <c r="F3" s="3402"/>
      <c r="G3" s="3402"/>
      <c r="H3" s="3402"/>
      <c r="I3" s="3402"/>
    </row>
    <row r="4" spans="1:12" ht="14.25">
      <c r="A4" s="1941" t="s">
        <v>1951</v>
      </c>
      <c r="B4" s="1942" t="s">
        <v>1952</v>
      </c>
      <c r="C4" s="1943" t="s">
        <v>3277</v>
      </c>
      <c r="D4" s="1943" t="s">
        <v>3080</v>
      </c>
      <c r="E4" s="3406" t="s">
        <v>1953</v>
      </c>
      <c r="F4" s="3407"/>
      <c r="G4" s="3407"/>
      <c r="H4" s="3407"/>
      <c r="I4" s="340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1" t="s">
        <v>1954</v>
      </c>
      <c r="B5" s="3399">
        <v>25</v>
      </c>
      <c r="C5" s="3403"/>
      <c r="D5" s="3400"/>
      <c r="E5" s="136" t="s">
        <v>1955</v>
      </c>
      <c r="F5" s="1944"/>
      <c r="G5" s="1944"/>
      <c r="H5" s="1944"/>
      <c r="I5" s="1558"/>
    </row>
    <row r="6" spans="1:12" ht="12.75">
      <c r="A6" s="3341"/>
      <c r="B6" s="3399"/>
      <c r="C6" s="3405"/>
      <c r="D6" s="3400"/>
      <c r="E6" s="136" t="s">
        <v>1956</v>
      </c>
      <c r="F6" s="1944"/>
      <c r="G6" s="1944"/>
      <c r="H6" s="1944"/>
      <c r="I6" s="1558"/>
    </row>
    <row r="7" spans="1:12" ht="12.75">
      <c r="A7" s="3341"/>
      <c r="B7" s="3399"/>
      <c r="C7" s="3404"/>
      <c r="D7" s="3400"/>
      <c r="E7" s="136" t="s">
        <v>1957</v>
      </c>
      <c r="F7" s="1944"/>
      <c r="G7" s="1944"/>
      <c r="H7" s="1944"/>
      <c r="I7" s="1558"/>
    </row>
    <row r="8" spans="1:12" ht="12.75">
      <c r="A8" s="3341" t="s">
        <v>1958</v>
      </c>
      <c r="B8" s="3399">
        <v>15</v>
      </c>
      <c r="C8" s="3403"/>
      <c r="D8" s="3400"/>
      <c r="E8" s="136" t="s">
        <v>1959</v>
      </c>
      <c r="F8" s="1944"/>
      <c r="G8" s="1944"/>
      <c r="H8" s="1944"/>
      <c r="I8" s="1558"/>
    </row>
    <row r="9" spans="1:12" ht="12.75">
      <c r="A9" s="3341"/>
      <c r="B9" s="3399"/>
      <c r="C9" s="3404"/>
      <c r="D9" s="3400"/>
      <c r="E9" s="136" t="s">
        <v>1960</v>
      </c>
      <c r="F9" s="1944"/>
      <c r="G9" s="1944"/>
      <c r="H9" s="1944"/>
      <c r="I9" s="1558"/>
    </row>
    <row r="10" spans="1:12" ht="12.75">
      <c r="A10" s="3341" t="s">
        <v>1961</v>
      </c>
      <c r="B10" s="3399">
        <v>15</v>
      </c>
      <c r="C10" s="3403"/>
      <c r="D10" s="3400"/>
      <c r="E10" s="136" t="s">
        <v>1962</v>
      </c>
      <c r="F10" s="1944"/>
      <c r="G10" s="1944"/>
      <c r="H10" s="1944"/>
      <c r="I10" s="1558"/>
    </row>
    <row r="11" spans="1:12" ht="12.75">
      <c r="A11" s="3341"/>
      <c r="B11" s="3399"/>
      <c r="C11" s="3404"/>
      <c r="D11" s="3400"/>
      <c r="E11" s="136" t="s">
        <v>1963</v>
      </c>
      <c r="F11" s="1944"/>
      <c r="G11" s="1944"/>
      <c r="H11" s="1944"/>
      <c r="I11" s="1558"/>
    </row>
    <row r="12" spans="1:12" ht="12.75">
      <c r="A12" s="3341" t="s">
        <v>1964</v>
      </c>
      <c r="B12" s="3399">
        <v>15</v>
      </c>
      <c r="C12" s="3403"/>
      <c r="D12" s="3400"/>
      <c r="E12" s="136" t="s">
        <v>1965</v>
      </c>
      <c r="F12" s="1944"/>
      <c r="G12" s="1944"/>
      <c r="H12" s="1944"/>
      <c r="I12" s="1558"/>
    </row>
    <row r="13" spans="1:12" ht="12.75">
      <c r="A13" s="3341"/>
      <c r="B13" s="3399"/>
      <c r="C13" s="3404"/>
      <c r="D13" s="3400"/>
      <c r="E13" s="136" t="s">
        <v>1966</v>
      </c>
      <c r="F13" s="1944"/>
      <c r="G13" s="1944"/>
      <c r="H13" s="1944"/>
      <c r="I13" s="1558"/>
    </row>
    <row r="14" spans="1:12" ht="12.75">
      <c r="A14" s="3341" t="s">
        <v>1967</v>
      </c>
      <c r="B14" s="3399">
        <v>30</v>
      </c>
      <c r="C14" s="3419">
        <v>6</v>
      </c>
      <c r="D14" s="3390">
        <f>10-C14</f>
        <v>4</v>
      </c>
      <c r="E14" s="136" t="s">
        <v>1968</v>
      </c>
      <c r="F14" s="1944"/>
      <c r="G14" s="1944"/>
      <c r="H14" s="1944"/>
      <c r="I14" s="1558"/>
    </row>
    <row r="15" spans="1:12" ht="12.75">
      <c r="A15" s="3341"/>
      <c r="B15" s="3399"/>
      <c r="C15" s="3420"/>
      <c r="D15" s="3390"/>
      <c r="E15" s="136" t="s">
        <v>1969</v>
      </c>
      <c r="F15" s="1944"/>
      <c r="G15" s="1944"/>
      <c r="H15" s="1944"/>
      <c r="I15" s="1558"/>
    </row>
    <row r="16" spans="1:12" ht="12.75">
      <c r="A16" s="3341"/>
      <c r="B16" s="3399"/>
      <c r="C16" s="3421"/>
      <c r="D16" s="3390"/>
      <c r="E16" s="136" t="s">
        <v>1970</v>
      </c>
      <c r="F16" s="1944"/>
      <c r="G16" s="1944"/>
      <c r="H16" s="1944"/>
      <c r="I16" s="1558"/>
    </row>
    <row r="17" spans="1:36" ht="15">
      <c r="A17" s="1945" t="s">
        <v>1971</v>
      </c>
      <c r="B17" s="60"/>
      <c r="C17" s="137">
        <f>SUM(C5:C16)</f>
        <v>6</v>
      </c>
      <c r="D17" s="137">
        <f>SUM(D5:D16)</f>
        <v>4</v>
      </c>
      <c r="E17" s="134"/>
      <c r="F17" s="134"/>
      <c r="G17" s="134"/>
      <c r="H17" s="134"/>
      <c r="I17" s="134"/>
      <c r="K17" s="308"/>
      <c r="L17" s="308" t="s">
        <v>1972</v>
      </c>
      <c r="M17" s="308" t="s">
        <v>1973</v>
      </c>
    </row>
    <row r="18" spans="1:36" ht="31.9" customHeight="1" thickBot="1">
      <c r="A18" s="1946" t="s">
        <v>1974</v>
      </c>
      <c r="B18" s="1947"/>
      <c r="C18" s="138">
        <f>ROUND(C17/SUM(C17:D17),2)</f>
        <v>0.6</v>
      </c>
      <c r="D18" s="138">
        <f>1-C18</f>
        <v>0.4</v>
      </c>
      <c r="E18" s="3425" t="s">
        <v>2874</v>
      </c>
      <c r="F18" s="3426"/>
      <c r="G18" s="3426"/>
      <c r="H18" s="3426"/>
      <c r="I18" s="3426"/>
      <c r="K18" s="308" t="s">
        <v>1975</v>
      </c>
      <c r="L18" s="308">
        <f>IF(C1="",'数据-汇总表'!E3,SUMIF(项目类型,C1,'数据-汇总表'!E17:E26)+SUMIF(项目类型,C1,'数据-汇总表'!I17:I26))</f>
        <v>44859.7</v>
      </c>
      <c r="M18" s="308">
        <f>IF(C1="",'数据-汇总表'!E3,SUMIF(项目类型,C1,'数据-汇总表'!E17:E26))</f>
        <v>44859.7</v>
      </c>
    </row>
    <row r="19" spans="1:36" ht="15">
      <c r="A19" s="1948" t="s">
        <v>1976</v>
      </c>
      <c r="B19" s="1949" t="s">
        <v>1977</v>
      </c>
      <c r="C19" s="139">
        <f ca="1">SUMIF(INDIRECT("'"&amp;C4&amp;"'"&amp;"!A:A"),结果表!B19,INDIRECT("'"&amp;C4&amp;"'"&amp;"!B:B"))</f>
        <v>44234</v>
      </c>
      <c r="D19" s="140">
        <f ca="1">SUMIF(INDIRECT("'"&amp;D4&amp;"'"&amp;"!A:A"),结果表!B19,INDIRECT("'"&amp;D4&amp;"'"&amp;"!B:B"))</f>
        <v>32821</v>
      </c>
      <c r="E19" s="1948" t="s">
        <v>1978</v>
      </c>
      <c r="F19" s="1949" t="s">
        <v>1977</v>
      </c>
      <c r="G19" s="141">
        <f ca="1">ROUND(C19*$C$18+D19*$D$18,0)</f>
        <v>39669</v>
      </c>
      <c r="H19" s="1950" t="s">
        <v>1979</v>
      </c>
      <c r="I19" s="134"/>
      <c r="K19" s="308" t="s">
        <v>1980</v>
      </c>
      <c r="L19" s="308">
        <f>IF(C1="",'数据-汇总表'!D3,SUMIF(项目类型,C1,'数据-汇总表'!D17:D26)+SUMIF(项目类型,C1,'数据-汇总表'!H17:H27))</f>
        <v>5974.5</v>
      </c>
      <c r="M19" s="308">
        <f>IF(C1="",'数据-汇总表'!D3,SUMIF(项目类型,C1,'数据-汇总表'!D17:D26))</f>
        <v>5974.5</v>
      </c>
    </row>
    <row r="20" spans="1:36" ht="15">
      <c r="A20" s="1951"/>
      <c r="B20" s="1157" t="s">
        <v>1981</v>
      </c>
      <c r="C20" s="142">
        <f ca="1">SUMIF(INDIRECT("'"&amp;C4&amp;"'"&amp;"!A:A"),结果表!B20,INDIRECT("'"&amp;C4&amp;"'"&amp;"!B:B"))</f>
        <v>9861</v>
      </c>
      <c r="D20" s="143">
        <f ca="1">SUMIF(INDIRECT("'"&amp;D4&amp;"'"&amp;"!A:A"),结果表!B20,INDIRECT("'"&amp;D4&amp;"'"&amp;"!B:B"))</f>
        <v>7316</v>
      </c>
      <c r="E20" s="1951"/>
      <c r="F20" s="1157" t="s">
        <v>1981</v>
      </c>
      <c r="G20" s="144">
        <f ca="1">ROUND(C20*$C$18+D20*$D$18,0)</f>
        <v>8843</v>
      </c>
      <c r="H20" s="917" t="s">
        <v>1982</v>
      </c>
      <c r="I20" s="134"/>
    </row>
    <row r="21" spans="1:36" ht="15" customHeight="1" thickBot="1">
      <c r="A21" s="937"/>
      <c r="B21" s="1952" t="s">
        <v>1983</v>
      </c>
      <c r="C21" s="728">
        <f ca="1">ROUND(C19*10000/L19,0)</f>
        <v>74038</v>
      </c>
      <c r="D21" s="729">
        <f ca="1">ROUND(D19*10000/L19,0)</f>
        <v>54935</v>
      </c>
      <c r="E21" s="937"/>
      <c r="F21" s="1952" t="s">
        <v>1983</v>
      </c>
      <c r="G21" s="145">
        <f ca="1">ROUND(G19*10000/L19,0)</f>
        <v>66397</v>
      </c>
      <c r="H21" s="1953" t="s">
        <v>1982</v>
      </c>
      <c r="I21" s="134"/>
    </row>
    <row r="22" spans="1:36" ht="15" thickBot="1">
      <c r="A22" s="1875" t="s">
        <v>1984</v>
      </c>
      <c r="B22" s="1954"/>
      <c r="C22" s="1955"/>
      <c r="D22" s="730">
        <f ca="1">IF(C19&lt;D19,D19/C19-1,C19/D19-1)</f>
        <v>0.34773468206331315</v>
      </c>
      <c r="E22" s="134"/>
      <c r="F22" s="134"/>
      <c r="G22" s="134"/>
      <c r="H22" s="134"/>
      <c r="I22" s="134"/>
    </row>
    <row r="23" spans="1:36" ht="13.5" thickBot="1">
      <c r="A23" s="1934"/>
      <c r="B23" s="1934"/>
      <c r="C23" s="1934"/>
      <c r="D23" s="1934"/>
      <c r="E23" s="134"/>
      <c r="F23" s="134"/>
      <c r="G23" s="134"/>
      <c r="H23" s="134"/>
      <c r="I23" s="134"/>
    </row>
    <row r="24" spans="1:36" ht="14.25">
      <c r="A24" s="3415" t="s">
        <v>1985</v>
      </c>
      <c r="B24" s="1949" t="s">
        <v>1977</v>
      </c>
      <c r="C24" s="141">
        <f>IF(B30=0,0,D30)</f>
        <v>0</v>
      </c>
      <c r="D24" s="1956"/>
      <c r="E24" s="134"/>
      <c r="F24" s="134"/>
      <c r="G24" s="134"/>
      <c r="H24" s="134"/>
      <c r="I24" s="134"/>
    </row>
    <row r="25" spans="1:36" ht="14.25">
      <c r="A25" s="3416"/>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3198"/>
      <c r="B27" s="147"/>
      <c r="C27" s="147"/>
      <c r="D27" s="148"/>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f>B27</f>
        <v>0</v>
      </c>
      <c r="C30" s="147">
        <f>C27</f>
        <v>0</v>
      </c>
      <c r="D30" s="147">
        <f>D27</f>
        <v>0</v>
      </c>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3"/>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60" t="s">
        <v>1991</v>
      </c>
      <c r="B32" s="1961"/>
      <c r="C32" s="149">
        <f ca="1">IF(D32="总价",G19-C24,G20-C25)</f>
        <v>39669</v>
      </c>
      <c r="D32" s="1962" t="s">
        <v>3283</v>
      </c>
      <c r="E32" s="134"/>
      <c r="F32" s="134"/>
      <c r="G32" s="134"/>
      <c r="H32" s="134"/>
      <c r="I32" s="134"/>
    </row>
    <row r="33" spans="1:15" ht="15">
      <c r="A33" s="894" t="s">
        <v>1992</v>
      </c>
      <c r="B33" s="1963"/>
      <c r="C33" s="1964" t="s">
        <v>3284</v>
      </c>
      <c r="D33" s="1965" t="s">
        <v>3080</v>
      </c>
      <c r="E33" s="1966" t="s">
        <v>1993</v>
      </c>
      <c r="F33" s="1967" t="str">
        <f>IF(D32="楼面单价","取值（单价）","取值（总价）")</f>
        <v>取值（总价）</v>
      </c>
      <c r="G33" s="134"/>
      <c r="H33" s="134"/>
      <c r="I33" s="134"/>
    </row>
    <row r="34" spans="1:15" ht="15">
      <c r="A34" s="1968"/>
      <c r="B34" s="1969" t="s">
        <v>1994</v>
      </c>
      <c r="C34" s="153">
        <f ca="1">IF(C33="自定义",F34,C32-C35)</f>
        <v>-23722</v>
      </c>
      <c r="D34" s="970">
        <f ca="1">IF(C33="自定义",ROUND(C34/C32,3),IF(C33="收益比率",SUMIF(INDIRECT("'"&amp;D33&amp;"'"&amp;"!b:b"),"土地收益比率",INDIRECT("'"&amp;D33&amp;"'"&amp;"!c:c")),SUMIF(INDIRECT("'"&amp;D33&amp;"'"&amp;"!b:b"),"土地成本比率",INDIRECT("'"&amp;D33&amp;"'"&amp;"!c:c"))))</f>
        <v>-0.59800000000000009</v>
      </c>
      <c r="E34" s="1970" t="s">
        <v>1995</v>
      </c>
      <c r="F34" s="1499"/>
      <c r="G34" s="134"/>
      <c r="H34" s="134"/>
      <c r="I34" s="134"/>
    </row>
    <row r="35" spans="1:15" ht="15.75" thickBot="1">
      <c r="A35" s="1971"/>
      <c r="B35" s="1972" t="s">
        <v>1996</v>
      </c>
      <c r="C35" s="1332">
        <f ca="1">IF(C33="自定义",F35,ROUND(C32*D35,0))</f>
        <v>63391</v>
      </c>
      <c r="D35" s="1333">
        <f ca="1">IF(C33="自定义",ROUND(C35/C32,3),IF(C33="收益比率",SUMIF(INDIRECT("'"&amp;D33&amp;"'"&amp;"!b:b"),"建筑物收益比率",INDIRECT("'"&amp;D33&amp;"'"&amp;"!c:c")),SUMIF(INDIRECT("'"&amp;D33&amp;"'"&amp;"!b:b"),"建筑物成本比率",INDIRECT("'"&amp;D33&amp;"'"&amp;"!c:c"))))</f>
        <v>1.5980000000000001</v>
      </c>
      <c r="E35" s="1973" t="s">
        <v>1997</v>
      </c>
      <c r="F35" s="159"/>
      <c r="G35" s="134"/>
      <c r="H35" s="134"/>
      <c r="I35" s="134"/>
    </row>
    <row r="36" spans="1:15" ht="15.75" thickBot="1">
      <c r="A36" s="3391" t="s">
        <v>1998</v>
      </c>
      <c r="B36" s="1974" t="s">
        <v>1999</v>
      </c>
      <c r="C36" s="150"/>
      <c r="D36" s="1975"/>
      <c r="E36" s="1976"/>
      <c r="F36" s="1977"/>
      <c r="G36" s="134"/>
      <c r="H36" s="134"/>
      <c r="I36" s="134"/>
    </row>
    <row r="37" spans="1:15" ht="15.75" thickBot="1">
      <c r="A37" s="3392"/>
      <c r="B37" s="1861" t="s">
        <v>2000</v>
      </c>
      <c r="C37" s="152"/>
      <c r="D37" s="1301"/>
      <c r="E37" s="1301"/>
      <c r="F37" s="1977"/>
      <c r="G37" s="134"/>
      <c r="H37" s="134"/>
      <c r="I37" s="134"/>
    </row>
    <row r="38" spans="1:15" ht="15.75" thickBot="1">
      <c r="A38" s="3393"/>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412" t="s">
        <v>2012</v>
      </c>
      <c r="B45" s="3413"/>
      <c r="C45" s="3414"/>
      <c r="D45" s="160">
        <f ca="1">ROUND(H101*F45,0)</f>
        <v>39669</v>
      </c>
      <c r="E45" s="161" t="s">
        <v>2013</v>
      </c>
      <c r="F45" s="162">
        <v>1</v>
      </c>
      <c r="G45" s="163" t="s">
        <v>2014</v>
      </c>
      <c r="H45" s="134"/>
      <c r="I45" s="134"/>
      <c r="J45" s="3328" t="s">
        <v>2015</v>
      </c>
      <c r="K45" s="3328"/>
      <c r="L45" s="3328"/>
      <c r="M45" s="3328"/>
      <c r="N45" s="3328"/>
      <c r="O45" s="3328"/>
    </row>
    <row r="46" spans="1:15" ht="14.25" customHeight="1">
      <c r="A46" s="3409" t="s">
        <v>2016</v>
      </c>
      <c r="B46" s="3410"/>
      <c r="C46" s="3410"/>
      <c r="D46" s="3410"/>
      <c r="E46" s="3410"/>
      <c r="F46" s="3410"/>
      <c r="G46" s="3411"/>
      <c r="H46" s="1993"/>
      <c r="I46" s="164"/>
      <c r="J46" s="2745">
        <v>1</v>
      </c>
      <c r="K46" s="3329" t="s">
        <v>2017</v>
      </c>
      <c r="L46" s="3329"/>
      <c r="M46" s="3330"/>
      <c r="N46" s="3330"/>
      <c r="O46" s="3330"/>
    </row>
    <row r="47" spans="1:15" ht="12" customHeight="1">
      <c r="A47" s="165" t="s">
        <v>2018</v>
      </c>
      <c r="B47" s="166"/>
      <c r="C47" s="167"/>
      <c r="D47" s="1247" t="s">
        <v>2019</v>
      </c>
      <c r="E47" s="308" t="s">
        <v>2020</v>
      </c>
      <c r="F47" s="168" t="s">
        <v>2021</v>
      </c>
      <c r="G47" s="2768" t="s">
        <v>2022</v>
      </c>
      <c r="H47" s="2769"/>
      <c r="I47" s="164"/>
      <c r="J47" s="2745">
        <v>2</v>
      </c>
      <c r="K47" s="3329" t="s">
        <v>2023</v>
      </c>
      <c r="L47" s="3329"/>
      <c r="M47" s="3331">
        <f>'数据-取费表'!B2</f>
        <v>44280</v>
      </c>
      <c r="N47" s="3331"/>
      <c r="O47" s="3331"/>
    </row>
    <row r="48" spans="1:15" ht="25.5">
      <c r="A48" s="3394" t="s">
        <v>2024</v>
      </c>
      <c r="B48" s="3395"/>
      <c r="C48" s="3395"/>
      <c r="D48" s="2547">
        <f ca="1">IF(H48="情况1",0,IF(H48="情况2",D52,IF(H48="情况3",D53,IF(H48="情况4",D54))))</f>
        <v>2116</v>
      </c>
      <c r="E48" s="2557" t="str">
        <f>IF(H48="情况4","(销售额-原购置价)×税（费）率","销售额×税（费）率")</f>
        <v>销售额×税（费）率</v>
      </c>
      <c r="F48" s="2770">
        <f>IF(H48="情况1","免征",'数据-取费表'!B41)</f>
        <v>5.6000000000000001E-2</v>
      </c>
      <c r="G48" s="2771" t="s">
        <v>2025</v>
      </c>
      <c r="H48" s="2772" t="s">
        <v>3293</v>
      </c>
      <c r="I48" s="1993"/>
      <c r="J48" s="2745">
        <v>3</v>
      </c>
      <c r="K48" s="3329" t="s">
        <v>2026</v>
      </c>
      <c r="L48" s="3329"/>
      <c r="M48" s="3332">
        <f ca="1">H101</f>
        <v>39669</v>
      </c>
      <c r="N48" s="3332"/>
      <c r="O48" s="3332"/>
    </row>
    <row r="49" spans="1:35" ht="25.5" customHeight="1">
      <c r="A49" s="2556" t="s">
        <v>2027</v>
      </c>
      <c r="B49" s="3377" t="s">
        <v>2028</v>
      </c>
      <c r="C49" s="3377"/>
      <c r="D49" s="1776">
        <v>0</v>
      </c>
      <c r="E49" s="330" t="s">
        <v>2029</v>
      </c>
      <c r="F49" s="2647" t="s">
        <v>34</v>
      </c>
      <c r="G49" s="3360"/>
      <c r="H49" s="2528" t="s">
        <v>2877</v>
      </c>
      <c r="I49" s="2529"/>
      <c r="J49" s="2745">
        <v>4</v>
      </c>
      <c r="K49" s="3329" t="str">
        <f>IF(项目基本情况!E8="房地产抵押价值","房地产抵押价值","抵押担保权已注销时的房地产抵押价值")</f>
        <v>房地产抵押价值</v>
      </c>
      <c r="L49" s="3329"/>
      <c r="M49" s="3332">
        <f ca="1">IF(项目基本情况!E8="房地产抵押价值",H107,H109)</f>
        <v>39669</v>
      </c>
      <c r="N49" s="3332"/>
      <c r="O49" s="3332"/>
    </row>
    <row r="50" spans="1:35" ht="25.5" customHeight="1">
      <c r="A50" s="2773"/>
      <c r="B50" s="3377" t="s">
        <v>2030</v>
      </c>
      <c r="C50" s="3377"/>
      <c r="D50" s="2774"/>
      <c r="E50" s="338"/>
      <c r="F50" s="2647"/>
      <c r="G50" s="3361"/>
      <c r="H50" s="2530" t="s">
        <v>2878</v>
      </c>
      <c r="I50" s="2529"/>
      <c r="J50" s="3328" t="s">
        <v>2031</v>
      </c>
      <c r="K50" s="3328"/>
      <c r="L50" s="3328"/>
      <c r="M50" s="3328"/>
      <c r="N50" s="3328"/>
      <c r="O50" s="3328"/>
    </row>
    <row r="51" spans="1:35" ht="20.45" customHeight="1">
      <c r="A51" s="2775"/>
      <c r="B51" s="3377" t="s">
        <v>2032</v>
      </c>
      <c r="C51" s="3377"/>
      <c r="D51" s="1247"/>
      <c r="E51" s="333"/>
      <c r="F51" s="2647"/>
      <c r="G51" s="3362"/>
      <c r="H51" s="2530" t="s">
        <v>2879</v>
      </c>
      <c r="I51" s="2529"/>
      <c r="J51" s="2746" t="s">
        <v>2033</v>
      </c>
      <c r="K51" s="3329" t="s">
        <v>2034</v>
      </c>
      <c r="L51" s="3329"/>
      <c r="M51" s="2746" t="s">
        <v>2035</v>
      </c>
      <c r="N51" s="2746" t="s">
        <v>2036</v>
      </c>
      <c r="O51" s="2746" t="s">
        <v>2037</v>
      </c>
    </row>
    <row r="52" spans="1:35" ht="24" customHeight="1">
      <c r="A52" s="2558" t="s">
        <v>2038</v>
      </c>
      <c r="B52" s="3377" t="s">
        <v>2039</v>
      </c>
      <c r="C52" s="3377"/>
      <c r="D52" s="1247">
        <f ca="1">ROUND(D45*'数据-取费表'!B41/(1+'数据-取费表'!C42),0)</f>
        <v>2116</v>
      </c>
      <c r="E52" s="2557" t="s">
        <v>2040</v>
      </c>
      <c r="F52" s="2776">
        <f>'数据-取费表'!B41</f>
        <v>5.6000000000000001E-2</v>
      </c>
      <c r="G52" s="2777"/>
      <c r="H52" s="2766"/>
      <c r="I52" s="1994"/>
      <c r="J52" s="2745">
        <v>1</v>
      </c>
      <c r="K52" s="3354" t="s">
        <v>2041</v>
      </c>
      <c r="L52" s="3354"/>
      <c r="M52" s="2747">
        <f ca="1">D48</f>
        <v>2116</v>
      </c>
      <c r="N52" s="2745" t="str">
        <f>E48</f>
        <v>销售额×税（费）率</v>
      </c>
      <c r="O52" s="2748">
        <f>F48</f>
        <v>5.6000000000000001E-2</v>
      </c>
    </row>
    <row r="53" spans="1:35" ht="12" customHeight="1">
      <c r="A53" s="2558" t="s">
        <v>2042</v>
      </c>
      <c r="B53" s="3378" t="s">
        <v>3034</v>
      </c>
      <c r="C53" s="3379"/>
      <c r="D53" s="1247">
        <f ca="1">ROUND(D45*'数据-取费表'!B41/(1+'数据-取费表'!C42),0)</f>
        <v>2116</v>
      </c>
      <c r="E53" s="2557" t="s">
        <v>2040</v>
      </c>
      <c r="F53" s="2776">
        <f>'数据-取费表'!B41</f>
        <v>5.6000000000000001E-2</v>
      </c>
      <c r="G53" s="2777"/>
      <c r="H53" s="2766"/>
      <c r="I53" s="1994"/>
      <c r="J53" s="2745">
        <v>2</v>
      </c>
      <c r="K53" s="3354" t="s">
        <v>2043</v>
      </c>
      <c r="L53" s="3354"/>
      <c r="M53" s="2747">
        <f t="shared" ref="M53:O54" ca="1" si="0">D55</f>
        <v>20</v>
      </c>
      <c r="N53" s="2745" t="str">
        <f t="shared" si="0"/>
        <v>销售额×税（费）率</v>
      </c>
      <c r="O53" s="2748">
        <f t="shared" si="0"/>
        <v>5.0000000000000001E-4</v>
      </c>
    </row>
    <row r="54" spans="1:35" ht="12" customHeight="1">
      <c r="A54" s="2558" t="s">
        <v>2044</v>
      </c>
      <c r="B54" s="3378" t="s">
        <v>3035</v>
      </c>
      <c r="C54" s="3379"/>
      <c r="D54" s="1247">
        <f ca="1">C68</f>
        <v>2116</v>
      </c>
      <c r="E54" s="333" t="s">
        <v>2045</v>
      </c>
      <c r="F54" s="2776">
        <f>'数据-取费表'!B41</f>
        <v>5.6000000000000001E-2</v>
      </c>
      <c r="G54" s="2777"/>
      <c r="H54" s="2778"/>
      <c r="I54" s="1994"/>
      <c r="J54" s="2745">
        <v>3</v>
      </c>
      <c r="K54" s="3354" t="s">
        <v>2046</v>
      </c>
      <c r="L54" s="3354"/>
      <c r="M54" s="2747">
        <f t="shared" ca="1" si="0"/>
        <v>0</v>
      </c>
      <c r="N54" s="2745" t="str">
        <f t="shared" si="0"/>
        <v>增值额×税（费）率</v>
      </c>
      <c r="O54" s="2749" t="str">
        <f t="shared" si="0"/>
        <v>——</v>
      </c>
    </row>
    <row r="55" spans="1:35" ht="24" customHeight="1">
      <c r="A55" s="3418" t="s">
        <v>2047</v>
      </c>
      <c r="B55" s="3395"/>
      <c r="C55" s="3395"/>
      <c r="D55" s="2547">
        <f ca="1">IF(H55="个人住宅",0,ROUND(D45*I55,0))</f>
        <v>20</v>
      </c>
      <c r="E55" s="2557" t="s">
        <v>2048</v>
      </c>
      <c r="F55" s="2776">
        <f>IF(H55="正常",I55,"免征")</f>
        <v>5.0000000000000001E-4</v>
      </c>
      <c r="G55" s="2777"/>
      <c r="H55" s="2772" t="s">
        <v>3294</v>
      </c>
      <c r="I55" s="170">
        <f>'数据-取费表'!B49</f>
        <v>5.0000000000000001E-4</v>
      </c>
      <c r="J55" s="2745" t="str">
        <f>IF(H59="非个人房产","",4)</f>
        <v/>
      </c>
      <c r="K55" s="3354" t="str">
        <f>IF(H59="非个人房产","——","个人所得税")</f>
        <v>——</v>
      </c>
      <c r="L55" s="3354"/>
      <c r="M55" s="2750" t="str">
        <f>D59</f>
        <v>——</v>
      </c>
      <c r="N55" s="2228" t="str">
        <f>E59</f>
        <v>——</v>
      </c>
      <c r="O55" s="2751" t="str">
        <f>F59</f>
        <v>——</v>
      </c>
    </row>
    <row r="56" spans="1:35" ht="24.75">
      <c r="A56" s="3418" t="s">
        <v>2049</v>
      </c>
      <c r="B56" s="3395"/>
      <c r="C56" s="3395"/>
      <c r="D56" s="2547">
        <f ca="1">IF(H56="个人住宅",D57,D58)</f>
        <v>0</v>
      </c>
      <c r="E56" s="2557" t="s">
        <v>2050</v>
      </c>
      <c r="F56" s="2776" t="str">
        <f>IF(H56="正常",F58,"免征")</f>
        <v>——</v>
      </c>
      <c r="G56" s="2779" t="s">
        <v>2051</v>
      </c>
      <c r="H56" s="2780" t="s">
        <v>3294</v>
      </c>
      <c r="I56" s="1995"/>
      <c r="J56" s="2745" t="str">
        <f>IF(项目基本情况!K6="上海银行",IF(J55="",4,J55+1),"")</f>
        <v/>
      </c>
      <c r="K56" s="3335" t="str">
        <f>IF(项目基本情况!K6="上海银行","其他处置费用","")</f>
        <v/>
      </c>
      <c r="L56" s="3336"/>
      <c r="M56" s="2747" t="str">
        <f>IF(项目基本情况!K6="上海银行",M69,"")</f>
        <v/>
      </c>
      <c r="N56" s="3335" t="str">
        <f>IF(项目基本情况!K6="上海银行","包含处置中涉及的律师、诉讼、拍卖、评估等费用","")</f>
        <v/>
      </c>
      <c r="O56" s="3338"/>
    </row>
    <row r="57" spans="1:35" ht="12.75">
      <c r="A57" s="2558" t="s">
        <v>2027</v>
      </c>
      <c r="B57" s="3378" t="s">
        <v>2052</v>
      </c>
      <c r="C57" s="3379"/>
      <c r="D57" s="1776">
        <v>0</v>
      </c>
      <c r="E57" s="330" t="s">
        <v>2029</v>
      </c>
      <c r="F57" s="308"/>
      <c r="G57" s="2777"/>
      <c r="H57" s="2781"/>
      <c r="I57" s="1995"/>
      <c r="J57" s="3354">
        <f>IF(AND(J55="",J56=""),4,IF(项目基本情况!K6="上海银行",结果表!J56+1,结果表!J55+1))</f>
        <v>4</v>
      </c>
      <c r="K57" s="3354" t="s">
        <v>2053</v>
      </c>
      <c r="L57" s="2752" t="s">
        <v>2054</v>
      </c>
      <c r="M57" s="2753"/>
      <c r="N57" s="2754">
        <f ca="1">SUMIF(M52:M56,"&lt;9e307")</f>
        <v>2136</v>
      </c>
      <c r="O57" s="2755"/>
      <c r="P57" s="2914"/>
    </row>
    <row r="58" spans="1:35" ht="24.75">
      <c r="A58" s="2558" t="s">
        <v>2038</v>
      </c>
      <c r="B58" s="3378" t="s">
        <v>2055</v>
      </c>
      <c r="C58" s="3377"/>
      <c r="D58" s="2547">
        <f ca="1">IF(H58="转让取得",C81,C97)</f>
        <v>0</v>
      </c>
      <c r="E58" s="2557" t="s">
        <v>2050</v>
      </c>
      <c r="F58" s="308" t="s">
        <v>34</v>
      </c>
      <c r="G58" s="2777"/>
      <c r="H58" s="2780" t="s">
        <v>3295</v>
      </c>
      <c r="I58" s="1995"/>
      <c r="J58" s="3354"/>
      <c r="K58" s="3354"/>
      <c r="L58" s="2752" t="s">
        <v>2056</v>
      </c>
      <c r="M58" s="2756"/>
      <c r="N58" s="2757" t="str">
        <f ca="1">NUMBERSTRING(INT(N57*10000),2)&amp;"元整"</f>
        <v>贰仟壹佰叁拾陆万元整</v>
      </c>
      <c r="O58" s="2758"/>
    </row>
    <row r="59" spans="1:35" ht="24.75" thickBot="1">
      <c r="A59" s="3358" t="s">
        <v>2057</v>
      </c>
      <c r="B59" s="3359"/>
      <c r="C59" s="3359"/>
      <c r="D59" s="2782" t="str">
        <f>IF(H59="非个人房产","——",IF(H59="个人住宅（满五唯一有凭证）",0,IF(H59="个人其他（无凭证）",ROUND(D45*F59,0),ROUND(C67*F59,0))))</f>
        <v>——</v>
      </c>
      <c r="E59" s="2783" t="str">
        <f>IF(H59="非个人房产","——",IF(H59="个人其他（无凭证）","销售额×税（费）率",IF(H59="个人住宅（满五唯一有凭证）","免征","差额计税")))</f>
        <v>——</v>
      </c>
      <c r="F59" s="2784" t="str">
        <f>IF(OR(H59="非个人房产",H59="个人住宅（满五唯一有凭证）"),"——",IF(H59="个人其他（有凭证）",20%,1%))</f>
        <v>——</v>
      </c>
      <c r="G59" s="2785" t="s">
        <v>2051</v>
      </c>
      <c r="H59" s="2532" t="s">
        <v>3473</v>
      </c>
      <c r="I59" s="2531" t="s">
        <v>2880</v>
      </c>
      <c r="J59" s="3356">
        <f>J57+1</f>
        <v>5</v>
      </c>
      <c r="K59" s="3354" t="s">
        <v>2058</v>
      </c>
      <c r="L59" s="2745" t="s">
        <v>2054</v>
      </c>
      <c r="M59" s="2759"/>
      <c r="N59" s="2760">
        <f ca="1">M49-N57</f>
        <v>37533</v>
      </c>
      <c r="O59" s="2761"/>
    </row>
    <row r="60" spans="1:35" ht="12" customHeight="1">
      <c r="A60" s="1996"/>
      <c r="B60" s="1934"/>
      <c r="C60" s="1934"/>
      <c r="D60" s="1934"/>
      <c r="E60" s="1764"/>
      <c r="F60" s="1995"/>
      <c r="G60" s="1995"/>
      <c r="H60" s="1997"/>
      <c r="I60" s="134"/>
      <c r="J60" s="3357"/>
      <c r="K60" s="3354"/>
      <c r="L60" s="2752" t="s">
        <v>2056</v>
      </c>
      <c r="M60" s="2756"/>
      <c r="N60" s="2757" t="str">
        <f ca="1">NUMBERSTRING(INT(N59*10000),2)&amp;"元整"</f>
        <v>叁亿柒仟伍佰叁拾叁万元整</v>
      </c>
      <c r="O60" s="2758"/>
    </row>
    <row r="61" spans="1:35" ht="13.5" thickBot="1">
      <c r="A61" s="3417" t="s">
        <v>2059</v>
      </c>
      <c r="B61" s="3417"/>
      <c r="C61" s="3417"/>
      <c r="D61" s="3417"/>
      <c r="E61" s="3417"/>
      <c r="F61" s="1995"/>
      <c r="G61" s="1995"/>
      <c r="H61" s="1997"/>
      <c r="I61" s="134"/>
      <c r="J61" s="2745">
        <f>J59+1</f>
        <v>6</v>
      </c>
      <c r="K61" s="3354" t="s">
        <v>2060</v>
      </c>
      <c r="L61" s="3354"/>
      <c r="M61" s="2762"/>
      <c r="N61" s="2763">
        <f ca="1">ROUND(N59*10000/'数据-汇总表'!E3,0)</f>
        <v>8367</v>
      </c>
      <c r="O61" s="2764"/>
      <c r="P61" s="734">
        <f>2.2/0.59</f>
        <v>3.7288135593220342</v>
      </c>
    </row>
    <row r="62" spans="1:35" ht="12.75">
      <c r="A62" s="3373" t="s">
        <v>2061</v>
      </c>
      <c r="B62" s="3374"/>
      <c r="C62" s="2209"/>
      <c r="D62" s="2209" t="s">
        <v>2062</v>
      </c>
      <c r="E62" s="171" t="s">
        <v>2063</v>
      </c>
      <c r="F62" s="1995"/>
      <c r="G62" s="1995"/>
      <c r="H62" s="1997"/>
      <c r="I62" s="134"/>
    </row>
    <row r="63" spans="1:35" ht="12.75">
      <c r="A63" s="178" t="s">
        <v>775</v>
      </c>
      <c r="B63" s="172" t="s">
        <v>2064</v>
      </c>
      <c r="C63" s="2786">
        <f ca="1">ROUND((C64+C65)/(1+'数据-取费表'!C42),0)</f>
        <v>37780</v>
      </c>
      <c r="D63" s="172"/>
      <c r="E63" s="173"/>
      <c r="F63" s="1995"/>
      <c r="G63" s="1995"/>
      <c r="H63" s="1997"/>
      <c r="I63" s="134"/>
      <c r="J63" s="3337" t="s">
        <v>2065</v>
      </c>
      <c r="K63" s="1502" t="s">
        <v>2066</v>
      </c>
      <c r="L63" s="1502">
        <f ca="1">IF(M49&gt;10000,M49*0.5%,IF(AND(M49&gt;1000,M49&lt;=10000),M49*1%,IF(AND(M49&gt;100,M49&lt;=1000),M49*3%,IF(AND(M49&gt;10,M49&lt;=100),M49*5%,M49*8%))))</f>
        <v>198.345</v>
      </c>
      <c r="M63" s="308">
        <f ca="1">ROUND(L63,1)</f>
        <v>198.3</v>
      </c>
      <c r="N63" s="2765"/>
      <c r="Z63" s="1939"/>
      <c r="AI63" s="1940"/>
    </row>
    <row r="64" spans="1:35" ht="14.25" customHeight="1">
      <c r="A64" s="174" t="s">
        <v>770</v>
      </c>
      <c r="B64" s="175" t="s">
        <v>2067</v>
      </c>
      <c r="C64" s="2787">
        <f ca="1">D45</f>
        <v>39669</v>
      </c>
      <c r="D64" s="175" t="s">
        <v>32</v>
      </c>
      <c r="E64" s="177"/>
      <c r="F64" s="1995"/>
      <c r="G64" s="1995"/>
      <c r="H64" s="1997"/>
      <c r="I64" s="134"/>
      <c r="J64" s="3337"/>
      <c r="K64" s="1502" t="s">
        <v>2068</v>
      </c>
      <c r="L64" s="1502">
        <f ca="1">IF(M49&gt;2000,M49*0.5%,IF(AND(M49&gt;1000,M49&lt;=2000),M49*0.6%,IF(AND(M49&gt;500,M49&lt;=1000),M49*0.7%,IF(AND(M49&gt;200,M49&lt;=500),M49*0.8%,IF(AND(M49&gt;100,M49&lt;=200),M49*0.9%,IF(AND(M49&gt;50,M49&lt;=100),M49*1%,IF(AND(M49&gt;20,M49&lt;=50),M49*1.5%,IF(AND(M49&gt;10,M49&lt;=20),M49*2%,IF(AND(M49&gt;1,M49&lt;=10),M49*2.5%)))))))))</f>
        <v>198.345</v>
      </c>
      <c r="M64" s="308">
        <f t="shared" ref="M64:M65" ca="1" si="1">ROUND(L64,1)</f>
        <v>198.3</v>
      </c>
      <c r="N64" s="2766" t="s">
        <v>2069</v>
      </c>
      <c r="Z64" s="1939"/>
      <c r="AI64" s="1940"/>
    </row>
    <row r="65" spans="1:35" ht="14.25" customHeight="1">
      <c r="A65" s="174" t="s">
        <v>771</v>
      </c>
      <c r="B65" s="175" t="s">
        <v>2070</v>
      </c>
      <c r="C65" s="2788"/>
      <c r="D65" s="175"/>
      <c r="E65" s="177"/>
      <c r="F65" s="1995"/>
      <c r="G65" s="1995"/>
      <c r="H65" s="1997"/>
      <c r="I65" s="134"/>
      <c r="J65" s="3337"/>
      <c r="K65" s="1502" t="s">
        <v>2071</v>
      </c>
      <c r="L65" s="1502">
        <f ca="1">IF(M49&gt;1000,M49*0.1%,IF(AND(M49&gt;500,M49&lt;=1000),M49*0.5%,IF(AND(M49&gt;50,M49&lt;=500),M49*1%,IF(AND(M49&gt;1,M49&lt;=50),M49*1.5%))))</f>
        <v>39.669000000000004</v>
      </c>
      <c r="M65" s="308">
        <f t="shared" ca="1" si="1"/>
        <v>39.700000000000003</v>
      </c>
      <c r="N65" s="2766" t="s">
        <v>2069</v>
      </c>
      <c r="Z65" s="1939"/>
      <c r="AI65" s="1940"/>
    </row>
    <row r="66" spans="1:35" ht="14.25" customHeight="1">
      <c r="A66" s="178" t="s">
        <v>772</v>
      </c>
      <c r="B66" s="179" t="s">
        <v>2072</v>
      </c>
      <c r="C66" s="2789"/>
      <c r="D66" s="179" t="s">
        <v>32</v>
      </c>
      <c r="E66" s="1510" t="s">
        <v>1337</v>
      </c>
      <c r="F66" s="1995"/>
      <c r="G66" s="1995"/>
      <c r="H66" s="1997"/>
      <c r="I66" s="134"/>
      <c r="J66" s="3337"/>
      <c r="K66" s="1502" t="s">
        <v>2073</v>
      </c>
      <c r="L66" s="1502">
        <f ca="1">M49*0.5%</f>
        <v>198.345</v>
      </c>
      <c r="M66" s="308">
        <f ca="1">IF(L66&gt;0.5,0.5,ROUND(L66,0))</f>
        <v>0.5</v>
      </c>
      <c r="N66" s="2766" t="s">
        <v>2074</v>
      </c>
      <c r="Z66" s="1939"/>
      <c r="AI66" s="1940"/>
    </row>
    <row r="67" spans="1:35" ht="14.25" customHeight="1">
      <c r="A67" s="178" t="s">
        <v>773</v>
      </c>
      <c r="B67" s="179" t="s">
        <v>2075</v>
      </c>
      <c r="C67" s="2790">
        <f ca="1">C63-C66</f>
        <v>37780</v>
      </c>
      <c r="D67" s="175" t="s">
        <v>32</v>
      </c>
      <c r="E67" s="177"/>
      <c r="F67" s="1995"/>
      <c r="G67" s="1995"/>
      <c r="H67" s="1997"/>
      <c r="I67" s="134"/>
      <c r="J67" s="3337"/>
      <c r="K67" s="1502" t="s">
        <v>2076</v>
      </c>
      <c r="L67" s="1502">
        <f ca="1">IF(M49&gt;=10000,(8.25+(M49-10000)*0.01%),IF(AND(M49&gt;=8000,M49&lt;10000),(7.85+(M49-8000)*0.02%),IF(AND(M49&gt;=5000,M49&lt;8000),(6.65+(M49-5000)*0.04%),IF(AND(M49&gt;=2000,M49&lt;5000),(4.25+(PM49-2000)*0.08%),IF(AND(M49&gt;=1000,M49&lt;2000),(2.75+(M49-1000)*0.15%),IF(AND(M49&gt;=100,M49&lt;1000),(0.5+(M49-100)*0.25%),IF(AND(M49&gt;0,M49&lt;100),M49*0.5%)))))))</f>
        <v>11.216900000000001</v>
      </c>
      <c r="M67" s="308">
        <f ca="1">ROUND(L67*0.9,1)</f>
        <v>10.1</v>
      </c>
      <c r="N67" s="2765"/>
      <c r="Z67" s="1939"/>
      <c r="AI67" s="1940"/>
    </row>
    <row r="68" spans="1:35" ht="14.25" customHeight="1" thickBot="1">
      <c r="A68" s="181" t="s">
        <v>774</v>
      </c>
      <c r="B68" s="182" t="s">
        <v>2077</v>
      </c>
      <c r="C68" s="2791">
        <f ca="1">IF(C67&lt;=0,0,ROUND(C67*D68,0))</f>
        <v>2116</v>
      </c>
      <c r="D68" s="2792">
        <f>'数据-取费表'!B41</f>
        <v>5.6000000000000001E-2</v>
      </c>
      <c r="E68" s="184"/>
      <c r="F68" s="1995"/>
      <c r="G68" s="1995"/>
      <c r="H68" s="1997"/>
      <c r="I68" s="134"/>
      <c r="J68" s="3337"/>
      <c r="K68" s="1502" t="s">
        <v>2078</v>
      </c>
      <c r="L68" s="1502">
        <f ca="1">IF(M49&gt;10000,M49*0.5%,IF(AND(M49&gt;5000,M49&lt;=10000),M49*1%,IF(AND(M49&gt;1000,M49&lt;=5000),M49*2%,IF(AND(M49&gt;200,M49&lt;=1000),M49*3%,M49*5%))))</f>
        <v>198.345</v>
      </c>
      <c r="M68" s="308">
        <f ca="1">ROUND(L68,1)</f>
        <v>198.3</v>
      </c>
      <c r="N68" s="2765"/>
      <c r="Z68" s="1939"/>
      <c r="AI68" s="1940"/>
    </row>
    <row r="69" spans="1:35" s="1959" customFormat="1" ht="16.5" customHeight="1">
      <c r="A69" s="1998"/>
      <c r="B69" s="1999"/>
      <c r="C69" s="2000"/>
      <c r="D69" s="2001"/>
      <c r="E69" s="2002"/>
      <c r="F69" s="1764"/>
      <c r="G69" s="1764"/>
      <c r="H69" s="1763"/>
      <c r="I69" s="1934"/>
      <c r="J69" s="3337"/>
      <c r="K69" s="1502" t="s">
        <v>2079</v>
      </c>
      <c r="L69" s="1502"/>
      <c r="M69" s="308">
        <f ca="1">ROUND(SUM(M63:M68),0)</f>
        <v>645</v>
      </c>
      <c r="N69" s="2767">
        <f ca="1">M69/M49</f>
        <v>1.6259547757694927E-2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hidden="1" thickBot="1">
      <c r="A70" s="3381" t="s">
        <v>2080</v>
      </c>
      <c r="B70" s="3382"/>
      <c r="C70" s="3382"/>
      <c r="D70" s="3382"/>
      <c r="E70" s="3382"/>
      <c r="F70" s="3382"/>
      <c r="G70" s="3382"/>
      <c r="H70" s="3382"/>
      <c r="I70" s="2003"/>
      <c r="J70" s="2915"/>
      <c r="K70" s="2915"/>
      <c r="L70" s="2915"/>
      <c r="M70" s="2915"/>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hidden="1">
      <c r="A71" s="3373" t="s">
        <v>2061</v>
      </c>
      <c r="B71" s="3374"/>
      <c r="C71" s="2209"/>
      <c r="D71" s="2209" t="s">
        <v>2062</v>
      </c>
      <c r="E71" s="185" t="s">
        <v>2063</v>
      </c>
      <c r="F71" s="186"/>
      <c r="G71" s="186"/>
      <c r="H71" s="187"/>
      <c r="I71" s="2007"/>
      <c r="J71" s="2915"/>
      <c r="K71" s="2915"/>
      <c r="L71" s="2915"/>
      <c r="M71" s="2915"/>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hidden="1">
      <c r="A72" s="178" t="s">
        <v>775</v>
      </c>
      <c r="B72" s="179" t="s">
        <v>2081</v>
      </c>
      <c r="C72" s="2790">
        <f ca="1">ROUND(D45/(1+'数据-取费表'!C42),0)</f>
        <v>37780</v>
      </c>
      <c r="D72" s="175" t="s">
        <v>32</v>
      </c>
      <c r="E72" s="2554"/>
      <c r="F72" s="2553"/>
      <c r="G72" s="2553"/>
      <c r="H72" s="188"/>
      <c r="I72" s="2007"/>
      <c r="J72" s="2915"/>
      <c r="K72" s="2915"/>
      <c r="L72" s="2915"/>
      <c r="M72" s="2915"/>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hidden="1">
      <c r="A73" s="178" t="s">
        <v>772</v>
      </c>
      <c r="B73" s="168" t="s">
        <v>2082</v>
      </c>
      <c r="C73" s="2790">
        <f ca="1">C74+C78</f>
        <v>227</v>
      </c>
      <c r="D73" s="175" t="s">
        <v>32</v>
      </c>
      <c r="E73" s="2554"/>
      <c r="F73" s="2553"/>
      <c r="G73" s="2553"/>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hidden="1">
      <c r="A74" s="174" t="s">
        <v>770</v>
      </c>
      <c r="B74" s="175" t="s">
        <v>2083</v>
      </c>
      <c r="C74" s="175">
        <f>ROUND(IF(G77="2016年5月1日后购买",C75/(1+'数据-取费表'!C42)+C76+C77,C75+C76+C77),0)</f>
        <v>0</v>
      </c>
      <c r="D74" s="175" t="s">
        <v>32</v>
      </c>
      <c r="E74" s="2554"/>
      <c r="F74" s="2553"/>
      <c r="G74" s="2553"/>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hidden="1">
      <c r="A75" s="174" t="s">
        <v>776</v>
      </c>
      <c r="B75" s="175" t="s">
        <v>2084</v>
      </c>
      <c r="C75" s="2793"/>
      <c r="D75" s="175" t="s">
        <v>32</v>
      </c>
      <c r="E75" s="190" t="s">
        <v>2085</v>
      </c>
      <c r="F75" s="2794"/>
      <c r="G75" s="190" t="s">
        <v>2086</v>
      </c>
      <c r="H75" s="2795"/>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hidden="1" customHeight="1">
      <c r="A76" s="174" t="s">
        <v>777</v>
      </c>
      <c r="B76" s="191" t="s">
        <v>2087</v>
      </c>
      <c r="C76" s="175">
        <f>IF(F75="购房发票",ROUND(C75*H75*D76,0),0)</f>
        <v>0</v>
      </c>
      <c r="D76" s="2796">
        <v>0.05</v>
      </c>
      <c r="E76" s="3378" t="s">
        <v>2088</v>
      </c>
      <c r="F76" s="3377"/>
      <c r="G76" s="3377"/>
      <c r="H76" s="3380"/>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hidden="1" customHeight="1">
      <c r="A77" s="174" t="s">
        <v>778</v>
      </c>
      <c r="B77" s="175" t="s">
        <v>2089</v>
      </c>
      <c r="C77" s="175">
        <f>ROUND(IF(G77="个人住宅",0,IF(G77="2016年5月1日前购买",C75*D77,C75*D77/(1+'数据-取费表'!C42))),0)</f>
        <v>0</v>
      </c>
      <c r="D77" s="2797">
        <f>'数据-取费表'!B48+'数据-取费表'!B49</f>
        <v>4.0500000000000001E-2</v>
      </c>
      <c r="E77" s="2547" t="s">
        <v>2090</v>
      </c>
      <c r="F77" s="192"/>
      <c r="G77" s="2009"/>
      <c r="H77" s="2555"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hidden="1" customHeight="1">
      <c r="A78" s="174" t="s">
        <v>771</v>
      </c>
      <c r="B78" s="175" t="s">
        <v>2091</v>
      </c>
      <c r="C78" s="2798">
        <f ca="1">ROUND(D45*D78/(1+'数据-取费表'!C42),0)</f>
        <v>227</v>
      </c>
      <c r="D78" s="2799">
        <f>'数据-取费表'!B43</f>
        <v>6.000000000000001E-3</v>
      </c>
      <c r="E78" s="3370" t="s">
        <v>2092</v>
      </c>
      <c r="F78" s="3371"/>
      <c r="G78" s="3371"/>
      <c r="H78" s="3372"/>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hidden="1">
      <c r="A79" s="178" t="s">
        <v>779</v>
      </c>
      <c r="B79" s="179" t="s">
        <v>2093</v>
      </c>
      <c r="C79" s="2790">
        <f ca="1">C72-C73</f>
        <v>37553</v>
      </c>
      <c r="D79" s="175" t="s">
        <v>32</v>
      </c>
      <c r="E79" s="2554"/>
      <c r="F79" s="2553"/>
      <c r="G79" s="2553"/>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hidden="1">
      <c r="A80" s="178" t="s">
        <v>780</v>
      </c>
      <c r="B80" s="179" t="s">
        <v>2094</v>
      </c>
      <c r="C80" s="2800">
        <f ca="1">IF(C79&lt;=0,0,C79/C73)</f>
        <v>165.43171806167402</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hidden="1" thickBot="1">
      <c r="A81" s="181" t="s">
        <v>781</v>
      </c>
      <c r="B81" s="182" t="s">
        <v>2095</v>
      </c>
      <c r="C81" s="2801">
        <f ca="1">ROUND(IF(C79&lt;=0,0,IF(C80&gt;=200%,C79*60%-C73*35%,IF(C80&gt;=100%,C79*50%-C73*15%,IF(C80&gt;=50%,C79*40%-C73*5%,IF(C80&lt;50%,C79*30%,0))))),0)</f>
        <v>22452</v>
      </c>
      <c r="D81" s="280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381" t="s">
        <v>2096</v>
      </c>
      <c r="B83" s="3382"/>
      <c r="C83" s="3382"/>
      <c r="D83" s="3382"/>
      <c r="E83" s="3382"/>
      <c r="F83" s="3382"/>
      <c r="G83" s="3382"/>
      <c r="H83" s="3382"/>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373" t="s">
        <v>2061</v>
      </c>
      <c r="B84" s="3374"/>
      <c r="C84" s="2209"/>
      <c r="D84" s="2209"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0">
        <f ca="1">ROUND(D45/(1+'数据-取费表'!C42),0)</f>
        <v>37780</v>
      </c>
      <c r="D85" s="175" t="s">
        <v>32</v>
      </c>
      <c r="E85" s="2554"/>
      <c r="F85" s="2553"/>
      <c r="G85" s="2553"/>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0">
        <f ca="1">IF(H88="仅含出让金",C87+C90+C91+C92+C93+C94,C87+C91+C92+C93+C94)</f>
        <v>38589.017380000005</v>
      </c>
      <c r="D86" s="2803"/>
      <c r="E86" s="2554"/>
      <c r="F86" s="2553"/>
      <c r="G86" s="2553"/>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798">
        <f>C88+C89</f>
        <v>1853</v>
      </c>
      <c r="D87" s="2799"/>
      <c r="E87" s="2549"/>
      <c r="F87" s="2550"/>
      <c r="G87" s="2550"/>
      <c r="H87" s="2551"/>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4">
        <f>成本!E4</f>
        <v>1781</v>
      </c>
      <c r="D88" s="2799"/>
      <c r="E88" s="199" t="s">
        <v>2099</v>
      </c>
      <c r="F88" s="2550"/>
      <c r="G88" s="200" t="s">
        <v>2100</v>
      </c>
      <c r="H88" s="2011" t="s">
        <v>3532</v>
      </c>
      <c r="I88" s="2008"/>
      <c r="J88" s="2743" t="s">
        <v>3031</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798">
        <f>ROUND(C88*D89,0)</f>
        <v>72</v>
      </c>
      <c r="D89" s="2799">
        <f>'数据-取费表'!B48+'数据-取费表'!B49</f>
        <v>4.0500000000000001E-2</v>
      </c>
      <c r="E89" s="199" t="s">
        <v>2101</v>
      </c>
      <c r="F89" s="2550"/>
      <c r="G89" s="2550"/>
      <c r="H89" s="2551"/>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4"/>
      <c r="D90" s="2799"/>
      <c r="E90" s="199" t="str">
        <f>IF(H88="-","土地取得成本中已包含该笔费用"," ")</f>
        <v xml:space="preserve"> </v>
      </c>
      <c r="F90" s="2550"/>
      <c r="G90" s="3339" t="s">
        <v>2872</v>
      </c>
      <c r="H90" s="3340"/>
      <c r="I90" s="2008"/>
      <c r="J90" s="2743" t="s">
        <v>3032</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798">
        <f>IF(H91="——",成本法!C33,I91)</f>
        <v>27656.017380000008</v>
      </c>
      <c r="D91" s="2799"/>
      <c r="E91" s="3370" t="s">
        <v>2105</v>
      </c>
      <c r="F91" s="3371"/>
      <c r="G91" s="3371"/>
      <c r="H91" s="2012" t="s">
        <v>3453</v>
      </c>
      <c r="I91" s="3196">
        <f>(成本!F6-成本!E11)</f>
        <v>27656.017380000008</v>
      </c>
      <c r="J91" s="3233">
        <f>I91/'数据-汇总表'!F19*10000</f>
        <v>6165.0027485694318</v>
      </c>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798">
        <f>ROUND((C87+C90+C91)*D92,0)</f>
        <v>2951</v>
      </c>
      <c r="D92" s="2805">
        <v>0.1</v>
      </c>
      <c r="E92" s="3370" t="s">
        <v>2108</v>
      </c>
      <c r="F92" s="3371"/>
      <c r="G92" s="3371"/>
      <c r="H92" s="3372"/>
      <c r="I92" s="2008"/>
      <c r="J92" s="2744" t="s">
        <v>3033</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798">
        <f ca="1">ROUND(D45*D93/(1+'数据-取费表'!C42),0)</f>
        <v>227</v>
      </c>
      <c r="D93" s="2799">
        <f>'数据-取费表'!B43</f>
        <v>6.000000000000001E-3</v>
      </c>
      <c r="E93" s="3370" t="s">
        <v>2092</v>
      </c>
      <c r="F93" s="3371"/>
      <c r="G93" s="3371"/>
      <c r="H93" s="3372"/>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4">
        <f>ROUND((C87+C90+C91)*D94,0)</f>
        <v>5902</v>
      </c>
      <c r="D94" s="2799">
        <v>0.2</v>
      </c>
      <c r="E94" s="3422" t="s">
        <v>2112</v>
      </c>
      <c r="F94" s="3423"/>
      <c r="G94" s="3423"/>
      <c r="H94" s="3424"/>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0">
        <f ca="1">ROUND(C85-C86,0)</f>
        <v>-809</v>
      </c>
      <c r="D95" s="175" t="s">
        <v>32</v>
      </c>
      <c r="E95" s="2554"/>
      <c r="F95" s="2553"/>
      <c r="G95" s="2553"/>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0">
        <f ca="1">IF(C95&lt;=0,0,C95/C86)</f>
        <v>0</v>
      </c>
      <c r="D96" s="175" t="s">
        <v>32</v>
      </c>
      <c r="E96" s="2547" t="str">
        <f ca="1">IF(C96&gt;=200%,"增值额超过扣除项目金额200%",IF(C96&gt;=100%,"增值额超过扣除项目金额100%，未超过200%",IF(C96&gt;=50%,"增值额超过扣除项目金额50%，未超过100%",IF(C96&lt;50%,"增值额未超过扣除项目金额50%"))))</f>
        <v>增值额未超过扣除项目金额50%</v>
      </c>
      <c r="F96" s="2553"/>
      <c r="G96" s="2553"/>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1">
        <f ca="1">ROUND(IF(C95&lt;=0,0,IF(C96&gt;=200%,C95*60%-C86*35%,IF(C96&gt;=100%,C95*50%-C86*15%,IF(C96&gt;=50%,C95*40%-C86*5%,IF(C96&lt;50%,C95*30%,0))))),0)</f>
        <v>0</v>
      </c>
      <c r="D97" s="280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320" t="s">
        <v>2114</v>
      </c>
      <c r="B100" s="3321"/>
      <c r="C100" s="3321"/>
      <c r="D100" s="3355"/>
      <c r="E100" s="3321" t="s">
        <v>2115</v>
      </c>
      <c r="F100" s="3321"/>
      <c r="G100" s="3321"/>
      <c r="H100" s="3355"/>
      <c r="I100" s="134"/>
    </row>
    <row r="101" spans="1:35" ht="18.75" customHeight="1">
      <c r="A101" s="3363" t="s">
        <v>2116</v>
      </c>
      <c r="B101" s="3364"/>
      <c r="C101" s="2807" t="str">
        <f>C4</f>
        <v>成本法</v>
      </c>
      <c r="D101" s="2808" t="str">
        <f>D4</f>
        <v>收益法</v>
      </c>
      <c r="E101" s="3333" t="s">
        <v>2117</v>
      </c>
      <c r="F101" s="3334"/>
      <c r="G101" s="2013" t="s">
        <v>2118</v>
      </c>
      <c r="H101" s="2817">
        <f ca="1">H118</f>
        <v>39669</v>
      </c>
      <c r="I101" s="134"/>
    </row>
    <row r="102" spans="1:35" ht="18.75" customHeight="1">
      <c r="A102" s="3365" t="s">
        <v>2119</v>
      </c>
      <c r="B102" s="2806" t="s">
        <v>2118</v>
      </c>
      <c r="C102" s="2807">
        <f ca="1">C19</f>
        <v>44234</v>
      </c>
      <c r="D102" s="2808">
        <f ca="1">D19</f>
        <v>32821</v>
      </c>
      <c r="E102" s="3333"/>
      <c r="F102" s="3334"/>
      <c r="G102" s="2013" t="s">
        <v>2120</v>
      </c>
      <c r="H102" s="2777">
        <f ca="1">I118</f>
        <v>8843</v>
      </c>
      <c r="I102" s="134"/>
    </row>
    <row r="103" spans="1:35" ht="42.75" customHeight="1">
      <c r="A103" s="3365"/>
      <c r="B103" s="2806" t="s">
        <v>2120</v>
      </c>
      <c r="C103" s="2809">
        <f ca="1">C20</f>
        <v>9861</v>
      </c>
      <c r="D103" s="2810">
        <f ca="1">D20</f>
        <v>7316</v>
      </c>
      <c r="E103" s="3326" t="s">
        <v>2121</v>
      </c>
      <c r="F103" s="3327"/>
      <c r="G103" s="2014" t="s">
        <v>2122</v>
      </c>
      <c r="H103" s="2817">
        <f>IF(D36="正常操作",H104+H105+H106,H105+H106)</f>
        <v>0</v>
      </c>
      <c r="I103" s="134"/>
    </row>
    <row r="104" spans="1:35" ht="18.75" customHeight="1">
      <c r="A104" s="3365" t="s">
        <v>2123</v>
      </c>
      <c r="B104" s="2811" t="s">
        <v>2118</v>
      </c>
      <c r="C104" s="2812">
        <f ca="1">H118</f>
        <v>39669</v>
      </c>
      <c r="D104" s="2813"/>
      <c r="E104" s="1861" t="s">
        <v>2124</v>
      </c>
      <c r="F104" s="1852"/>
      <c r="G104" s="2014" t="s">
        <v>2122</v>
      </c>
      <c r="H104" s="2818">
        <f>IF(D36="同一抵押权人同一抵押物续贷",C36&amp;"（续贷，未扣减，详见特别提示）",C36)</f>
        <v>0</v>
      </c>
      <c r="I104" s="134"/>
    </row>
    <row r="105" spans="1:35" ht="18.75" customHeight="1" thickBot="1">
      <c r="A105" s="3375"/>
      <c r="B105" s="2814" t="s">
        <v>2120</v>
      </c>
      <c r="C105" s="2815">
        <f ca="1">I118</f>
        <v>8843</v>
      </c>
      <c r="D105" s="2816"/>
      <c r="E105" s="1861" t="s">
        <v>2125</v>
      </c>
      <c r="F105" s="1852"/>
      <c r="G105" s="2014" t="s">
        <v>2122</v>
      </c>
      <c r="H105" s="2819">
        <f>C37</f>
        <v>0</v>
      </c>
      <c r="I105" s="134"/>
    </row>
    <row r="106" spans="1:35" ht="18.75" customHeight="1">
      <c r="A106" s="1934" t="s">
        <v>2126</v>
      </c>
      <c r="B106" s="1934"/>
      <c r="C106" s="1934"/>
      <c r="D106" s="1934"/>
      <c r="E106" s="2015" t="s">
        <v>2127</v>
      </c>
      <c r="F106" s="1852"/>
      <c r="G106" s="2014" t="s">
        <v>2122</v>
      </c>
      <c r="H106" s="2819">
        <f>C38</f>
        <v>0</v>
      </c>
      <c r="I106" s="134"/>
    </row>
    <row r="107" spans="1:35" ht="18.75" customHeight="1">
      <c r="A107" s="134"/>
      <c r="B107" s="134"/>
      <c r="C107" s="134"/>
      <c r="D107" s="134"/>
      <c r="E107" s="3366" t="str">
        <f>IF(项目基本情况!E8="已注销","——","3.房地产抵押价值")</f>
        <v>3.房地产抵押价值</v>
      </c>
      <c r="F107" s="3334"/>
      <c r="G107" s="2013" t="s">
        <v>2118</v>
      </c>
      <c r="H107" s="2817">
        <f ca="1">IF(E107="——","——",H101-H103)</f>
        <v>39669</v>
      </c>
      <c r="I107" s="134"/>
    </row>
    <row r="108" spans="1:35" ht="18.75" customHeight="1">
      <c r="A108" s="134"/>
      <c r="B108" s="134"/>
      <c r="C108" s="134"/>
      <c r="D108" s="134"/>
      <c r="E108" s="3366"/>
      <c r="F108" s="3334"/>
      <c r="G108" s="2013" t="s">
        <v>2120</v>
      </c>
      <c r="H108" s="2777">
        <f ca="1">ROUND(H107*10000/'数据-汇总表'!E3,0)</f>
        <v>8843</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34"/>
      <c r="G109" s="2013" t="s">
        <v>2118</v>
      </c>
      <c r="H109" s="2820" t="str">
        <f>IF(E109="——","——",H101-H105-H106)</f>
        <v>——</v>
      </c>
      <c r="I109" s="134"/>
    </row>
    <row r="110" spans="1:35" ht="18.75" customHeight="1">
      <c r="A110" s="134"/>
      <c r="B110" s="134"/>
      <c r="C110" s="134"/>
      <c r="D110" s="134"/>
      <c r="E110" s="3366"/>
      <c r="F110" s="3334"/>
      <c r="G110" s="2013" t="s">
        <v>2120</v>
      </c>
      <c r="H110" s="2777" t="str">
        <f>IF(H109="——","——",ROUND(H109*10000/'数据-汇总表'!E3,0))</f>
        <v>——</v>
      </c>
      <c r="I110" s="134"/>
    </row>
    <row r="111" spans="1:35" ht="18.75" customHeight="1">
      <c r="A111" s="134"/>
      <c r="B111" s="134"/>
      <c r="C111" s="134"/>
      <c r="D111" s="134"/>
      <c r="E111" s="3367" t="str">
        <f>IF(项目基本情况!E9="抵押净值",IF(OR(项目基本情况!E8="已注销",项目基本情况!E8="房地产抵押价值"),"4.抵押净值","5.抵押净值"),"——")</f>
        <v>4.抵押净值</v>
      </c>
      <c r="F111" s="3353"/>
      <c r="G111" s="2013" t="s">
        <v>2118</v>
      </c>
      <c r="H111" s="2817">
        <f ca="1">IF(E111="——","——",N59)</f>
        <v>37533</v>
      </c>
      <c r="I111" s="134"/>
    </row>
    <row r="112" spans="1:35" ht="18.75" customHeight="1" thickBot="1">
      <c r="A112" s="134"/>
      <c r="B112" s="134"/>
      <c r="C112" s="134"/>
      <c r="D112" s="134"/>
      <c r="E112" s="3368"/>
      <c r="F112" s="3369"/>
      <c r="G112" s="2016" t="s">
        <v>2120</v>
      </c>
      <c r="H112" s="2821">
        <f ca="1">IF(E111="——","——",N61)</f>
        <v>8367</v>
      </c>
      <c r="I112" s="134"/>
    </row>
    <row r="113" spans="1:27" ht="18.75" customHeight="1">
      <c r="A113" s="134"/>
      <c r="B113" s="134"/>
      <c r="C113" s="134"/>
      <c r="D113" s="134"/>
      <c r="E113" s="3376" t="s">
        <v>2126</v>
      </c>
      <c r="F113" s="3376"/>
      <c r="G113" s="3376"/>
      <c r="H113" s="3376"/>
      <c r="I113" s="134"/>
    </row>
    <row r="114" spans="1:27" ht="3.75" customHeight="1">
      <c r="A114" s="1934"/>
      <c r="B114" s="1934"/>
      <c r="C114" s="1934"/>
      <c r="D114" s="1934"/>
      <c r="E114" s="1996"/>
      <c r="F114" s="1996"/>
      <c r="G114" s="1996"/>
      <c r="H114" s="1996"/>
      <c r="I114" s="1934"/>
    </row>
    <row r="115" spans="1:27" ht="18.75" customHeight="1">
      <c r="A115" s="3387" t="s">
        <v>2128</v>
      </c>
      <c r="B115" s="3388"/>
      <c r="C115" s="3388"/>
      <c r="D115" s="3388"/>
      <c r="E115" s="3388"/>
      <c r="F115" s="3388"/>
      <c r="G115" s="3388"/>
      <c r="H115" s="3388"/>
      <c r="I115" s="3389"/>
    </row>
    <row r="116" spans="1:27" ht="27" customHeight="1">
      <c r="A116" s="3341" t="s">
        <v>2129</v>
      </c>
      <c r="B116" s="3345" t="s">
        <v>2130</v>
      </c>
      <c r="C116" s="3345" t="s">
        <v>2131</v>
      </c>
      <c r="D116" s="3351" t="s">
        <v>2132</v>
      </c>
      <c r="E116" s="3352"/>
      <c r="F116" s="3383" t="s">
        <v>2133</v>
      </c>
      <c r="G116" s="3383"/>
      <c r="H116" s="3341" t="s">
        <v>2134</v>
      </c>
      <c r="I116" s="3341"/>
    </row>
    <row r="117" spans="1:27" ht="18.75" customHeight="1">
      <c r="A117" s="3341"/>
      <c r="B117" s="3346"/>
      <c r="C117" s="3346"/>
      <c r="D117" s="2552" t="s">
        <v>2135</v>
      </c>
      <c r="E117" s="2552" t="s">
        <v>2136</v>
      </c>
      <c r="F117" s="2552" t="s">
        <v>2135</v>
      </c>
      <c r="G117" s="2552" t="s">
        <v>2137</v>
      </c>
      <c r="H117" s="2552" t="s">
        <v>2135</v>
      </c>
      <c r="I117" s="2552" t="s">
        <v>2137</v>
      </c>
    </row>
    <row r="118" spans="1:27" ht="24.75" customHeight="1">
      <c r="A118" s="2822" t="str">
        <f>项目基本情况!S2</f>
        <v>江苏省无锡市江阴市东外环路410号酒店用房房地产</v>
      </c>
      <c r="B118" s="2552">
        <f>M18</f>
        <v>44859.7</v>
      </c>
      <c r="C118" s="2552">
        <f>M19</f>
        <v>5974.5</v>
      </c>
      <c r="D118" s="2552">
        <f ca="1">ROUND(IF(D32="总价",C34,E118*B118/10000),0)</f>
        <v>-23722</v>
      </c>
      <c r="E118" s="2552">
        <f ca="1">ROUND(IF(C33="自定义",IF(D32="楼面单价",C34,D118*10000/B118),I118-G118),0)</f>
        <v>-5288</v>
      </c>
      <c r="F118" s="2552">
        <f ca="1">ROUND(IF(D32="总价",C35,G118*B118/10000),0)</f>
        <v>63391</v>
      </c>
      <c r="G118" s="2552">
        <f ca="1">ROUND(IF(D32="楼面单价",C35,F118*10000/B118),0)</f>
        <v>14131</v>
      </c>
      <c r="H118" s="2552">
        <f ca="1">ROUND(IF(D32="总价",C32,I118*B118/10000),0)</f>
        <v>39669</v>
      </c>
      <c r="I118" s="2552">
        <f ca="1">ROUND(IF(D32="楼面单价",C32,H118*10000/B118),0)</f>
        <v>8843</v>
      </c>
    </row>
    <row r="119" spans="1:27" ht="18.75" customHeight="1">
      <c r="A119" s="3341" t="s">
        <v>2138</v>
      </c>
      <c r="B119" s="3341"/>
      <c r="C119" s="3341"/>
      <c r="D119" s="3347" t="e">
        <f ca="1">NUMBERSTRING(INT(D118*10000),2)&amp;"元整"</f>
        <v>#NUM!</v>
      </c>
      <c r="E119" s="3348"/>
      <c r="F119" s="3347" t="str">
        <f ca="1">NUMBERSTRING(INT(F118*10000),2)&amp;"元整"</f>
        <v>陆亿叁仟叁佰玖拾壹万元整</v>
      </c>
      <c r="G119" s="3348"/>
      <c r="H119" s="3347" t="str">
        <f ca="1">NUMBERSTRING(INT(H118*10000),2)&amp;"元整"</f>
        <v>叁亿玖仟陆佰陆拾玖万元整</v>
      </c>
      <c r="I119" s="3348"/>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384" t="s">
        <v>2138</v>
      </c>
      <c r="B121" s="3385"/>
      <c r="C121" s="3386"/>
      <c r="D121" s="3347" t="str">
        <f>IF(D120=0,"零元整",NUMBERSTRING(INT(D120*10000),2)&amp;"元整")</f>
        <v>零元整</v>
      </c>
      <c r="E121" s="3349"/>
      <c r="F121" s="3349"/>
      <c r="G121" s="3349"/>
      <c r="H121" s="3349"/>
      <c r="I121" s="3348"/>
      <c r="AA121" s="734"/>
    </row>
    <row r="122" spans="1:27" ht="18.75" customHeight="1">
      <c r="A122" s="3353" t="str">
        <f>IF(项目基本情况!B9="房地产市场价值","",MID(E107,3,LEN(E107)-2))</f>
        <v>房地产抵押价值</v>
      </c>
      <c r="B122" s="3353"/>
      <c r="C122" s="3353"/>
      <c r="D122" s="3342">
        <f ca="1">H107</f>
        <v>39669</v>
      </c>
      <c r="E122" s="3343"/>
      <c r="F122" s="3343"/>
      <c r="G122" s="3343"/>
      <c r="H122" s="3343"/>
      <c r="I122" s="3344"/>
      <c r="AA122" s="734"/>
    </row>
    <row r="123" spans="1:27" ht="18.75" customHeight="1">
      <c r="A123" s="3341" t="s">
        <v>2138</v>
      </c>
      <c r="B123" s="3341"/>
      <c r="C123" s="3341"/>
      <c r="D123" s="3347" t="str">
        <f ca="1">NUMBERSTRING(INT(D122*10000),2)&amp;"元整"</f>
        <v>叁亿玖仟陆佰陆拾玖万元整</v>
      </c>
      <c r="E123" s="3349"/>
      <c r="F123" s="3349"/>
      <c r="G123" s="3349"/>
      <c r="H123" s="3349"/>
      <c r="I123" s="3348"/>
      <c r="AA123" s="734"/>
    </row>
    <row r="124" spans="1:27" ht="18.75" customHeight="1">
      <c r="A124" s="3353" t="str">
        <f>IF(项目基本情况!B9="房地产市场价值","",MID(E109,3,LEN(E109)-2))</f>
        <v/>
      </c>
      <c r="B124" s="3353"/>
      <c r="C124" s="3353"/>
      <c r="D124" s="3342" t="str">
        <f>H109</f>
        <v>——</v>
      </c>
      <c r="E124" s="3343"/>
      <c r="F124" s="3343"/>
      <c r="G124" s="3343"/>
      <c r="H124" s="3343"/>
      <c r="I124" s="3344"/>
      <c r="AA124" s="734"/>
    </row>
    <row r="125" spans="1:27" ht="18.75" customHeight="1">
      <c r="A125" s="3341" t="s">
        <v>2138</v>
      </c>
      <c r="B125" s="3341"/>
      <c r="C125" s="3341"/>
      <c r="D125" s="3347" t="e">
        <f>NUMBERSTRING(INT(D124*10000),2)&amp;"元整"</f>
        <v>#VALUE!</v>
      </c>
      <c r="E125" s="3349"/>
      <c r="F125" s="3349"/>
      <c r="G125" s="3349"/>
      <c r="H125" s="3349"/>
      <c r="I125" s="3348"/>
      <c r="AA125" s="734"/>
    </row>
    <row r="126" spans="1:27" ht="18.75" customHeight="1">
      <c r="A126" s="3353" t="str">
        <f>IF(项目基本情况!B9="房地产市场价值","",MID(E111,3,LEN(E111)-2))</f>
        <v>抵押净值</v>
      </c>
      <c r="B126" s="3353"/>
      <c r="C126" s="3353"/>
      <c r="D126" s="3342">
        <f ca="1">H111</f>
        <v>37533</v>
      </c>
      <c r="E126" s="3343"/>
      <c r="F126" s="3343"/>
      <c r="G126" s="3343"/>
      <c r="H126" s="3343"/>
      <c r="I126" s="3344"/>
      <c r="AA126" s="734"/>
    </row>
    <row r="127" spans="1:27" ht="18.75" customHeight="1">
      <c r="A127" s="3341" t="s">
        <v>2138</v>
      </c>
      <c r="B127" s="3341"/>
      <c r="C127" s="3341"/>
      <c r="D127" s="3347" t="str">
        <f ca="1">NUMBERSTRING(INT(D126*10000),2)&amp;"元整"</f>
        <v>叁亿柒仟伍佰叁拾叁万元整</v>
      </c>
      <c r="E127" s="3349"/>
      <c r="F127" s="3349"/>
      <c r="G127" s="3349"/>
      <c r="H127" s="3349"/>
      <c r="I127" s="3348"/>
      <c r="AA127" s="734"/>
    </row>
    <row r="128" spans="1:27" ht="21.75" customHeight="1">
      <c r="A128" s="3350" t="s">
        <v>2139</v>
      </c>
      <c r="B128" s="3350"/>
      <c r="C128" s="3350"/>
      <c r="D128" s="3350"/>
      <c r="E128" s="3350"/>
      <c r="F128" s="3350"/>
      <c r="G128" s="3350"/>
      <c r="H128" s="3350"/>
      <c r="I128" s="3350"/>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8"/>
      <c r="G142" s="734"/>
      <c r="H142" s="734"/>
      <c r="I142" s="734"/>
    </row>
    <row r="143" spans="1:35" s="135" customFormat="1" ht="21.75" customHeight="1">
      <c r="A143" s="734"/>
      <c r="B143" s="2036"/>
      <c r="C143" s="2037"/>
      <c r="D143" s="2038"/>
      <c r="E143" s="2038"/>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L61" sqref="L6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8">
        <f>MATCH(B1,'数据-取费表'!A6:A16,0)+5</f>
        <v>7</v>
      </c>
    </row>
    <row r="2" spans="1:9" s="206" customFormat="1" ht="18" customHeight="1">
      <c r="A2" s="207" t="s">
        <v>2148</v>
      </c>
      <c r="B2" s="208">
        <f ca="1">IF(D2="——",C52,C52-E2)</f>
        <v>44234</v>
      </c>
      <c r="C2" s="205" t="s">
        <v>2149</v>
      </c>
      <c r="D2" s="2039" t="s">
        <v>70</v>
      </c>
      <c r="E2" s="1331">
        <f ca="1">SUMIF(INDIRECT("'"&amp;G2&amp;"'"&amp;"!A:A"),"承租人权益价值",INDIRECT("'"&amp;G2&amp;"'"&amp;"!c:c"))</f>
        <v>0</v>
      </c>
      <c r="F2" s="2040" t="s">
        <v>2149</v>
      </c>
      <c r="G2" s="2041" t="s">
        <v>3272</v>
      </c>
    </row>
    <row r="3" spans="1:9" s="206" customFormat="1" ht="18" customHeight="1" thickBot="1">
      <c r="A3" s="209" t="s">
        <v>2150</v>
      </c>
      <c r="B3" s="210">
        <f ca="1">ROUND(B2*10000/(IF(B1="",'数据-汇总表'!E3,INDIRECT("'数据-取费表'!k"&amp;$G$1))),0)</f>
        <v>9861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8346</v>
      </c>
      <c r="D5" s="217" t="s">
        <v>2155</v>
      </c>
      <c r="E5" s="218" t="s">
        <v>2156</v>
      </c>
      <c r="F5" s="218" t="s">
        <v>2157</v>
      </c>
      <c r="G5" s="219"/>
    </row>
    <row r="6" spans="1:9" s="220" customFormat="1" ht="13.5" customHeight="1">
      <c r="A6" s="886" t="s">
        <v>2158</v>
      </c>
      <c r="B6" s="221" t="s">
        <v>2159</v>
      </c>
      <c r="C6" s="222">
        <f>'土地比较法-住宅、综合'!B2</f>
        <v>7568</v>
      </c>
      <c r="D6" s="223"/>
      <c r="E6" s="224"/>
      <c r="F6" s="224"/>
      <c r="G6" s="225"/>
    </row>
    <row r="7" spans="1:9" s="220" customFormat="1" ht="13.5" customHeight="1">
      <c r="A7" s="886" t="s">
        <v>2160</v>
      </c>
      <c r="B7" s="221" t="s">
        <v>2161</v>
      </c>
      <c r="C7" s="226">
        <f>ROUND(C6*F7,0)</f>
        <v>307</v>
      </c>
      <c r="D7" s="226"/>
      <c r="E7" s="224"/>
      <c r="F7" s="227">
        <f>IF(项目基本情况!B8="出让",0,'数据-取费表'!B48+'数据-取费表'!B49)</f>
        <v>4.0500000000000001E-2</v>
      </c>
      <c r="G7" s="225"/>
    </row>
    <row r="8" spans="1:9" s="229" customFormat="1">
      <c r="A8" s="886" t="s">
        <v>2162</v>
      </c>
      <c r="B8" s="221" t="s">
        <v>2163</v>
      </c>
      <c r="C8" s="226">
        <f ca="1">IF(G8="已包含在土地购买价格中","0",IF(B1="",'数据-取费表'!B29,IF(G9="全部缴纳",C9+C10,H9)))</f>
        <v>471</v>
      </c>
      <c r="D8" s="228"/>
      <c r="E8" s="226"/>
      <c r="F8" s="227"/>
      <c r="G8" s="2042" t="s">
        <v>3273</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105</v>
      </c>
      <c r="F9" s="227"/>
      <c r="G9" s="2043" t="s">
        <v>3274</v>
      </c>
      <c r="H9" s="1299"/>
      <c r="I9" s="2044" t="s">
        <v>2165</v>
      </c>
    </row>
    <row r="10" spans="1:9" s="220" customFormat="1" ht="13.5" customHeight="1">
      <c r="A10" s="887" t="s">
        <v>801</v>
      </c>
      <c r="B10" s="230" t="s">
        <v>2166</v>
      </c>
      <c r="C10" s="231">
        <f ca="1">ROUND(D10*E10/10000,0)</f>
        <v>471</v>
      </c>
      <c r="D10" s="954">
        <f ca="1">IF(B1="",'数据-汇总表'!E6,IF(INDIRECT("'数据-取费表'!c"&amp;$G$1)="住宅",INDIRECT("'数据-取费表'!s"&amp;$G$1),INDIRECT("'数据-取费表'!k"&amp;$G$1)+INDIRECT("'数据-取费表'!s"&amp;$G$1)))</f>
        <v>44859.7</v>
      </c>
      <c r="E10" s="231">
        <f>'数据-取费表'!B28</f>
        <v>105</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44859.7</v>
      </c>
      <c r="E19" s="217">
        <f>'数据-取费表'!B31</f>
        <v>200</v>
      </c>
      <c r="F19" s="237"/>
      <c r="G19" s="2042" t="s">
        <v>3275</v>
      </c>
    </row>
    <row r="20" spans="1:7" s="220" customFormat="1" ht="13.5" customHeight="1">
      <c r="A20" s="261" t="s">
        <v>2179</v>
      </c>
      <c r="B20" s="216" t="s">
        <v>2180</v>
      </c>
      <c r="C20" s="238">
        <f ca="1">ROUND((C5+C19)*F20,0)</f>
        <v>250</v>
      </c>
      <c r="D20" s="238"/>
      <c r="E20" s="238"/>
      <c r="F20" s="239">
        <f>'数据-取费表'!B37</f>
        <v>0.03</v>
      </c>
      <c r="G20" s="240" t="s">
        <v>2181</v>
      </c>
    </row>
    <row r="21" spans="1:7" s="220" customFormat="1" ht="13.5" customHeight="1">
      <c r="A21" s="261" t="s">
        <v>2182</v>
      </c>
      <c r="B21" s="216" t="s">
        <v>2183</v>
      </c>
      <c r="C21" s="241">
        <f>F21</f>
        <v>0.03</v>
      </c>
      <c r="D21" s="242" t="s">
        <v>2184</v>
      </c>
      <c r="E21" s="238"/>
      <c r="F21" s="239">
        <f>'数据-取费表'!B38</f>
        <v>0.03</v>
      </c>
      <c r="G21" s="240" t="s">
        <v>2185</v>
      </c>
    </row>
    <row r="22" spans="1:7" s="220" customFormat="1" ht="13.5" customHeight="1">
      <c r="A22" s="261" t="s">
        <v>2186</v>
      </c>
      <c r="B22" s="216" t="s">
        <v>2187</v>
      </c>
      <c r="C22" s="1264">
        <f ca="1">ROUND(SUM(C23:C25),0)</f>
        <v>1153</v>
      </c>
      <c r="D22" s="241">
        <f ca="1">C26</f>
        <v>2E-3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1137</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16</v>
      </c>
      <c r="D25" s="244"/>
      <c r="E25" s="247"/>
      <c r="F25" s="245"/>
      <c r="G25" s="248" t="s">
        <v>2196</v>
      </c>
    </row>
    <row r="26" spans="1:7" s="220" customFormat="1">
      <c r="A26" s="888" t="s">
        <v>795</v>
      </c>
      <c r="B26" s="221" t="s">
        <v>2197</v>
      </c>
      <c r="C26" s="244">
        <f ca="1">ROUND(IF('数据-取费表'!B22&lt;=1,F21*F22*'数据-取费表'!B23/2,F21*(POWER((1+F22),'数据-取费表'!B23/2)-1)),4)</f>
        <v>2E-3</v>
      </c>
      <c r="D26" s="244"/>
      <c r="E26" s="247"/>
      <c r="F26" s="245"/>
      <c r="G26" s="249"/>
    </row>
    <row r="27" spans="1:7" s="220" customFormat="1" ht="24.75">
      <c r="A27" s="261" t="s">
        <v>2198</v>
      </c>
      <c r="B27" s="250" t="s">
        <v>2199</v>
      </c>
      <c r="C27" s="251">
        <f ca="1">C28</f>
        <v>2149</v>
      </c>
      <c r="D27" s="241">
        <f ca="1">C29</f>
        <v>7.4999999999999997E-3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2149</v>
      </c>
      <c r="D28" s="241"/>
      <c r="E28" s="242"/>
      <c r="F28" s="252"/>
      <c r="G28" s="253"/>
    </row>
    <row r="29" spans="1:7" s="220" customFormat="1" ht="13.5" customHeight="1">
      <c r="A29" s="888" t="s">
        <v>792</v>
      </c>
      <c r="B29" s="254" t="s">
        <v>2203</v>
      </c>
      <c r="C29" s="244">
        <f ca="1">ROUND(C21*F27*'数据-取费表'!B21/'数据-取费表'!B20,4)</f>
        <v>7.4999999999999997E-3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13115</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22396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20187</v>
      </c>
      <c r="D34" s="223"/>
      <c r="E34" s="226"/>
      <c r="F34" s="263">
        <f ca="1">IF('数据-取费表'!B24=0,1,IF(B1="",'数据-取费表'!N16,INDIRECT("'数据-取费表'!n"&amp;$G$1)))</f>
        <v>1</v>
      </c>
      <c r="G34" s="225" t="s">
        <v>2212</v>
      </c>
    </row>
    <row r="35" spans="1:7" ht="13.5" customHeight="1">
      <c r="A35" s="888" t="s">
        <v>796</v>
      </c>
      <c r="B35" s="221" t="s">
        <v>2213</v>
      </c>
      <c r="C35" s="226">
        <f ca="1">ROUND(C34*F35,0)</f>
        <v>1009</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897</v>
      </c>
      <c r="D37" s="223">
        <f ca="1">D19</f>
        <v>44859.7</v>
      </c>
      <c r="E37" s="255">
        <f>'数据-取费表'!B35</f>
        <v>200</v>
      </c>
      <c r="F37" s="265"/>
      <c r="G37" s="267" t="s">
        <v>2218</v>
      </c>
    </row>
    <row r="38" spans="1:7" ht="13.5" customHeight="1">
      <c r="A38" s="888" t="s">
        <v>799</v>
      </c>
      <c r="B38" s="221" t="s">
        <v>2219</v>
      </c>
      <c r="C38" s="226">
        <f ca="1">ROUND(C34*F38,0)</f>
        <v>303</v>
      </c>
      <c r="D38" s="226"/>
      <c r="E38" s="226"/>
      <c r="F38" s="265">
        <f>'数据-取费表'!B36</f>
        <v>1.4999999999999999E-2</v>
      </c>
      <c r="G38" s="225" t="s">
        <v>2214</v>
      </c>
    </row>
    <row r="39" spans="1:7" s="220" customFormat="1" ht="13.5" customHeight="1">
      <c r="A39" s="261" t="s">
        <v>2220</v>
      </c>
      <c r="B39" s="216" t="s">
        <v>2221</v>
      </c>
      <c r="C39" s="238">
        <f ca="1">ROUND(C33*F20,0)</f>
        <v>672</v>
      </c>
      <c r="D39" s="238"/>
      <c r="E39" s="238"/>
      <c r="F39" s="2535">
        <f>F20</f>
        <v>0.03</v>
      </c>
      <c r="G39" s="240" t="s">
        <v>2222</v>
      </c>
    </row>
    <row r="40" spans="1:7" s="220" customFormat="1" ht="13.5" customHeight="1">
      <c r="A40" s="261" t="s">
        <v>2223</v>
      </c>
      <c r="B40" s="216" t="s">
        <v>2224</v>
      </c>
      <c r="C40" s="1496">
        <f>F21</f>
        <v>0.03</v>
      </c>
      <c r="D40" s="242" t="s">
        <v>2225</v>
      </c>
      <c r="E40" s="238"/>
      <c r="F40" s="2535">
        <f>F21</f>
        <v>0.03</v>
      </c>
      <c r="G40" s="240" t="s">
        <v>2226</v>
      </c>
    </row>
    <row r="41" spans="1:7" s="220" customFormat="1" ht="13.5" customHeight="1">
      <c r="A41" s="261" t="s">
        <v>2227</v>
      </c>
      <c r="B41" s="216" t="s">
        <v>2228</v>
      </c>
      <c r="C41" s="238">
        <f ca="1">ROUND(SUM(C42:C43),0)</f>
        <v>1521</v>
      </c>
      <c r="D41" s="241">
        <f ca="1">C44</f>
        <v>2E-3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1477</v>
      </c>
      <c r="D42" s="244"/>
      <c r="E42" s="244"/>
      <c r="F42" s="245"/>
      <c r="G42" s="3427" t="s">
        <v>2230</v>
      </c>
    </row>
    <row r="43" spans="1:7" ht="13.5" customHeight="1">
      <c r="A43" s="888" t="s">
        <v>792</v>
      </c>
      <c r="B43" s="221" t="s">
        <v>2231</v>
      </c>
      <c r="C43" s="244">
        <f ca="1">ROUND(IF('数据-取费表'!B22&lt;=1,C39*F22*'数据-取费表'!B21/2,C39*(POWER((1+F22),'数据-取费表'!B21/2)-1)),0)</f>
        <v>44</v>
      </c>
      <c r="D43" s="244"/>
      <c r="E43" s="244"/>
      <c r="F43" s="245"/>
      <c r="G43" s="3428"/>
    </row>
    <row r="44" spans="1:7" ht="13.5" customHeight="1">
      <c r="A44" s="888" t="s">
        <v>793</v>
      </c>
      <c r="B44" s="221" t="s">
        <v>2232</v>
      </c>
      <c r="C44" s="244">
        <f ca="1">ROUND(IF('数据-取费表'!B22&lt;=1,C40*F22*'数据-取费表'!B21/2,C40*(POWER((1+F22),'数据-取费表'!B21/2)-1)),4)</f>
        <v>2E-3</v>
      </c>
      <c r="D44" s="244"/>
      <c r="E44" s="244"/>
      <c r="F44" s="245"/>
      <c r="G44" s="3429"/>
    </row>
    <row r="45" spans="1:7" s="220" customFormat="1" ht="13.5" customHeight="1">
      <c r="A45" s="261" t="s">
        <v>2233</v>
      </c>
      <c r="B45" s="250" t="s">
        <v>2199</v>
      </c>
      <c r="C45" s="251">
        <f ca="1">C46</f>
        <v>5767</v>
      </c>
      <c r="D45" s="241">
        <f ca="1">C47</f>
        <v>7.4999999999999997E-3</v>
      </c>
      <c r="E45" s="242" t="s">
        <v>2225</v>
      </c>
      <c r="F45" s="2537">
        <f ca="1">F27</f>
        <v>0.25</v>
      </c>
      <c r="G45" s="253" t="s">
        <v>2234</v>
      </c>
    </row>
    <row r="46" spans="1:7" s="220" customFormat="1" ht="13.5" customHeight="1">
      <c r="A46" s="888" t="s">
        <v>791</v>
      </c>
      <c r="B46" s="254" t="s">
        <v>2235</v>
      </c>
      <c r="C46" s="255">
        <f ca="1">ROUND((C33+C39)*F27,0)</f>
        <v>5767</v>
      </c>
      <c r="D46" s="269"/>
      <c r="E46" s="242"/>
      <c r="F46" s="252"/>
      <c r="G46" s="253"/>
    </row>
    <row r="47" spans="1:7" s="220" customFormat="1" ht="13.5" customHeight="1">
      <c r="A47" s="888" t="s">
        <v>792</v>
      </c>
      <c r="B47" s="254" t="s">
        <v>2236</v>
      </c>
      <c r="C47" s="244">
        <f ca="1">ROUND(C40*F27,4)</f>
        <v>7.4999999999999997E-3</v>
      </c>
      <c r="D47" s="269"/>
      <c r="E47" s="242"/>
      <c r="F47" s="252"/>
      <c r="G47" s="253"/>
    </row>
    <row r="48" spans="1:7" s="220" customFormat="1" ht="13.5" customHeight="1">
      <c r="A48" s="261" t="s">
        <v>2198</v>
      </c>
      <c r="B48" s="216" t="s">
        <v>2237</v>
      </c>
      <c r="C48" s="1496">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33461</v>
      </c>
      <c r="D49" s="238"/>
      <c r="E49" s="238"/>
      <c r="F49" s="270"/>
      <c r="G49" s="240" t="s">
        <v>2240</v>
      </c>
    </row>
    <row r="50" spans="1:7" s="264" customFormat="1" ht="24">
      <c r="A50" s="261" t="s">
        <v>2241</v>
      </c>
      <c r="B50" s="216" t="s">
        <v>2242</v>
      </c>
      <c r="C50" s="238"/>
      <c r="D50" s="238"/>
      <c r="E50" s="238"/>
      <c r="F50" s="270">
        <f>IF('数据-取费表'!B24=0,'数据-取费表'!N16,1)</f>
        <v>0.93</v>
      </c>
      <c r="G50" s="253" t="s">
        <v>2243</v>
      </c>
    </row>
    <row r="51" spans="1:7" ht="16.5" customHeight="1">
      <c r="A51" s="261" t="s">
        <v>2244</v>
      </c>
      <c r="B51" s="216" t="s">
        <v>2245</v>
      </c>
      <c r="C51" s="238">
        <f ca="1">ROUND(C49*F50,0)</f>
        <v>31119</v>
      </c>
      <c r="D51" s="238"/>
      <c r="E51" s="238"/>
      <c r="F51" s="270"/>
      <c r="G51" s="240" t="s">
        <v>2246</v>
      </c>
    </row>
    <row r="52" spans="1:7" s="214" customFormat="1" ht="16.5" thickBot="1">
      <c r="A52" s="271" t="s">
        <v>2247</v>
      </c>
      <c r="B52" s="272"/>
      <c r="C52" s="273">
        <f ca="1">C31+C51</f>
        <v>44234</v>
      </c>
      <c r="D52" s="272"/>
      <c r="E52" s="272"/>
      <c r="F52" s="272"/>
      <c r="G52" s="274"/>
    </row>
    <row r="55" spans="1:7" ht="15">
      <c r="B55" s="276" t="s">
        <v>2248</v>
      </c>
      <c r="C55" s="277"/>
    </row>
    <row r="56" spans="1:7">
      <c r="B56" s="279" t="s">
        <v>1478</v>
      </c>
      <c r="C56" s="281">
        <f ca="1">1-C57</f>
        <v>0.29600000000000004</v>
      </c>
    </row>
    <row r="57" spans="1:7">
      <c r="B57" s="279" t="s">
        <v>1479</v>
      </c>
      <c r="C57" s="280">
        <f ca="1">ROUND(C51/C52,3)</f>
        <v>0.70399999999999996</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34" t="str">
        <f>项目基本情况!B1</f>
        <v>江苏省无锡市江阴市东外环路410号酒店用房房地产抵押价值预评估</v>
      </c>
      <c r="C37" s="3234"/>
      <c r="D37" s="3234"/>
      <c r="E37" s="3234"/>
      <c r="F37" s="3234"/>
      <c r="G37" s="3234"/>
      <c r="H37" s="3234"/>
      <c r="I37" s="3234"/>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 ca="1">项目基本情况!K4</f>
        <v>郑燚（注册号：1120070131)、吴薇（注册号：1419970001)</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33270</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7416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4710269</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4.0500000000000001E-2</v>
      </c>
      <c r="G7" s="225"/>
    </row>
    <row r="8" spans="1:8" s="229" customFormat="1">
      <c r="A8" s="886" t="s">
        <v>2162</v>
      </c>
      <c r="B8" s="221" t="s">
        <v>2163</v>
      </c>
      <c r="C8" s="226">
        <f ca="1">IF(G8="已包含在土地购买价格中",0,C9+C10)</f>
        <v>4710269</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105</v>
      </c>
      <c r="F9" s="227"/>
      <c r="G9" s="232"/>
    </row>
    <row r="10" spans="1:8" s="220" customFormat="1" ht="13.5" customHeight="1">
      <c r="A10" s="887" t="s">
        <v>801</v>
      </c>
      <c r="B10" s="230" t="s">
        <v>2166</v>
      </c>
      <c r="C10" s="231">
        <f ca="1">ROUND(D10*E10,0)</f>
        <v>4710269</v>
      </c>
      <c r="D10" s="954">
        <f ca="1">IF(B1="",'数据-汇总表'!E6,IF(INDIRECT("'数据-取费表'!c"&amp;$G$1)="住宅",INDIRECT("'数据-取费表'!s"&amp;$G$1),INDIRECT("'数据-取费表'!k"&amp;$G$1)+INDIRECT("'数据-取费表'!s"&amp;$G$1)))</f>
        <v>44859.7</v>
      </c>
      <c r="E10" s="231">
        <f>'数据-取费表'!B28</f>
        <v>105</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8971940</v>
      </c>
      <c r="D19" s="958">
        <f ca="1">D9+D10</f>
        <v>44859.7</v>
      </c>
      <c r="E19" s="217">
        <f>'数据-取费表'!B31</f>
        <v>200</v>
      </c>
      <c r="F19" s="237"/>
      <c r="G19" s="2042"/>
    </row>
    <row r="20" spans="1:7" s="220" customFormat="1" ht="13.5" customHeight="1">
      <c r="A20" s="261" t="s">
        <v>2260</v>
      </c>
      <c r="B20" s="216" t="s">
        <v>2261</v>
      </c>
      <c r="C20" s="238">
        <f ca="1">ROUND((C5+C19)*F20,0)</f>
        <v>410466</v>
      </c>
      <c r="D20" s="238"/>
      <c r="E20" s="238"/>
      <c r="F20" s="239">
        <f>'数据-取费表'!B37</f>
        <v>0.03</v>
      </c>
      <c r="G20" s="240" t="s">
        <v>2262</v>
      </c>
    </row>
    <row r="21" spans="1:7" s="220" customFormat="1" ht="13.5" customHeight="1">
      <c r="A21" s="261" t="s">
        <v>2263</v>
      </c>
      <c r="B21" s="216" t="s">
        <v>2264</v>
      </c>
      <c r="C21" s="241">
        <f>F21</f>
        <v>0.03</v>
      </c>
      <c r="D21" s="242" t="s">
        <v>2265</v>
      </c>
      <c r="E21" s="238"/>
      <c r="F21" s="239">
        <f>'数据-取费表'!B38</f>
        <v>0.03</v>
      </c>
      <c r="G21" s="240" t="s">
        <v>2266</v>
      </c>
    </row>
    <row r="22" spans="1:7" s="220" customFormat="1" ht="13.5" customHeight="1">
      <c r="A22" s="261" t="s">
        <v>2267</v>
      </c>
      <c r="B22" s="216" t="s">
        <v>2268</v>
      </c>
      <c r="C22" s="1289">
        <f ca="1">ROUND(SUM(C23:C25),0)</f>
        <v>1891397</v>
      </c>
      <c r="D22" s="241">
        <f ca="1">C26</f>
        <v>2E-3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641817</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1222508</v>
      </c>
      <c r="D24" s="244"/>
      <c r="E24" s="244"/>
      <c r="F24" s="245"/>
      <c r="G24" s="246" t="s">
        <v>2272</v>
      </c>
    </row>
    <row r="25" spans="1:7" s="220" customFormat="1" ht="24">
      <c r="A25" s="888" t="s">
        <v>2162</v>
      </c>
      <c r="B25" s="221" t="s">
        <v>2273</v>
      </c>
      <c r="C25" s="1290">
        <f ca="1">ROUND(IF('数据-取费表'!B22&lt;=1,C20*F22*'数据-取费表'!B22/2,C20*(POWER((1+F22),'数据-取费表'!B22/2)-1)),0)</f>
        <v>27072</v>
      </c>
      <c r="D25" s="244"/>
      <c r="E25" s="247"/>
      <c r="F25" s="245"/>
      <c r="G25" s="248" t="s">
        <v>2274</v>
      </c>
    </row>
    <row r="26" spans="1:7" s="220" customFormat="1">
      <c r="A26" s="888" t="s">
        <v>795</v>
      </c>
      <c r="B26" s="221" t="s">
        <v>2197</v>
      </c>
      <c r="C26" s="244">
        <f ca="1">ROUND(IF('数据-取费表'!B22&lt;=1,F21*F22*'数据-取费表'!B22/2,F21*(POWER((1+F22),'数据-取费表'!B22/2)-1)),4)</f>
        <v>2E-3</v>
      </c>
      <c r="D26" s="244"/>
      <c r="E26" s="247"/>
      <c r="F26" s="245"/>
      <c r="G26" s="249"/>
    </row>
    <row r="27" spans="1:7" s="220" customFormat="1" ht="24.75">
      <c r="A27" s="261" t="s">
        <v>2198</v>
      </c>
      <c r="B27" s="250" t="s">
        <v>2199</v>
      </c>
      <c r="C27" s="251">
        <f ca="1">C28</f>
        <v>3523169</v>
      </c>
      <c r="D27" s="241">
        <f ca="1">C29</f>
        <v>7.4999999999999997E-3</v>
      </c>
      <c r="E27" s="242" t="s">
        <v>2200</v>
      </c>
      <c r="F27" s="252">
        <f ca="1">IF(B1="",'数据-取费表'!Q16,INDIRECT("'数据-取费表'!q"&amp;$G$1))</f>
        <v>0.25</v>
      </c>
      <c r="G27" s="253" t="s">
        <v>2201</v>
      </c>
    </row>
    <row r="28" spans="1:7" s="220" customFormat="1" ht="13.5" customHeight="1">
      <c r="A28" s="888" t="s">
        <v>791</v>
      </c>
      <c r="B28" s="254" t="s">
        <v>2202</v>
      </c>
      <c r="C28" s="255">
        <f ca="1">ROUND((C5+C19+C20)*F27,0)</f>
        <v>3523169</v>
      </c>
      <c r="D28" s="241"/>
      <c r="E28" s="242"/>
      <c r="F28" s="252"/>
      <c r="G28" s="253"/>
    </row>
    <row r="29" spans="1:7" s="220" customFormat="1" ht="13.5" customHeight="1">
      <c r="A29" s="888" t="s">
        <v>792</v>
      </c>
      <c r="B29" s="254" t="s">
        <v>2203</v>
      </c>
      <c r="C29" s="244">
        <f ca="1">ROUND(C21*F27,4)</f>
        <v>7.4999999999999997E-3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21502691</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223962053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201868650</v>
      </c>
      <c r="D34" s="223"/>
      <c r="E34" s="226"/>
      <c r="F34" s="263"/>
      <c r="G34" s="225"/>
    </row>
    <row r="35" spans="1:7" ht="13.5" customHeight="1">
      <c r="A35" s="888" t="s">
        <v>796</v>
      </c>
      <c r="B35" s="221" t="s">
        <v>2213</v>
      </c>
      <c r="C35" s="226">
        <f ca="1">ROUND(C34*F35,0)</f>
        <v>10093433</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8971940</v>
      </c>
      <c r="D37" s="223">
        <f ca="1">D19</f>
        <v>44859.7</v>
      </c>
      <c r="E37" s="255">
        <f>'数据-取费表'!B35</f>
        <v>200</v>
      </c>
      <c r="F37" s="265"/>
      <c r="G37" s="267"/>
    </row>
    <row r="38" spans="1:7" ht="13.5" customHeight="1">
      <c r="A38" s="888" t="s">
        <v>799</v>
      </c>
      <c r="B38" s="221" t="s">
        <v>2219</v>
      </c>
      <c r="C38" s="226">
        <f ca="1">ROUND(C34*F38,0)</f>
        <v>3028030</v>
      </c>
      <c r="D38" s="226"/>
      <c r="E38" s="226"/>
      <c r="F38" s="265">
        <f>'数据-取费表'!B36</f>
        <v>1.4999999999999999E-2</v>
      </c>
      <c r="G38" s="225" t="s">
        <v>2214</v>
      </c>
    </row>
    <row r="39" spans="1:7" s="220" customFormat="1" ht="13.5" customHeight="1">
      <c r="A39" s="261" t="s">
        <v>2220</v>
      </c>
      <c r="B39" s="216" t="s">
        <v>2221</v>
      </c>
      <c r="C39" s="238">
        <f ca="1">ROUND(C33*F20,0)</f>
        <v>6718862</v>
      </c>
      <c r="D39" s="238"/>
      <c r="E39" s="238"/>
      <c r="F39" s="2535">
        <f>F20</f>
        <v>0.03</v>
      </c>
      <c r="G39" s="240" t="s">
        <v>2222</v>
      </c>
    </row>
    <row r="40" spans="1:7" s="220" customFormat="1" ht="13.5" customHeight="1">
      <c r="A40" s="261" t="s">
        <v>2223</v>
      </c>
      <c r="B40" s="216" t="s">
        <v>2224</v>
      </c>
      <c r="C40" s="1496">
        <f>F21</f>
        <v>0.03</v>
      </c>
      <c r="D40" s="242" t="s">
        <v>2225</v>
      </c>
      <c r="E40" s="238"/>
      <c r="F40" s="2535">
        <f>F21</f>
        <v>0.03</v>
      </c>
      <c r="G40" s="240" t="s">
        <v>2226</v>
      </c>
    </row>
    <row r="41" spans="1:7" s="220" customFormat="1" ht="13.5" customHeight="1">
      <c r="A41" s="261" t="s">
        <v>2227</v>
      </c>
      <c r="B41" s="216" t="s">
        <v>2228</v>
      </c>
      <c r="C41" s="238">
        <f ca="1">ROUND(SUM(C42:C43),0)</f>
        <v>15214451</v>
      </c>
      <c r="D41" s="241">
        <f ca="1">C44</f>
        <v>2E-3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14771312</v>
      </c>
      <c r="D42" s="244"/>
      <c r="E42" s="244"/>
      <c r="F42" s="245"/>
      <c r="G42" s="3427" t="s">
        <v>2277</v>
      </c>
    </row>
    <row r="43" spans="1:7" ht="13.5" customHeight="1">
      <c r="A43" s="888" t="s">
        <v>792</v>
      </c>
      <c r="B43" s="221" t="s">
        <v>2231</v>
      </c>
      <c r="C43" s="244">
        <f ca="1">ROUND(IF('数据-取费表'!B22&lt;=1,C39*F22*'数据-取费表'!B20/2,C39*(POWER((1+F22),'数据-取费表'!B20/2)-1)),0)</f>
        <v>443139</v>
      </c>
      <c r="D43" s="244"/>
      <c r="E43" s="244"/>
      <c r="F43" s="245"/>
      <c r="G43" s="3428"/>
    </row>
    <row r="44" spans="1:7" ht="13.5" customHeight="1">
      <c r="A44" s="888" t="s">
        <v>793</v>
      </c>
      <c r="B44" s="221" t="s">
        <v>2232</v>
      </c>
      <c r="C44" s="244">
        <f ca="1">ROUND(IF('数据-取费表'!B22&lt;=1,C40*F22*'数据-取费表'!B20/2,C40*(POWER((1+F22),'数据-取费表'!B20/2)-1)),4)</f>
        <v>2E-3</v>
      </c>
      <c r="D44" s="244"/>
      <c r="E44" s="244"/>
      <c r="F44" s="245"/>
      <c r="G44" s="3429"/>
    </row>
    <row r="45" spans="1:7" s="220" customFormat="1" ht="13.5" customHeight="1">
      <c r="A45" s="261" t="s">
        <v>2233</v>
      </c>
      <c r="B45" s="250" t="s">
        <v>2199</v>
      </c>
      <c r="C45" s="251">
        <f ca="1">C46</f>
        <v>57670229</v>
      </c>
      <c r="D45" s="241">
        <f ca="1">C47</f>
        <v>7.4999999999999997E-3</v>
      </c>
      <c r="E45" s="242" t="s">
        <v>2225</v>
      </c>
      <c r="F45" s="2537">
        <f ca="1">F27</f>
        <v>0.25</v>
      </c>
      <c r="G45" s="253" t="s">
        <v>2234</v>
      </c>
    </row>
    <row r="46" spans="1:7" s="220" customFormat="1" ht="13.5" customHeight="1">
      <c r="A46" s="888" t="s">
        <v>791</v>
      </c>
      <c r="B46" s="254" t="s">
        <v>2235</v>
      </c>
      <c r="C46" s="255">
        <f ca="1">ROUND((C33+C39)*F27,0)</f>
        <v>57670229</v>
      </c>
      <c r="D46" s="269"/>
      <c r="E46" s="242"/>
      <c r="F46" s="252"/>
      <c r="G46" s="253"/>
    </row>
    <row r="47" spans="1:7" s="220" customFormat="1" ht="13.5" customHeight="1">
      <c r="A47" s="888" t="s">
        <v>792</v>
      </c>
      <c r="B47" s="254" t="s">
        <v>2236</v>
      </c>
      <c r="C47" s="244">
        <f ca="1">ROUND(C40*F27,4)</f>
        <v>7.4999999999999997E-3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334618160</v>
      </c>
      <c r="D49" s="238"/>
      <c r="E49" s="238"/>
      <c r="F49" s="270"/>
      <c r="G49" s="240" t="s">
        <v>2240</v>
      </c>
    </row>
    <row r="50" spans="1:7" s="264" customFormat="1">
      <c r="A50" s="261" t="s">
        <v>2241</v>
      </c>
      <c r="B50" s="216" t="s">
        <v>2242</v>
      </c>
      <c r="C50" s="238"/>
      <c r="D50" s="238"/>
      <c r="E50" s="238"/>
      <c r="F50" s="270">
        <f>IF('数据-取费表'!B24=0,'数据-取费表'!N16,1)</f>
        <v>0.93</v>
      </c>
      <c r="G50" s="253"/>
    </row>
    <row r="51" spans="1:7" ht="16.5" customHeight="1">
      <c r="A51" s="261" t="s">
        <v>2244</v>
      </c>
      <c r="B51" s="216" t="s">
        <v>2279</v>
      </c>
      <c r="C51" s="238">
        <f ca="1">ROUND(C49*F50,0)</f>
        <v>311194889</v>
      </c>
      <c r="D51" s="238"/>
      <c r="E51" s="238"/>
      <c r="F51" s="270"/>
      <c r="G51" s="240" t="s">
        <v>2246</v>
      </c>
    </row>
    <row r="52" spans="1:7" s="214" customFormat="1" ht="16.5" thickBot="1">
      <c r="A52" s="271" t="s">
        <v>2247</v>
      </c>
      <c r="B52" s="272"/>
      <c r="C52" s="273">
        <f ca="1">C31+C51</f>
        <v>332697580</v>
      </c>
      <c r="D52" s="272"/>
      <c r="E52" s="272"/>
      <c r="F52" s="272"/>
      <c r="G52" s="274"/>
    </row>
    <row r="55" spans="1:7" ht="15">
      <c r="B55" s="276" t="s">
        <v>2248</v>
      </c>
      <c r="C55" s="277"/>
    </row>
    <row r="56" spans="1:7">
      <c r="B56" s="279" t="s">
        <v>1478</v>
      </c>
      <c r="C56" s="281">
        <f ca="1">1-C57</f>
        <v>6.4999999999999947E-2</v>
      </c>
    </row>
    <row r="57" spans="1:7">
      <c r="B57" s="279" t="s">
        <v>1479</v>
      </c>
      <c r="C57" s="280">
        <f ca="1">ROUND(C51/C52,3)</f>
        <v>0.93500000000000005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2"/>
      <c r="F1" s="3032"/>
      <c r="G1" s="2895"/>
      <c r="H1" s="3032"/>
      <c r="I1" s="3032"/>
      <c r="J1" s="3032"/>
      <c r="K1" s="3033">
        <f>MATCH(C1,'数据-取费表'!A6:A16,0)+5</f>
        <v>7</v>
      </c>
    </row>
    <row r="2" spans="1:33" ht="18" customHeight="1">
      <c r="A2" s="207" t="s">
        <v>2148</v>
      </c>
      <c r="B2" s="210">
        <f ca="1">C32</f>
        <v>0</v>
      </c>
      <c r="C2" s="282" t="s">
        <v>2281</v>
      </c>
      <c r="D2" s="282"/>
      <c r="E2" s="3032"/>
      <c r="F2" s="3032"/>
      <c r="G2" s="3032"/>
      <c r="H2" s="3032"/>
      <c r="I2" s="3032"/>
      <c r="J2" s="3032"/>
      <c r="K2" s="3032"/>
    </row>
    <row r="3" spans="1:33" ht="18" customHeight="1" thickBot="1">
      <c r="A3" s="209" t="s">
        <v>2150</v>
      </c>
      <c r="B3" s="210">
        <f ca="1">ROUND(B2*10000/IF(C1="",'数据-汇总表'!E3,INDIRECT("'数据-取费表'!K"&amp;$K$1)),0)</f>
        <v>0</v>
      </c>
      <c r="C3" s="282" t="s">
        <v>2282</v>
      </c>
      <c r="D3" s="282"/>
      <c r="E3" s="3032"/>
      <c r="F3" s="3032"/>
      <c r="G3" s="3032"/>
      <c r="H3" s="3032"/>
      <c r="I3" s="3032"/>
      <c r="J3" s="3032"/>
      <c r="K3" s="3032"/>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44859.7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44859.7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105</v>
      </c>
      <c r="F19" s="913"/>
      <c r="G19" s="15"/>
      <c r="H19" s="1351"/>
      <c r="I19" s="918"/>
      <c r="J19" s="918"/>
      <c r="K19" s="919"/>
    </row>
    <row r="20" spans="1:33" s="912" customFormat="1" ht="13.5" customHeight="1">
      <c r="A20" s="908" t="s">
        <v>806</v>
      </c>
      <c r="B20" s="909" t="s">
        <v>2316</v>
      </c>
      <c r="C20" s="24">
        <f ca="1">ROUND(D20*E20/10000,0)</f>
        <v>471</v>
      </c>
      <c r="D20" s="955">
        <f ca="1">IF(C1="",'数据-汇总表'!E6,IF(INDIRECT("'数据-取费表'!c"&amp;$K$1)="住宅",INDIRECT("'数据-取费表'!s"&amp;$K$1),INDIRECT("'数据-取费表'!k"&amp;$K$1)+INDIRECT("'数据-取费表'!s"&amp;$K$1)))</f>
        <v>44859.7</v>
      </c>
      <c r="E20" s="24">
        <f>'数据-取费表'!B28</f>
        <v>105</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0.03</v>
      </c>
      <c r="G23" s="8" t="s">
        <v>2322</v>
      </c>
      <c r="H23" s="905"/>
      <c r="I23" s="905"/>
      <c r="J23" s="905"/>
      <c r="K23" s="906"/>
    </row>
    <row r="24" spans="1:33" s="912" customFormat="1" ht="13.5" customHeight="1">
      <c r="A24" s="898" t="s">
        <v>2323</v>
      </c>
      <c r="B24" s="922" t="s">
        <v>2324</v>
      </c>
      <c r="C24" s="286">
        <f>ROUND(F24/(1+'数据-取费表'!C42),4)</f>
        <v>3.8600000000000002E-2</v>
      </c>
      <c r="D24" s="287" t="s">
        <v>15</v>
      </c>
      <c r="E24" s="287"/>
      <c r="F24" s="925">
        <f>IF(项目基本情况!B8="出让",0,'数据-取费表'!B48+'数据-取费表'!B49)</f>
        <v>4.0500000000000001E-2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A4" sqref="A4:K4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7568</v>
      </c>
      <c r="C2" s="1038"/>
      <c r="D2" s="1038"/>
      <c r="E2" s="1039"/>
      <c r="F2" s="1040"/>
      <c r="G2" s="1039"/>
      <c r="H2" s="1039"/>
      <c r="I2" s="1039"/>
      <c r="J2" s="1039"/>
      <c r="K2" s="1041"/>
      <c r="L2" s="2958"/>
      <c r="M2" s="2959"/>
      <c r="N2" s="2959"/>
      <c r="O2" s="2959"/>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1687</v>
      </c>
      <c r="C3" s="209" t="s">
        <v>2567</v>
      </c>
      <c r="D3" s="1355"/>
      <c r="E3" s="1039"/>
      <c r="F3" s="1040"/>
      <c r="G3" s="1039"/>
      <c r="H3" s="1039"/>
      <c r="I3" s="1039"/>
      <c r="J3" s="1039"/>
      <c r="K3" s="1041"/>
      <c r="L3" s="2958"/>
      <c r="M3" s="2959"/>
      <c r="N3" s="2959"/>
      <c r="O3" s="2959"/>
      <c r="P3" s="708"/>
      <c r="Q3" s="708"/>
      <c r="R3" s="708"/>
      <c r="S3" s="708"/>
      <c r="T3" s="708"/>
      <c r="U3" s="708"/>
      <c r="V3" s="708"/>
      <c r="W3" s="708"/>
      <c r="X3" s="708"/>
      <c r="Y3" s="708"/>
      <c r="Z3" s="708"/>
      <c r="AA3" s="708"/>
      <c r="AB3" s="725"/>
      <c r="AC3" s="722"/>
    </row>
    <row r="4" spans="1:30" ht="15">
      <c r="A4" s="361" t="s">
        <v>2466</v>
      </c>
      <c r="B4" s="362"/>
      <c r="C4" s="3448" t="s">
        <v>2467</v>
      </c>
      <c r="D4" s="3449"/>
      <c r="E4" s="3450" t="s">
        <v>2468</v>
      </c>
      <c r="F4" s="3451"/>
      <c r="G4" s="3448" t="s">
        <v>2469</v>
      </c>
      <c r="H4" s="3449"/>
      <c r="I4" s="3448" t="s">
        <v>2470</v>
      </c>
      <c r="J4" s="3449"/>
      <c r="K4" s="567" t="s">
        <v>2471</v>
      </c>
      <c r="L4" s="2939"/>
      <c r="M4" s="2940"/>
      <c r="N4" s="2940"/>
      <c r="O4" s="2940"/>
      <c r="P4" s="3452" t="s">
        <v>2472</v>
      </c>
      <c r="Q4" s="3453"/>
      <c r="R4" s="3435" t="s">
        <v>2468</v>
      </c>
      <c r="S4" s="3436"/>
      <c r="T4" s="3435" t="s">
        <v>2469</v>
      </c>
      <c r="U4" s="3436"/>
      <c r="V4" s="3460" t="s">
        <v>2470</v>
      </c>
      <c r="W4" s="3460"/>
      <c r="X4" s="1540"/>
      <c r="Y4" s="3435" t="s">
        <v>2472</v>
      </c>
      <c r="Z4" s="3436"/>
      <c r="AA4" s="3430" t="s">
        <v>2468</v>
      </c>
      <c r="AB4" s="3431" t="s">
        <v>2469</v>
      </c>
      <c r="AC4" s="3430" t="s">
        <v>2470</v>
      </c>
    </row>
    <row r="5" spans="1:30" ht="15">
      <c r="A5" s="364"/>
      <c r="B5" s="365"/>
      <c r="C5" s="3441" t="s">
        <v>2363</v>
      </c>
      <c r="D5" s="3442"/>
      <c r="E5" s="3439" t="str">
        <f>土地案例!A6</f>
        <v>江阴市澄江街道青山路北、通渡路西</v>
      </c>
      <c r="F5" s="3440"/>
      <c r="G5" s="3441" t="str">
        <f>土地案例!A10</f>
        <v>江阴市城东街道创富路东、滨江东路南、秦望山路西、规划道路北</v>
      </c>
      <c r="H5" s="3442"/>
      <c r="I5" s="3441" t="str">
        <f>土地案例!A11</f>
        <v>江阴市城东街道秦望山路东、滨江东路南、定山路西、规划道路北</v>
      </c>
      <c r="J5" s="3442"/>
      <c r="K5" s="567"/>
      <c r="L5" s="2939"/>
      <c r="M5" s="2940"/>
      <c r="N5" s="2940"/>
      <c r="O5" s="2940"/>
      <c r="P5" s="3454"/>
      <c r="Q5" s="3455"/>
      <c r="R5" s="3437"/>
      <c r="S5" s="3438"/>
      <c r="T5" s="3437"/>
      <c r="U5" s="3438"/>
      <c r="V5" s="3460"/>
      <c r="W5" s="3460"/>
      <c r="X5" s="1540"/>
      <c r="Y5" s="3437"/>
      <c r="Z5" s="3438"/>
      <c r="AA5" s="3431"/>
      <c r="AB5" s="3431"/>
      <c r="AC5" s="3431"/>
    </row>
    <row r="6" spans="1:30" ht="15.75" thickBot="1">
      <c r="A6" s="366"/>
      <c r="B6" s="367"/>
      <c r="C6" s="3443" t="s">
        <v>2367</v>
      </c>
      <c r="D6" s="3444"/>
      <c r="E6" s="3445" t="s">
        <v>2367</v>
      </c>
      <c r="F6" s="3446"/>
      <c r="G6" s="3443" t="s">
        <v>2367</v>
      </c>
      <c r="H6" s="3444"/>
      <c r="I6" s="3443" t="s">
        <v>2367</v>
      </c>
      <c r="J6" s="3444"/>
      <c r="K6" s="567" t="s">
        <v>2368</v>
      </c>
      <c r="L6" s="2939"/>
      <c r="M6" s="2940"/>
      <c r="N6" s="2940"/>
      <c r="O6" s="2940"/>
      <c r="P6" s="3456"/>
      <c r="Q6" s="3457"/>
      <c r="R6" s="3437"/>
      <c r="S6" s="3438"/>
      <c r="T6" s="3458"/>
      <c r="U6" s="3459"/>
      <c r="V6" s="3460"/>
      <c r="W6" s="3460"/>
      <c r="X6" s="1540"/>
      <c r="Y6" s="3458"/>
      <c r="Z6" s="3459"/>
      <c r="AA6" s="3432"/>
      <c r="AB6" s="3432"/>
      <c r="AC6" s="3432"/>
    </row>
    <row r="7" spans="1:30" s="113" customFormat="1" ht="15.75" thickBot="1">
      <c r="A7" s="368" t="s">
        <v>2369</v>
      </c>
      <c r="B7" s="369"/>
      <c r="C7" s="370">
        <f>'数据-取费表'!B2</f>
        <v>44280</v>
      </c>
      <c r="D7" s="371">
        <v>100</v>
      </c>
      <c r="E7" s="372" t="str">
        <f>土地案例!J6</f>
        <v>2019-12-10</v>
      </c>
      <c r="F7" s="373">
        <f>SUMIF(70:70,YEAR(E7)&amp;"-"&amp;INT((MONTH(E7)+2)/3),71:71)</f>
        <v>97.5</v>
      </c>
      <c r="G7" s="2160" t="str">
        <f>土地案例!J10</f>
        <v>2018-12-14</v>
      </c>
      <c r="H7" s="371">
        <f>SUMIF(70:70,YEAR(G7)&amp;"-"&amp;INT((MONTH(G7)+2)/3),71:71)</f>
        <v>95.5</v>
      </c>
      <c r="I7" s="2160" t="str">
        <f>土地案例!J11</f>
        <v>2018-12-14</v>
      </c>
      <c r="J7" s="371">
        <f>SUMIF(70:70,YEAR(I7)&amp;"-"&amp;INT((MONTH(I7)+2)/3),71:71)</f>
        <v>95.5</v>
      </c>
      <c r="K7" s="568"/>
      <c r="L7" s="2941"/>
      <c r="M7" s="2942"/>
      <c r="N7" s="2942"/>
      <c r="O7" s="2942"/>
      <c r="P7" s="3433" t="s">
        <v>2370</v>
      </c>
      <c r="Q7" s="3461"/>
      <c r="R7" s="710" t="s">
        <v>17</v>
      </c>
      <c r="S7" s="711">
        <f t="shared" ref="S7:S15" si="0">F7</f>
        <v>97.5</v>
      </c>
      <c r="T7" s="710" t="s">
        <v>17</v>
      </c>
      <c r="U7" s="711">
        <f t="shared" ref="U7:U15" si="1">H7</f>
        <v>95.5</v>
      </c>
      <c r="V7" s="710" t="s">
        <v>17</v>
      </c>
      <c r="W7" s="711">
        <f t="shared" ref="W7:W15" si="2">J7</f>
        <v>95.5</v>
      </c>
      <c r="X7" s="712"/>
      <c r="Y7" s="3433" t="s">
        <v>2370</v>
      </c>
      <c r="Z7" s="3434"/>
      <c r="AA7" s="713">
        <f>D7/F7</f>
        <v>1.0256410256410255</v>
      </c>
      <c r="AB7" s="713">
        <f>D7/H7</f>
        <v>1.0471204188481675</v>
      </c>
      <c r="AC7" s="713">
        <f>D7/J7</f>
        <v>1.0471204188481675</v>
      </c>
    </row>
    <row r="8" spans="1:30" s="113" customFormat="1" ht="15.75" thickBot="1">
      <c r="A8" s="368" t="s">
        <v>2371</v>
      </c>
      <c r="B8" s="369"/>
      <c r="C8" s="374" t="s">
        <v>2372</v>
      </c>
      <c r="D8" s="371">
        <v>100</v>
      </c>
      <c r="E8" s="374" t="s">
        <v>2372</v>
      </c>
      <c r="F8" s="373">
        <f>SUMIF(73:73,E8,74:74)-SUMIF(73:73,C8,74:74)+100</f>
        <v>100</v>
      </c>
      <c r="G8" s="374" t="s">
        <v>2372</v>
      </c>
      <c r="H8" s="371">
        <f>SUMIF(73:73,G8,74:74)-SUMIF(73:73,C8,74:74)+100</f>
        <v>100</v>
      </c>
      <c r="I8" s="374" t="s">
        <v>2372</v>
      </c>
      <c r="J8" s="371">
        <f>SUMIF(73:73,I8,74:74)-SUMIF(73:73,C8,74:74)+100</f>
        <v>100</v>
      </c>
      <c r="K8" s="568"/>
      <c r="L8" s="2941"/>
      <c r="M8" s="2942"/>
      <c r="N8" s="2942"/>
      <c r="O8" s="2942"/>
      <c r="P8" s="3433" t="s">
        <v>2373</v>
      </c>
      <c r="Q8" s="3434"/>
      <c r="R8" s="710" t="s">
        <v>17</v>
      </c>
      <c r="S8" s="711">
        <f t="shared" si="0"/>
        <v>100</v>
      </c>
      <c r="T8" s="710" t="s">
        <v>17</v>
      </c>
      <c r="U8" s="711">
        <f t="shared" si="1"/>
        <v>100</v>
      </c>
      <c r="V8" s="710" t="s">
        <v>17</v>
      </c>
      <c r="W8" s="711">
        <f t="shared" si="2"/>
        <v>100</v>
      </c>
      <c r="X8" s="712"/>
      <c r="Y8" s="3433" t="s">
        <v>2373</v>
      </c>
      <c r="Z8" s="3434"/>
      <c r="AA8" s="713">
        <f t="shared" ref="AA8:AA45" si="3">D8/F8</f>
        <v>1</v>
      </c>
      <c r="AB8" s="713">
        <f t="shared" ref="AB8:AB45" si="4">D8/H8</f>
        <v>1</v>
      </c>
      <c r="AC8" s="713">
        <f t="shared" ref="AC8:AC45" si="5">D8/J8</f>
        <v>1</v>
      </c>
    </row>
    <row r="9" spans="1:30" s="113" customFormat="1">
      <c r="A9" s="375" t="s">
        <v>2374</v>
      </c>
      <c r="B9" s="67" t="s">
        <v>2375</v>
      </c>
      <c r="C9" s="2163" t="s">
        <v>1343</v>
      </c>
      <c r="D9" s="131">
        <v>100</v>
      </c>
      <c r="E9" s="2163" t="s">
        <v>1343</v>
      </c>
      <c r="F9" s="131">
        <f>SUMIF(75:75,E9,76:76)-SUMIF(75:75,C9,76:76)+100</f>
        <v>100</v>
      </c>
      <c r="G9" s="2163" t="s">
        <v>1343</v>
      </c>
      <c r="H9" s="131">
        <f>SUMIF(75:75,G9,76:76)-SUMIF(75:75,C9,76:76)+100</f>
        <v>100</v>
      </c>
      <c r="I9" s="2163" t="s">
        <v>1343</v>
      </c>
      <c r="J9" s="131">
        <f>SUMIF(75:75,I9,76:76)-SUMIF(75:75,C9,76:76)+100</f>
        <v>100</v>
      </c>
      <c r="K9" s="568"/>
      <c r="L9" s="2941"/>
      <c r="M9" s="2942"/>
      <c r="N9" s="2942"/>
      <c r="O9" s="2996"/>
      <c r="P9" s="3447" t="s">
        <v>2376</v>
      </c>
      <c r="Q9" s="1528" t="str">
        <f t="shared" ref="Q9:Q15" si="6">B9</f>
        <v>用途</v>
      </c>
      <c r="R9" s="710" t="s">
        <v>17</v>
      </c>
      <c r="S9" s="711">
        <f t="shared" si="0"/>
        <v>100</v>
      </c>
      <c r="T9" s="710" t="s">
        <v>17</v>
      </c>
      <c r="U9" s="711">
        <f t="shared" si="1"/>
        <v>100</v>
      </c>
      <c r="V9" s="710" t="s">
        <v>17</v>
      </c>
      <c r="W9" s="711">
        <f t="shared" si="2"/>
        <v>100</v>
      </c>
      <c r="X9" s="712"/>
      <c r="Y9" s="3399" t="s">
        <v>2377</v>
      </c>
      <c r="Z9" s="55" t="str">
        <f t="shared" ref="Z9:Z15" si="7">Q9</f>
        <v>用途</v>
      </c>
      <c r="AA9" s="713">
        <f t="shared" si="3"/>
        <v>1</v>
      </c>
      <c r="AB9" s="713">
        <f t="shared" si="4"/>
        <v>1</v>
      </c>
      <c r="AC9" s="713">
        <f t="shared" si="5"/>
        <v>1</v>
      </c>
    </row>
    <row r="10" spans="1:30" s="386" customFormat="1" ht="27">
      <c r="A10" s="380"/>
      <c r="B10" s="381" t="s">
        <v>2378</v>
      </c>
      <c r="C10" s="391">
        <f>项目基本情况!E15</f>
        <v>29.46</v>
      </c>
      <c r="D10" s="132">
        <v>100</v>
      </c>
      <c r="E10" s="424" t="s">
        <v>3271</v>
      </c>
      <c r="F10" s="132">
        <f>ROUND(100/'数据-取费表'!G16,0)</f>
        <v>112</v>
      </c>
      <c r="G10" s="422" t="s">
        <v>3271</v>
      </c>
      <c r="H10" s="132">
        <f>ROUND(100/'数据-取费表'!G16,0)</f>
        <v>112</v>
      </c>
      <c r="I10" s="422" t="s">
        <v>3271</v>
      </c>
      <c r="J10" s="132">
        <f>ROUND(100/'数据-取费表'!G16,0)</f>
        <v>112</v>
      </c>
      <c r="K10" s="628"/>
      <c r="L10" s="2943"/>
      <c r="M10" s="2944"/>
      <c r="N10" s="2944"/>
      <c r="O10" s="2997"/>
      <c r="P10" s="3447"/>
      <c r="Q10" s="1528" t="str">
        <f t="shared" si="6"/>
        <v>土地使用年限（年）</v>
      </c>
      <c r="R10" s="710" t="s">
        <v>17</v>
      </c>
      <c r="S10" s="711">
        <f t="shared" si="0"/>
        <v>112</v>
      </c>
      <c r="T10" s="710" t="s">
        <v>17</v>
      </c>
      <c r="U10" s="711">
        <f t="shared" si="1"/>
        <v>112</v>
      </c>
      <c r="V10" s="710" t="s">
        <v>17</v>
      </c>
      <c r="W10" s="711">
        <f t="shared" si="2"/>
        <v>112</v>
      </c>
      <c r="X10" s="712"/>
      <c r="Y10" s="3399"/>
      <c r="Z10" s="55" t="str">
        <f t="shared" si="7"/>
        <v>土地使用年限（年）</v>
      </c>
      <c r="AA10" s="713">
        <f t="shared" si="3"/>
        <v>0.8928571428571429</v>
      </c>
      <c r="AB10" s="713">
        <f t="shared" si="4"/>
        <v>0.8928571428571429</v>
      </c>
      <c r="AC10" s="713">
        <f t="shared" si="5"/>
        <v>0.8928571428571429</v>
      </c>
    </row>
    <row r="11" spans="1:30" ht="15.75" thickBot="1">
      <c r="A11" s="387"/>
      <c r="B11" s="381" t="s">
        <v>2379</v>
      </c>
      <c r="C11" s="388">
        <v>3.5</v>
      </c>
      <c r="D11" s="132">
        <v>100</v>
      </c>
      <c r="E11" s="388">
        <v>1.5</v>
      </c>
      <c r="F11" s="132">
        <f>LOOKUP(E11,80:80,81:81)-LOOKUP(C11,80:80,81:81)+100</f>
        <v>104</v>
      </c>
      <c r="G11" s="389">
        <v>2.8</v>
      </c>
      <c r="H11" s="132">
        <f>LOOKUP(G11,80:80,81:81)-LOOKUP(C11,80:80,81:81)+100</f>
        <v>102</v>
      </c>
      <c r="I11" s="388">
        <v>1.9</v>
      </c>
      <c r="J11" s="132">
        <f>LOOKUP(I11,80:80,81:81)-LOOKUP(C11,80:80,81:81)+100</f>
        <v>104</v>
      </c>
      <c r="K11" s="629">
        <v>2</v>
      </c>
      <c r="L11" s="2945"/>
      <c r="M11" s="2940"/>
      <c r="N11" s="2940"/>
      <c r="O11" s="2998"/>
      <c r="P11" s="3447"/>
      <c r="Q11" s="1528" t="str">
        <f t="shared" si="6"/>
        <v>容积率</v>
      </c>
      <c r="R11" s="710" t="s">
        <v>17</v>
      </c>
      <c r="S11" s="711">
        <f t="shared" si="0"/>
        <v>104</v>
      </c>
      <c r="T11" s="710" t="s">
        <v>17</v>
      </c>
      <c r="U11" s="711">
        <f t="shared" si="1"/>
        <v>102</v>
      </c>
      <c r="V11" s="710" t="s">
        <v>17</v>
      </c>
      <c r="W11" s="711">
        <f t="shared" si="2"/>
        <v>104</v>
      </c>
      <c r="X11" s="712"/>
      <c r="Y11" s="3399"/>
      <c r="Z11" s="55" t="str">
        <f t="shared" si="7"/>
        <v>容积率</v>
      </c>
      <c r="AA11" s="713">
        <f t="shared" si="3"/>
        <v>0.96153846153846156</v>
      </c>
      <c r="AB11" s="713">
        <f t="shared" si="4"/>
        <v>0.98039215686274506</v>
      </c>
      <c r="AC11" s="713">
        <f t="shared" si="5"/>
        <v>0.96153846153846156</v>
      </c>
    </row>
    <row r="12" spans="1:30" s="113" customFormat="1" ht="15" hidden="1">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1"/>
      <c r="M12" s="2942"/>
      <c r="N12" s="2942"/>
      <c r="O12" s="2996"/>
      <c r="P12" s="3447"/>
      <c r="Q12" s="1528" t="str">
        <f t="shared" si="6"/>
        <v>配建</v>
      </c>
      <c r="R12" s="710" t="s">
        <v>17</v>
      </c>
      <c r="S12" s="711">
        <f t="shared" si="0"/>
        <v>100</v>
      </c>
      <c r="T12" s="710" t="s">
        <v>17</v>
      </c>
      <c r="U12" s="711">
        <f t="shared" si="1"/>
        <v>100</v>
      </c>
      <c r="V12" s="710" t="s">
        <v>17</v>
      </c>
      <c r="W12" s="711">
        <f t="shared" si="2"/>
        <v>100</v>
      </c>
      <c r="X12" s="712"/>
      <c r="Y12" s="3399"/>
      <c r="Z12" s="55" t="str">
        <f t="shared" si="7"/>
        <v>配建</v>
      </c>
      <c r="AA12" s="713">
        <f>D12/F12</f>
        <v>1</v>
      </c>
      <c r="AB12" s="713">
        <f>D12/H12</f>
        <v>1</v>
      </c>
      <c r="AC12" s="713">
        <f>D12/J12</f>
        <v>1</v>
      </c>
    </row>
    <row r="13" spans="1:30" ht="15" hidden="1">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6"/>
      <c r="M13" s="2940"/>
      <c r="N13" s="2940"/>
      <c r="O13" s="2998"/>
      <c r="P13" s="3447"/>
      <c r="Q13" s="1528">
        <f t="shared" si="6"/>
        <v>111</v>
      </c>
      <c r="R13" s="710" t="s">
        <v>17</v>
      </c>
      <c r="S13" s="711">
        <f t="shared" si="0"/>
        <v>100</v>
      </c>
      <c r="T13" s="710" t="s">
        <v>17</v>
      </c>
      <c r="U13" s="711">
        <f t="shared" si="1"/>
        <v>100</v>
      </c>
      <c r="V13" s="710" t="s">
        <v>17</v>
      </c>
      <c r="W13" s="711">
        <f t="shared" si="2"/>
        <v>100</v>
      </c>
      <c r="X13" s="712"/>
      <c r="Y13" s="3399"/>
      <c r="Z13" s="55">
        <f t="shared" si="7"/>
        <v>111</v>
      </c>
      <c r="AA13" s="713">
        <f>D13/F13</f>
        <v>1</v>
      </c>
      <c r="AB13" s="713">
        <f>D13/H13</f>
        <v>1</v>
      </c>
      <c r="AC13" s="713">
        <f>D13/J13</f>
        <v>1</v>
      </c>
    </row>
    <row r="14" spans="1:30" ht="15.75" hidden="1"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6"/>
      <c r="M14" s="2940"/>
      <c r="N14" s="2940"/>
      <c r="O14" s="2998"/>
      <c r="P14" s="3447"/>
      <c r="Q14" s="1528">
        <f t="shared" si="6"/>
        <v>111</v>
      </c>
      <c r="R14" s="710" t="s">
        <v>17</v>
      </c>
      <c r="S14" s="711">
        <f t="shared" si="0"/>
        <v>100</v>
      </c>
      <c r="T14" s="710" t="s">
        <v>17</v>
      </c>
      <c r="U14" s="711">
        <f t="shared" si="1"/>
        <v>100</v>
      </c>
      <c r="V14" s="710" t="s">
        <v>17</v>
      </c>
      <c r="W14" s="711">
        <f t="shared" si="2"/>
        <v>100</v>
      </c>
      <c r="X14" s="712"/>
      <c r="Y14" s="3399"/>
      <c r="Z14" s="55">
        <f t="shared" si="7"/>
        <v>111</v>
      </c>
      <c r="AA14" s="713">
        <f>D14/F14</f>
        <v>1</v>
      </c>
      <c r="AB14" s="713">
        <f>D14/H14</f>
        <v>1</v>
      </c>
      <c r="AC14" s="713">
        <f>D14/J14</f>
        <v>1</v>
      </c>
    </row>
    <row r="15" spans="1:30" ht="15">
      <c r="A15" s="399" t="s">
        <v>2380</v>
      </c>
      <c r="B15" s="65" t="s">
        <v>1943</v>
      </c>
      <c r="C15" s="208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6"/>
      <c r="M15" s="2940"/>
      <c r="N15" s="2940"/>
      <c r="O15" s="2998"/>
      <c r="P15" s="3462" t="s">
        <v>2381</v>
      </c>
      <c r="Q15" s="1537" t="str">
        <f t="shared" si="6"/>
        <v>居住社区成熟度</v>
      </c>
      <c r="R15" s="714" t="s">
        <v>17</v>
      </c>
      <c r="S15" s="715">
        <f t="shared" si="0"/>
        <v>100</v>
      </c>
      <c r="T15" s="714" t="s">
        <v>17</v>
      </c>
      <c r="U15" s="715">
        <f t="shared" si="1"/>
        <v>100</v>
      </c>
      <c r="V15" s="714" t="s">
        <v>17</v>
      </c>
      <c r="W15" s="715">
        <f t="shared" si="2"/>
        <v>100</v>
      </c>
      <c r="X15" s="1540"/>
      <c r="Y15" s="3462" t="s">
        <v>2381</v>
      </c>
      <c r="Z15" s="1541" t="str">
        <f t="shared" si="7"/>
        <v>居住社区成熟度</v>
      </c>
      <c r="AA15" s="1538">
        <f t="shared" si="3"/>
        <v>1</v>
      </c>
      <c r="AB15" s="1538">
        <f t="shared" si="4"/>
        <v>1</v>
      </c>
      <c r="AC15" s="1538">
        <f t="shared" si="5"/>
        <v>1</v>
      </c>
    </row>
    <row r="16" spans="1:30" ht="15">
      <c r="A16" s="387"/>
      <c r="B16" s="405"/>
      <c r="C16" s="406"/>
      <c r="D16" s="407"/>
      <c r="E16" s="2084"/>
      <c r="F16" s="407"/>
      <c r="G16" s="2084"/>
      <c r="H16" s="409"/>
      <c r="I16" s="2083"/>
      <c r="J16" s="407"/>
      <c r="K16" s="628"/>
      <c r="L16" s="2946"/>
      <c r="M16" s="2940"/>
      <c r="N16" s="2940"/>
      <c r="O16" s="2998"/>
      <c r="P16" s="3463"/>
      <c r="Q16" s="1537"/>
      <c r="R16" s="714"/>
      <c r="S16" s="715"/>
      <c r="T16" s="714"/>
      <c r="U16" s="715"/>
      <c r="V16" s="714"/>
      <c r="W16" s="715"/>
      <c r="X16" s="1540"/>
      <c r="Y16" s="3463"/>
      <c r="Z16" s="1541"/>
      <c r="AA16" s="1538">
        <v>1</v>
      </c>
      <c r="AB16" s="1538">
        <v>1</v>
      </c>
      <c r="AC16" s="1538">
        <v>1</v>
      </c>
    </row>
    <row r="17" spans="1:29" ht="15">
      <c r="A17" s="387"/>
      <c r="B17" s="410" t="s">
        <v>2474</v>
      </c>
      <c r="C17" s="2141" t="str">
        <f>估价对象房地状况!C16</f>
        <v>一般</v>
      </c>
      <c r="D17" s="409">
        <v>100</v>
      </c>
      <c r="E17" s="411"/>
      <c r="F17" s="409">
        <f>SUMIF(90:90,E18,91:91)-SUMIF(90:90,C18,91:91)+100</f>
        <v>100</v>
      </c>
      <c r="G17" s="411"/>
      <c r="H17" s="414">
        <f>SUMIF(90:90,G18,91:91)-SUMIF(90:90,C18,91:91)+100</f>
        <v>100</v>
      </c>
      <c r="I17" s="413"/>
      <c r="J17" s="414">
        <f>SUMIF(90:90,I18,91:91)-SUMIF(90:90,C18,91:91)+100</f>
        <v>100</v>
      </c>
      <c r="K17" s="629">
        <v>2</v>
      </c>
      <c r="L17" s="2946"/>
      <c r="M17" s="2940"/>
      <c r="N17" s="2940"/>
      <c r="O17" s="2998"/>
      <c r="P17" s="3463"/>
      <c r="Q17" s="1537" t="str">
        <f>B17</f>
        <v>商业繁华度</v>
      </c>
      <c r="R17" s="714" t="s">
        <v>17</v>
      </c>
      <c r="S17" s="715">
        <f>F17</f>
        <v>100</v>
      </c>
      <c r="T17" s="714" t="s">
        <v>17</v>
      </c>
      <c r="U17" s="715">
        <f>H17</f>
        <v>100</v>
      </c>
      <c r="V17" s="714" t="s">
        <v>17</v>
      </c>
      <c r="W17" s="715">
        <f>J17</f>
        <v>100</v>
      </c>
      <c r="X17" s="1540"/>
      <c r="Y17" s="3463"/>
      <c r="Z17" s="1541" t="str">
        <f>Q17</f>
        <v>商业繁华度</v>
      </c>
      <c r="AA17" s="1538">
        <f t="shared" si="3"/>
        <v>1</v>
      </c>
      <c r="AB17" s="1538">
        <f t="shared" si="4"/>
        <v>1</v>
      </c>
      <c r="AC17" s="1538">
        <f t="shared" si="5"/>
        <v>1</v>
      </c>
    </row>
    <row r="18" spans="1:29" ht="15">
      <c r="A18" s="387"/>
      <c r="B18" s="415"/>
      <c r="C18" s="2087" t="s">
        <v>3073</v>
      </c>
      <c r="D18" s="409"/>
      <c r="E18" s="2087" t="s">
        <v>3073</v>
      </c>
      <c r="F18" s="409"/>
      <c r="G18" s="2087" t="s">
        <v>3073</v>
      </c>
      <c r="H18" s="407"/>
      <c r="I18" s="2087" t="s">
        <v>3073</v>
      </c>
      <c r="J18" s="407"/>
      <c r="K18" s="628"/>
      <c r="L18" s="2946"/>
      <c r="M18" s="2940"/>
      <c r="N18" s="2940"/>
      <c r="O18" s="2998"/>
      <c r="P18" s="3463"/>
      <c r="Q18" s="1537"/>
      <c r="R18" s="714"/>
      <c r="S18" s="715"/>
      <c r="T18" s="714"/>
      <c r="U18" s="715"/>
      <c r="V18" s="714"/>
      <c r="W18" s="715"/>
      <c r="X18" s="1540"/>
      <c r="Y18" s="3463"/>
      <c r="Z18" s="1541"/>
      <c r="AA18" s="1538">
        <v>1</v>
      </c>
      <c r="AB18" s="1538">
        <v>1</v>
      </c>
      <c r="AC18" s="1538">
        <v>1</v>
      </c>
    </row>
    <row r="19" spans="1:29" ht="15" hidden="1">
      <c r="A19" s="387"/>
      <c r="B19" s="410" t="s">
        <v>2508</v>
      </c>
      <c r="C19" s="214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v>2</v>
      </c>
      <c r="L19" s="2946"/>
      <c r="M19" s="2940"/>
      <c r="N19" s="2940"/>
      <c r="O19" s="2998"/>
      <c r="P19" s="3463"/>
      <c r="Q19" s="1537" t="str">
        <f>B19</f>
        <v>办公集聚程度</v>
      </c>
      <c r="R19" s="714" t="s">
        <v>17</v>
      </c>
      <c r="S19" s="715">
        <f>F19</f>
        <v>100</v>
      </c>
      <c r="T19" s="714" t="s">
        <v>17</v>
      </c>
      <c r="U19" s="715">
        <f>H19</f>
        <v>100</v>
      </c>
      <c r="V19" s="714" t="s">
        <v>17</v>
      </c>
      <c r="W19" s="715">
        <f>J19</f>
        <v>100</v>
      </c>
      <c r="X19" s="1540"/>
      <c r="Y19" s="3463"/>
      <c r="Z19" s="1541" t="str">
        <f>Q19</f>
        <v>办公集聚程度</v>
      </c>
      <c r="AA19" s="1538">
        <f t="shared" si="3"/>
        <v>1</v>
      </c>
      <c r="AB19" s="1538">
        <f t="shared" si="4"/>
        <v>1</v>
      </c>
      <c r="AC19" s="1538">
        <f t="shared" si="5"/>
        <v>1</v>
      </c>
    </row>
    <row r="20" spans="1:29" ht="15" hidden="1">
      <c r="A20" s="387"/>
      <c r="B20" s="415"/>
      <c r="C20" s="406"/>
      <c r="D20" s="407"/>
      <c r="E20" s="2084"/>
      <c r="F20" s="407"/>
      <c r="G20" s="2084"/>
      <c r="H20" s="407"/>
      <c r="I20" s="2083"/>
      <c r="J20" s="407"/>
      <c r="K20" s="628"/>
      <c r="L20" s="2946"/>
      <c r="M20" s="2940"/>
      <c r="N20" s="2940"/>
      <c r="O20" s="2998"/>
      <c r="P20" s="3463"/>
      <c r="Q20" s="1537"/>
      <c r="R20" s="714"/>
      <c r="S20" s="715"/>
      <c r="T20" s="714"/>
      <c r="U20" s="715"/>
      <c r="V20" s="714"/>
      <c r="W20" s="715"/>
      <c r="X20" s="1540"/>
      <c r="Y20" s="3463"/>
      <c r="Z20" s="1541"/>
      <c r="AA20" s="1538">
        <v>1</v>
      </c>
      <c r="AB20" s="1538">
        <v>1</v>
      </c>
      <c r="AC20" s="1538">
        <v>1</v>
      </c>
    </row>
    <row r="21" spans="1:29" ht="15">
      <c r="A21" s="387"/>
      <c r="B21" s="410" t="s">
        <v>2530</v>
      </c>
      <c r="C21" s="2086" t="str">
        <f>估价对象房地状况!C18</f>
        <v>较好</v>
      </c>
      <c r="D21" s="409">
        <v>100</v>
      </c>
      <c r="E21" s="411"/>
      <c r="F21" s="414">
        <f>SUMIF(94:94,E22,95:95)-SUMIF(94:94,C22,95:95)+100</f>
        <v>98</v>
      </c>
      <c r="G21" s="411"/>
      <c r="H21" s="409">
        <f>SUMIF(94:94,G22,95:95)-SUMIF(94:94,C22,95:95)+100</f>
        <v>98</v>
      </c>
      <c r="I21" s="413"/>
      <c r="J21" s="409">
        <f>SUMIF(94:94,I22,95:95)-SUMIF(94:94,C22,95:95)+100</f>
        <v>98</v>
      </c>
      <c r="K21" s="629">
        <v>2</v>
      </c>
      <c r="L21" s="2946"/>
      <c r="M21" s="2940"/>
      <c r="N21" s="2940"/>
      <c r="O21" s="2998"/>
      <c r="P21" s="3463"/>
      <c r="Q21" s="1537" t="str">
        <f>B21</f>
        <v>交通便捷度</v>
      </c>
      <c r="R21" s="714" t="s">
        <v>17</v>
      </c>
      <c r="S21" s="715">
        <f>F21</f>
        <v>98</v>
      </c>
      <c r="T21" s="714" t="s">
        <v>17</v>
      </c>
      <c r="U21" s="715">
        <f>H21</f>
        <v>98</v>
      </c>
      <c r="V21" s="714" t="s">
        <v>17</v>
      </c>
      <c r="W21" s="715">
        <f>J21</f>
        <v>98</v>
      </c>
      <c r="X21" s="1540"/>
      <c r="Y21" s="3463"/>
      <c r="Z21" s="1541" t="str">
        <f>Q21</f>
        <v>交通便捷度</v>
      </c>
      <c r="AA21" s="1538">
        <f t="shared" si="3"/>
        <v>1.0204081632653061</v>
      </c>
      <c r="AB21" s="1538">
        <f t="shared" si="4"/>
        <v>1.0204081632653061</v>
      </c>
      <c r="AC21" s="1538">
        <f t="shared" si="5"/>
        <v>1.0204081632653061</v>
      </c>
    </row>
    <row r="22" spans="1:29" ht="15">
      <c r="A22" s="387"/>
      <c r="B22" s="1293"/>
      <c r="C22" s="406" t="s">
        <v>3075</v>
      </c>
      <c r="D22" s="409"/>
      <c r="E22" s="406" t="s">
        <v>3073</v>
      </c>
      <c r="F22" s="407"/>
      <c r="G22" s="406" t="s">
        <v>3073</v>
      </c>
      <c r="H22" s="407"/>
      <c r="I22" s="406" t="s">
        <v>3073</v>
      </c>
      <c r="J22" s="407"/>
      <c r="K22" s="628"/>
      <c r="L22" s="2946"/>
      <c r="M22" s="2940"/>
      <c r="N22" s="2940"/>
      <c r="O22" s="2998"/>
      <c r="P22" s="3463"/>
      <c r="Q22" s="1537"/>
      <c r="R22" s="714"/>
      <c r="S22" s="715"/>
      <c r="T22" s="714"/>
      <c r="U22" s="715"/>
      <c r="V22" s="714"/>
      <c r="W22" s="715"/>
      <c r="X22" s="1540"/>
      <c r="Y22" s="3463"/>
      <c r="Z22" s="1541"/>
      <c r="AA22" s="1538">
        <v>1</v>
      </c>
      <c r="AB22" s="1538">
        <v>1</v>
      </c>
      <c r="AC22" s="1538">
        <v>1</v>
      </c>
    </row>
    <row r="23" spans="1:29" ht="15" hidden="1">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6"/>
      <c r="M23" s="2940"/>
      <c r="N23" s="2940"/>
      <c r="O23" s="2998"/>
      <c r="P23" s="3463"/>
      <c r="Q23" s="1537" t="str">
        <f t="shared" ref="Q23:Q37" si="8">B23</f>
        <v>区域土地利用方向</v>
      </c>
      <c r="R23" s="714" t="s">
        <v>17</v>
      </c>
      <c r="S23" s="715">
        <f>F23</f>
        <v>100</v>
      </c>
      <c r="T23" s="714" t="s">
        <v>17</v>
      </c>
      <c r="U23" s="715">
        <f>H23</f>
        <v>100</v>
      </c>
      <c r="V23" s="714" t="s">
        <v>17</v>
      </c>
      <c r="W23" s="715">
        <f>J23</f>
        <v>100</v>
      </c>
      <c r="X23" s="1540"/>
      <c r="Y23" s="3463"/>
      <c r="Z23" s="1541" t="str">
        <f>Q23</f>
        <v>区域土地利用方向</v>
      </c>
      <c r="AA23" s="1538">
        <f t="shared" si="3"/>
        <v>1</v>
      </c>
      <c r="AB23" s="1538">
        <f t="shared" si="4"/>
        <v>1</v>
      </c>
      <c r="AC23" s="1538">
        <f t="shared" si="5"/>
        <v>1</v>
      </c>
    </row>
    <row r="24" spans="1:29" ht="15" hidden="1">
      <c r="A24" s="364"/>
      <c r="B24" s="415"/>
      <c r="C24" s="573"/>
      <c r="D24" s="407"/>
      <c r="E24" s="2084"/>
      <c r="F24" s="407"/>
      <c r="G24" s="2083"/>
      <c r="H24" s="407"/>
      <c r="I24" s="2083"/>
      <c r="J24" s="407"/>
      <c r="K24" s="751"/>
      <c r="L24" s="2946"/>
      <c r="M24" s="2940"/>
      <c r="N24" s="2940"/>
      <c r="O24" s="2998"/>
      <c r="P24" s="3463"/>
      <c r="Q24" s="1537"/>
      <c r="R24" s="714"/>
      <c r="S24" s="715"/>
      <c r="T24" s="714"/>
      <c r="U24" s="715"/>
      <c r="V24" s="714"/>
      <c r="W24" s="715"/>
      <c r="X24" s="1540"/>
      <c r="Y24" s="3463"/>
      <c r="Z24" s="1541"/>
      <c r="AA24" s="1538"/>
      <c r="AB24" s="1538"/>
      <c r="AC24" s="1538"/>
    </row>
    <row r="25" spans="1:29" ht="27">
      <c r="A25" s="364"/>
      <c r="B25" s="1293" t="s">
        <v>2570</v>
      </c>
      <c r="C25" s="2141" t="str">
        <f>估价对象房地状况!C20</f>
        <v>较好</v>
      </c>
      <c r="D25" s="409">
        <v>100</v>
      </c>
      <c r="E25" s="411"/>
      <c r="F25" s="409">
        <f>SUMIF(98:98,E26,99:99)-SUMIF(98:98,C26,99:99)+100</f>
        <v>98</v>
      </c>
      <c r="G25" s="411"/>
      <c r="H25" s="409">
        <f>SUMIF(98:98,G26,99:99)-SUMIF(98:98,C26,99:99)+100</f>
        <v>98</v>
      </c>
      <c r="I25" s="413"/>
      <c r="J25" s="409">
        <f>SUMIF(98:98,I26,99:99)-SUMIF(98:98,C26,99:99)+100</f>
        <v>98</v>
      </c>
      <c r="K25" s="629">
        <v>2</v>
      </c>
      <c r="L25" s="2946"/>
      <c r="M25" s="2940"/>
      <c r="N25" s="2940"/>
      <c r="O25" s="2998"/>
      <c r="P25" s="3463"/>
      <c r="Q25" s="1537" t="str">
        <f t="shared" si="8"/>
        <v>自然及人文环境状况</v>
      </c>
      <c r="R25" s="714" t="s">
        <v>17</v>
      </c>
      <c r="S25" s="715">
        <f>F25</f>
        <v>98</v>
      </c>
      <c r="T25" s="714" t="s">
        <v>17</v>
      </c>
      <c r="U25" s="715">
        <f>H25</f>
        <v>98</v>
      </c>
      <c r="V25" s="714" t="s">
        <v>17</v>
      </c>
      <c r="W25" s="715">
        <f>J25</f>
        <v>98</v>
      </c>
      <c r="X25" s="1540"/>
      <c r="Y25" s="3463"/>
      <c r="Z25" s="1541" t="str">
        <f>Q25</f>
        <v>自然及人文环境状况</v>
      </c>
      <c r="AA25" s="1538">
        <f t="shared" si="3"/>
        <v>1.0204081632653061</v>
      </c>
      <c r="AB25" s="1538">
        <f t="shared" si="4"/>
        <v>1.0204081632653061</v>
      </c>
      <c r="AC25" s="1538">
        <f t="shared" si="5"/>
        <v>1.0204081632653061</v>
      </c>
    </row>
    <row r="26" spans="1:29" ht="15">
      <c r="A26" s="364"/>
      <c r="B26" s="415"/>
      <c r="C26" s="2164" t="s">
        <v>3075</v>
      </c>
      <c r="D26" s="407"/>
      <c r="E26" s="2164" t="s">
        <v>3073</v>
      </c>
      <c r="F26" s="407"/>
      <c r="G26" s="2164" t="s">
        <v>3073</v>
      </c>
      <c r="H26" s="407"/>
      <c r="I26" s="2164" t="s">
        <v>3073</v>
      </c>
      <c r="J26" s="407"/>
      <c r="K26" s="628"/>
      <c r="L26" s="2946"/>
      <c r="M26" s="2940"/>
      <c r="N26" s="2940"/>
      <c r="O26" s="2998"/>
      <c r="P26" s="3463"/>
      <c r="Q26" s="1537"/>
      <c r="R26" s="714"/>
      <c r="S26" s="715"/>
      <c r="T26" s="714"/>
      <c r="U26" s="715"/>
      <c r="V26" s="714"/>
      <c r="W26" s="715"/>
      <c r="X26" s="1540"/>
      <c r="Y26" s="3463"/>
      <c r="Z26" s="1541"/>
      <c r="AA26" s="1538">
        <v>1</v>
      </c>
      <c r="AB26" s="1538">
        <v>1</v>
      </c>
      <c r="AC26" s="1538">
        <v>1</v>
      </c>
    </row>
    <row r="27" spans="1:29" s="113" customFormat="1" ht="15">
      <c r="A27" s="605"/>
      <c r="B27" s="1293" t="s">
        <v>2475</v>
      </c>
      <c r="C27" s="2086" t="str">
        <f>估价对象房地状况!C21</f>
        <v>较好</v>
      </c>
      <c r="D27" s="409">
        <v>100</v>
      </c>
      <c r="E27" s="411"/>
      <c r="F27" s="409">
        <f>SUMIF(100:100,E28,101:101)-SUMIF(100:100,C28,101:101)+100</f>
        <v>98</v>
      </c>
      <c r="G27" s="411"/>
      <c r="H27" s="409">
        <f>SUMIF(100:100,G28,101:101)-SUMIF(100:100,C28,101:101)+100</f>
        <v>98</v>
      </c>
      <c r="I27" s="413"/>
      <c r="J27" s="409">
        <f>SUMIF(100:100,I28,101:101)-SUMIF(100:100,C28,101:101)+100</f>
        <v>98</v>
      </c>
      <c r="K27" s="629">
        <v>2</v>
      </c>
      <c r="L27" s="2941"/>
      <c r="M27" s="2942"/>
      <c r="N27" s="2942"/>
      <c r="O27" s="2996"/>
      <c r="P27" s="3463"/>
      <c r="Q27" s="1528" t="str">
        <f t="shared" si="8"/>
        <v>公共配套设施</v>
      </c>
      <c r="R27" s="710" t="s">
        <v>17</v>
      </c>
      <c r="S27" s="711">
        <f>F27</f>
        <v>98</v>
      </c>
      <c r="T27" s="710" t="s">
        <v>17</v>
      </c>
      <c r="U27" s="711">
        <f>H27</f>
        <v>98</v>
      </c>
      <c r="V27" s="710" t="s">
        <v>17</v>
      </c>
      <c r="W27" s="711">
        <f>J27</f>
        <v>98</v>
      </c>
      <c r="X27" s="712"/>
      <c r="Y27" s="3463"/>
      <c r="Z27" s="55" t="str">
        <f>Q27</f>
        <v>公共配套设施</v>
      </c>
      <c r="AA27" s="1538">
        <f>D27/F27</f>
        <v>1.0204081632653061</v>
      </c>
      <c r="AB27" s="1538">
        <f>D27/H27</f>
        <v>1.0204081632653061</v>
      </c>
      <c r="AC27" s="1538">
        <f>D27/J27</f>
        <v>1.0204081632653061</v>
      </c>
    </row>
    <row r="28" spans="1:29" s="113" customFormat="1" ht="15">
      <c r="A28" s="605"/>
      <c r="B28" s="415"/>
      <c r="C28" s="2164" t="s">
        <v>3075</v>
      </c>
      <c r="D28" s="407"/>
      <c r="E28" s="2164" t="s">
        <v>3073</v>
      </c>
      <c r="F28" s="407"/>
      <c r="G28" s="2164" t="s">
        <v>3073</v>
      </c>
      <c r="H28" s="407"/>
      <c r="I28" s="2164" t="s">
        <v>3073</v>
      </c>
      <c r="J28" s="407"/>
      <c r="K28" s="628"/>
      <c r="L28" s="2941"/>
      <c r="M28" s="2942"/>
      <c r="N28" s="2942"/>
      <c r="O28" s="2996"/>
      <c r="P28" s="3463"/>
      <c r="Q28" s="1528"/>
      <c r="R28" s="710"/>
      <c r="S28" s="711"/>
      <c r="T28" s="710"/>
      <c r="U28" s="711"/>
      <c r="V28" s="710"/>
      <c r="W28" s="711"/>
      <c r="X28" s="712"/>
      <c r="Y28" s="3463"/>
      <c r="Z28" s="55"/>
      <c r="AA28" s="1538">
        <v>1</v>
      </c>
      <c r="AB28" s="1538">
        <v>1</v>
      </c>
      <c r="AC28" s="1538">
        <v>1</v>
      </c>
    </row>
    <row r="29" spans="1:29" s="113" customFormat="1" ht="15">
      <c r="A29" s="605"/>
      <c r="B29" s="1293" t="s">
        <v>2476</v>
      </c>
      <c r="C29" s="2086" t="str">
        <f>估价对象房地状况!C22</f>
        <v>六通</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1"/>
      <c r="M29" s="2942"/>
      <c r="N29" s="2942"/>
      <c r="O29" s="2996"/>
      <c r="P29" s="3463"/>
      <c r="Q29" s="1528" t="str">
        <f t="shared" ref="Q29" si="9">B29</f>
        <v>基础设施水平</v>
      </c>
      <c r="R29" s="710" t="s">
        <v>17</v>
      </c>
      <c r="S29" s="711">
        <f>F29</f>
        <v>100</v>
      </c>
      <c r="T29" s="710" t="s">
        <v>17</v>
      </c>
      <c r="U29" s="711">
        <f>H29</f>
        <v>100</v>
      </c>
      <c r="V29" s="710" t="s">
        <v>17</v>
      </c>
      <c r="W29" s="711">
        <f>J29</f>
        <v>100</v>
      </c>
      <c r="X29" s="712"/>
      <c r="Y29" s="3463"/>
      <c r="Z29" s="55" t="str">
        <f>Q29</f>
        <v>基础设施水平</v>
      </c>
      <c r="AA29" s="1538">
        <f>D29/F29</f>
        <v>1</v>
      </c>
      <c r="AB29" s="1538">
        <f>D29/H29</f>
        <v>1</v>
      </c>
      <c r="AC29" s="1538">
        <f>D29/J29</f>
        <v>1</v>
      </c>
    </row>
    <row r="30" spans="1:29" s="113" customFormat="1" ht="15.75" thickBot="1">
      <c r="A30" s="605"/>
      <c r="B30" s="415"/>
      <c r="C30" s="2164" t="s">
        <v>3077</v>
      </c>
      <c r="D30" s="407"/>
      <c r="E30" s="2164" t="s">
        <v>3077</v>
      </c>
      <c r="F30" s="407"/>
      <c r="G30" s="2164" t="s">
        <v>3077</v>
      </c>
      <c r="H30" s="407"/>
      <c r="I30" s="2164" t="s">
        <v>3077</v>
      </c>
      <c r="J30" s="407"/>
      <c r="K30" s="628"/>
      <c r="L30" s="2941"/>
      <c r="M30" s="2942"/>
      <c r="N30" s="2942"/>
      <c r="O30" s="2996"/>
      <c r="P30" s="3463"/>
      <c r="Q30" s="1528"/>
      <c r="R30" s="710"/>
      <c r="S30" s="711"/>
      <c r="T30" s="710"/>
      <c r="U30" s="711"/>
      <c r="V30" s="710"/>
      <c r="W30" s="711"/>
      <c r="X30" s="712"/>
      <c r="Y30" s="3463"/>
      <c r="Z30" s="55"/>
      <c r="AA30" s="1538">
        <v>1</v>
      </c>
      <c r="AB30" s="1538">
        <v>1</v>
      </c>
      <c r="AC30" s="1538">
        <v>1</v>
      </c>
    </row>
    <row r="31" spans="1:29" ht="15" hidden="1">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v>2</v>
      </c>
      <c r="L31" s="2946"/>
      <c r="M31" s="2940"/>
      <c r="N31" s="2940"/>
      <c r="O31" s="2998"/>
      <c r="P31" s="3463"/>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463"/>
      <c r="Z31" s="1541" t="str">
        <f t="shared" ref="Z31:Z45" si="13">Q31</f>
        <v>临街状况</v>
      </c>
      <c r="AA31" s="1538">
        <f t="shared" si="3"/>
        <v>1</v>
      </c>
      <c r="AB31" s="1538">
        <f t="shared" si="4"/>
        <v>1</v>
      </c>
      <c r="AC31" s="1538">
        <f t="shared" si="5"/>
        <v>1</v>
      </c>
    </row>
    <row r="32" spans="1:29" ht="27" hidden="1">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v>2</v>
      </c>
      <c r="L32" s="2946"/>
      <c r="M32" s="2940"/>
      <c r="N32" s="2940"/>
      <c r="O32" s="2998"/>
      <c r="P32" s="3463"/>
      <c r="Q32" s="1537" t="str">
        <f t="shared" si="8"/>
        <v>毗邻道路的类型与等级</v>
      </c>
      <c r="R32" s="714" t="s">
        <v>17</v>
      </c>
      <c r="S32" s="715">
        <f t="shared" si="10"/>
        <v>100</v>
      </c>
      <c r="T32" s="714" t="s">
        <v>17</v>
      </c>
      <c r="U32" s="715">
        <f t="shared" si="11"/>
        <v>100</v>
      </c>
      <c r="V32" s="714" t="s">
        <v>17</v>
      </c>
      <c r="W32" s="715">
        <f t="shared" si="12"/>
        <v>100</v>
      </c>
      <c r="X32" s="1540"/>
      <c r="Y32" s="3463"/>
      <c r="Z32" s="1541" t="str">
        <f t="shared" si="13"/>
        <v>毗邻道路的类型与等级</v>
      </c>
      <c r="AA32" s="1538">
        <f t="shared" si="3"/>
        <v>1</v>
      </c>
      <c r="AB32" s="1538">
        <f t="shared" si="4"/>
        <v>1</v>
      </c>
      <c r="AC32" s="1538">
        <f t="shared" si="5"/>
        <v>1</v>
      </c>
    </row>
    <row r="33" spans="1:29" ht="15" hidden="1">
      <c r="A33" s="387"/>
      <c r="B33" s="415"/>
      <c r="C33" s="406"/>
      <c r="D33" s="407"/>
      <c r="E33" s="2090"/>
      <c r="F33" s="407"/>
      <c r="G33" s="2090"/>
      <c r="H33" s="407"/>
      <c r="I33" s="406"/>
      <c r="J33" s="407"/>
      <c r="K33" s="570"/>
      <c r="L33" s="2946"/>
      <c r="M33" s="2940"/>
      <c r="N33" s="2940"/>
      <c r="O33" s="2998"/>
      <c r="P33" s="3463"/>
      <c r="Q33" s="1537"/>
      <c r="R33" s="714"/>
      <c r="S33" s="715"/>
      <c r="T33" s="714"/>
      <c r="U33" s="715"/>
      <c r="V33" s="714"/>
      <c r="W33" s="715"/>
      <c r="X33" s="1540"/>
      <c r="Y33" s="3463"/>
      <c r="Z33" s="1541"/>
      <c r="AA33" s="1538">
        <v>1</v>
      </c>
      <c r="AB33" s="1538">
        <v>1</v>
      </c>
      <c r="AC33" s="1538">
        <v>1</v>
      </c>
    </row>
    <row r="34" spans="1:29" ht="15" hidden="1">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v>2</v>
      </c>
      <c r="L34" s="2946"/>
      <c r="M34" s="2940"/>
      <c r="N34" s="2940"/>
      <c r="O34" s="2998"/>
      <c r="P34" s="3463"/>
      <c r="Q34" s="1537" t="str">
        <f t="shared" si="8"/>
        <v>土地级别</v>
      </c>
      <c r="R34" s="714" t="s">
        <v>17</v>
      </c>
      <c r="S34" s="715">
        <f t="shared" si="10"/>
        <v>100</v>
      </c>
      <c r="T34" s="714" t="s">
        <v>17</v>
      </c>
      <c r="U34" s="715">
        <f t="shared" si="11"/>
        <v>100</v>
      </c>
      <c r="V34" s="714" t="s">
        <v>17</v>
      </c>
      <c r="W34" s="715">
        <f t="shared" si="12"/>
        <v>100</v>
      </c>
      <c r="X34" s="1540"/>
      <c r="Y34" s="3463"/>
      <c r="Z34" s="1541" t="str">
        <f t="shared" si="13"/>
        <v>土地级别</v>
      </c>
      <c r="AA34" s="1538">
        <f t="shared" si="3"/>
        <v>1</v>
      </c>
      <c r="AB34" s="1538">
        <f t="shared" si="4"/>
        <v>1</v>
      </c>
      <c r="AC34" s="1538">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6"/>
      <c r="M35" s="2940"/>
      <c r="N35" s="2940"/>
      <c r="O35" s="2998"/>
      <c r="P35" s="3463"/>
      <c r="Q35" s="1537">
        <f t="shared" si="8"/>
        <v>111</v>
      </c>
      <c r="R35" s="714" t="s">
        <v>17</v>
      </c>
      <c r="S35" s="715">
        <f t="shared" si="10"/>
        <v>100</v>
      </c>
      <c r="T35" s="714" t="s">
        <v>17</v>
      </c>
      <c r="U35" s="715">
        <f t="shared" si="11"/>
        <v>100</v>
      </c>
      <c r="V35" s="714" t="s">
        <v>17</v>
      </c>
      <c r="W35" s="715">
        <f t="shared" si="12"/>
        <v>100</v>
      </c>
      <c r="X35" s="1540"/>
      <c r="Y35" s="3463"/>
      <c r="Z35" s="1541">
        <f t="shared" si="13"/>
        <v>111</v>
      </c>
      <c r="AA35" s="1538">
        <f t="shared" si="3"/>
        <v>1</v>
      </c>
      <c r="AB35" s="1538">
        <f t="shared" si="4"/>
        <v>1</v>
      </c>
      <c r="AC35" s="1538">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6"/>
      <c r="M36" s="2940"/>
      <c r="N36" s="2940"/>
      <c r="O36" s="2998"/>
      <c r="P36" s="3464" t="s">
        <v>2386</v>
      </c>
      <c r="Q36" s="1537">
        <f t="shared" si="8"/>
        <v>111</v>
      </c>
      <c r="R36" s="714" t="s">
        <v>17</v>
      </c>
      <c r="S36" s="715">
        <f t="shared" si="10"/>
        <v>100</v>
      </c>
      <c r="T36" s="714" t="s">
        <v>17</v>
      </c>
      <c r="U36" s="715">
        <f t="shared" si="11"/>
        <v>100</v>
      </c>
      <c r="V36" s="714" t="s">
        <v>17</v>
      </c>
      <c r="W36" s="715">
        <f t="shared" si="12"/>
        <v>100</v>
      </c>
      <c r="X36" s="1540"/>
      <c r="Y36" s="3465" t="s">
        <v>2386</v>
      </c>
      <c r="Z36" s="1541">
        <f t="shared" si="13"/>
        <v>111</v>
      </c>
      <c r="AA36" s="1538">
        <f t="shared" si="3"/>
        <v>1</v>
      </c>
      <c r="AB36" s="1538">
        <f t="shared" si="4"/>
        <v>1</v>
      </c>
      <c r="AC36" s="1538">
        <f t="shared" si="5"/>
        <v>1</v>
      </c>
    </row>
    <row r="37" spans="1:29" s="430" customFormat="1" ht="15.75"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5"/>
      <c r="M37" s="2947"/>
      <c r="N37" s="2947"/>
      <c r="O37" s="2999"/>
      <c r="P37" s="3465"/>
      <c r="Q37" s="1537">
        <f t="shared" si="8"/>
        <v>111</v>
      </c>
      <c r="R37" s="717" t="s">
        <v>17</v>
      </c>
      <c r="S37" s="718">
        <f t="shared" si="10"/>
        <v>100</v>
      </c>
      <c r="T37" s="717" t="s">
        <v>17</v>
      </c>
      <c r="U37" s="718">
        <f t="shared" si="11"/>
        <v>100</v>
      </c>
      <c r="V37" s="717" t="s">
        <v>17</v>
      </c>
      <c r="W37" s="718">
        <f t="shared" si="12"/>
        <v>100</v>
      </c>
      <c r="X37" s="719"/>
      <c r="Y37" s="3465"/>
      <c r="Z37" s="720">
        <f t="shared" si="13"/>
        <v>111</v>
      </c>
      <c r="AA37" s="1538">
        <f t="shared" si="3"/>
        <v>1</v>
      </c>
      <c r="AB37" s="1538">
        <f t="shared" si="4"/>
        <v>1</v>
      </c>
      <c r="AC37" s="1538">
        <f t="shared" si="5"/>
        <v>1</v>
      </c>
    </row>
    <row r="38" spans="1:29" ht="15">
      <c r="A38" s="431" t="s">
        <v>2384</v>
      </c>
      <c r="B38" s="415" t="s">
        <v>2572</v>
      </c>
      <c r="C38" s="3203">
        <v>32739</v>
      </c>
      <c r="D38" s="426">
        <v>100</v>
      </c>
      <c r="E38" s="635">
        <f>土地案例!D6</f>
        <v>9564</v>
      </c>
      <c r="F38" s="426">
        <f>LOOKUP(E38,117:117,118:118)-LOOKUP(C38,117:117,118:118)+100</f>
        <v>98</v>
      </c>
      <c r="G38" s="635">
        <f>土地案例!D10</f>
        <v>36292</v>
      </c>
      <c r="H38" s="426">
        <f>LOOKUP(G38,117:117,118:118)-LOOKUP(C38,117:117,118:118)+100</f>
        <v>100</v>
      </c>
      <c r="I38" s="487">
        <f>土地案例!D11</f>
        <v>43018</v>
      </c>
      <c r="J38" s="426">
        <f>LOOKUP(I38,117:117,118:118)-LOOKUP(C38,117:117,118:118)+100</f>
        <v>102</v>
      </c>
      <c r="K38" s="570"/>
      <c r="L38" s="2946"/>
      <c r="M38" s="2940"/>
      <c r="N38" s="2940"/>
      <c r="O38" s="2998"/>
      <c r="P38" s="3465"/>
      <c r="Q38" s="1537" t="str">
        <f>B38</f>
        <v>宗地面积</v>
      </c>
      <c r="R38" s="714" t="s">
        <v>17</v>
      </c>
      <c r="S38" s="715">
        <f t="shared" si="10"/>
        <v>98</v>
      </c>
      <c r="T38" s="714" t="s">
        <v>17</v>
      </c>
      <c r="U38" s="715">
        <f t="shared" si="11"/>
        <v>100</v>
      </c>
      <c r="V38" s="714" t="s">
        <v>17</v>
      </c>
      <c r="W38" s="715">
        <f t="shared" si="12"/>
        <v>102</v>
      </c>
      <c r="X38" s="1540"/>
      <c r="Y38" s="3465"/>
      <c r="Z38" s="1541" t="str">
        <f t="shared" si="13"/>
        <v>宗地面积</v>
      </c>
      <c r="AA38" s="1538">
        <f t="shared" si="3"/>
        <v>1.0204081632653061</v>
      </c>
      <c r="AB38" s="1538">
        <f t="shared" si="4"/>
        <v>1</v>
      </c>
      <c r="AC38" s="1538">
        <f t="shared" si="5"/>
        <v>0.98039215686274506</v>
      </c>
    </row>
    <row r="39" spans="1:29" ht="15">
      <c r="A39" s="431"/>
      <c r="B39" s="381" t="s">
        <v>2573</v>
      </c>
      <c r="C39" s="2092" t="s">
        <v>3534</v>
      </c>
      <c r="D39" s="394">
        <v>100</v>
      </c>
      <c r="E39" s="2092" t="s">
        <v>3534</v>
      </c>
      <c r="F39" s="394">
        <f>SUMIF(119:119,E39,120:120)-SUMIF(119:119,C39,120:120)+100</f>
        <v>100</v>
      </c>
      <c r="G39" s="2092" t="s">
        <v>3534</v>
      </c>
      <c r="H39" s="394">
        <f>SUMIF(119:119,G39,120:120)-SUMIF(119:119,C39,120:120)+100</f>
        <v>100</v>
      </c>
      <c r="I39" s="2092" t="s">
        <v>3534</v>
      </c>
      <c r="J39" s="394">
        <f>SUMIF(119:119,I39,120:120)-SUMIF(119:119,C39,120:120)+100</f>
        <v>100</v>
      </c>
      <c r="K39" s="569">
        <v>2</v>
      </c>
      <c r="L39" s="2946"/>
      <c r="M39" s="2940"/>
      <c r="N39" s="2940"/>
      <c r="O39" s="2998"/>
      <c r="P39" s="3465"/>
      <c r="Q39" s="1537" t="str">
        <f t="shared" ref="Q39:Q45" si="14">B39</f>
        <v>宗地形状</v>
      </c>
      <c r="R39" s="714" t="s">
        <v>17</v>
      </c>
      <c r="S39" s="715">
        <f t="shared" si="10"/>
        <v>100</v>
      </c>
      <c r="T39" s="714" t="s">
        <v>17</v>
      </c>
      <c r="U39" s="715">
        <f t="shared" si="11"/>
        <v>100</v>
      </c>
      <c r="V39" s="714" t="s">
        <v>17</v>
      </c>
      <c r="W39" s="715">
        <f t="shared" si="12"/>
        <v>100</v>
      </c>
      <c r="X39" s="1540"/>
      <c r="Y39" s="3465"/>
      <c r="Z39" s="1541" t="str">
        <f t="shared" si="13"/>
        <v>宗地形状</v>
      </c>
      <c r="AA39" s="1538">
        <f t="shared" si="3"/>
        <v>1</v>
      </c>
      <c r="AB39" s="1538">
        <f t="shared" si="4"/>
        <v>1</v>
      </c>
      <c r="AC39" s="1538">
        <f t="shared" si="5"/>
        <v>1</v>
      </c>
    </row>
    <row r="40" spans="1:29" ht="15">
      <c r="A40" s="431"/>
      <c r="B40" s="381" t="s">
        <v>2574</v>
      </c>
      <c r="C40" s="2092" t="s">
        <v>3536</v>
      </c>
      <c r="D40" s="394">
        <v>100</v>
      </c>
      <c r="E40" s="2092" t="s">
        <v>3536</v>
      </c>
      <c r="F40" s="394">
        <f>SUMIF(121:121,E40,122:122)-SUMIF(121:121,C40,122:122)+100</f>
        <v>100</v>
      </c>
      <c r="G40" s="2092" t="s">
        <v>3536</v>
      </c>
      <c r="H40" s="394">
        <f>SUMIF(121:121,G40,122:122)-SUMIF(121:121,C40,122:122)+100</f>
        <v>100</v>
      </c>
      <c r="I40" s="2092" t="s">
        <v>3536</v>
      </c>
      <c r="J40" s="394">
        <f>SUMIF(121:121,I40,122:122)-SUMIF(121:121,C40,122:122)+100</f>
        <v>100</v>
      </c>
      <c r="K40" s="569">
        <v>2</v>
      </c>
      <c r="L40" s="2946"/>
      <c r="M40" s="2940"/>
      <c r="N40" s="2940"/>
      <c r="O40" s="2998"/>
      <c r="P40" s="3465"/>
      <c r="Q40" s="1537" t="str">
        <f t="shared" si="14"/>
        <v>临街宽度及深度</v>
      </c>
      <c r="R40" s="714" t="s">
        <v>17</v>
      </c>
      <c r="S40" s="715">
        <f t="shared" si="10"/>
        <v>100</v>
      </c>
      <c r="T40" s="714" t="s">
        <v>17</v>
      </c>
      <c r="U40" s="715">
        <f t="shared" si="11"/>
        <v>100</v>
      </c>
      <c r="V40" s="714" t="s">
        <v>17</v>
      </c>
      <c r="W40" s="715">
        <f t="shared" si="12"/>
        <v>100</v>
      </c>
      <c r="X40" s="1540"/>
      <c r="Y40" s="3465"/>
      <c r="Z40" s="1541" t="str">
        <f t="shared" si="13"/>
        <v>临街宽度及深度</v>
      </c>
      <c r="AA40" s="1538">
        <f t="shared" si="3"/>
        <v>1</v>
      </c>
      <c r="AB40" s="1538">
        <f t="shared" si="4"/>
        <v>1</v>
      </c>
      <c r="AC40" s="1538">
        <f t="shared" si="5"/>
        <v>1</v>
      </c>
    </row>
    <row r="41" spans="1:29" s="113" customFormat="1" ht="15">
      <c r="A41" s="432"/>
      <c r="B41" s="381" t="s">
        <v>2575</v>
      </c>
      <c r="C41" s="2166" t="s">
        <v>3077</v>
      </c>
      <c r="D41" s="132">
        <v>100</v>
      </c>
      <c r="E41" s="2166" t="s">
        <v>3479</v>
      </c>
      <c r="F41" s="394">
        <f>SUMIF(123:123,E41,124:124)-SUMIF(123:123,C41,124:124)+100</f>
        <v>97</v>
      </c>
      <c r="G41" s="2166" t="s">
        <v>3479</v>
      </c>
      <c r="H41" s="394">
        <f>SUMIF(123:123,G41,124:124)-SUMIF(123:123,C41,124:124)+100</f>
        <v>97</v>
      </c>
      <c r="I41" s="2166" t="s">
        <v>3479</v>
      </c>
      <c r="J41" s="394">
        <f>SUMIF(123:123,I41,124:124)-SUMIF(123:123,C41,124:124)+100</f>
        <v>97</v>
      </c>
      <c r="K41" s="569">
        <v>1</v>
      </c>
      <c r="L41" s="2941"/>
      <c r="M41" s="2942"/>
      <c r="N41" s="2942"/>
      <c r="O41" s="2996"/>
      <c r="P41" s="3465"/>
      <c r="Q41" s="1537" t="str">
        <f t="shared" si="14"/>
        <v>宗地开发程度</v>
      </c>
      <c r="R41" s="710" t="s">
        <v>17</v>
      </c>
      <c r="S41" s="711">
        <f t="shared" si="10"/>
        <v>97</v>
      </c>
      <c r="T41" s="710" t="s">
        <v>17</v>
      </c>
      <c r="U41" s="711">
        <f t="shared" si="11"/>
        <v>97</v>
      </c>
      <c r="V41" s="710" t="s">
        <v>17</v>
      </c>
      <c r="W41" s="711">
        <f t="shared" si="12"/>
        <v>97</v>
      </c>
      <c r="X41" s="712"/>
      <c r="Y41" s="3465"/>
      <c r="Z41" s="55" t="str">
        <f t="shared" si="13"/>
        <v>宗地开发程度</v>
      </c>
      <c r="AA41" s="713">
        <f t="shared" si="3"/>
        <v>1.0309278350515463</v>
      </c>
      <c r="AB41" s="713">
        <f t="shared" si="4"/>
        <v>1.0309278350515463</v>
      </c>
      <c r="AC41" s="713">
        <f t="shared" si="5"/>
        <v>1.0309278350515463</v>
      </c>
    </row>
    <row r="42" spans="1:29" ht="15.75" thickBot="1">
      <c r="A42" s="431"/>
      <c r="B42" s="381" t="s">
        <v>2576</v>
      </c>
      <c r="C42" s="2092" t="s">
        <v>3075</v>
      </c>
      <c r="D42" s="394">
        <v>100</v>
      </c>
      <c r="E42" s="2092" t="s">
        <v>3075</v>
      </c>
      <c r="F42" s="394">
        <f>SUMIF(125:125,E42,126:126)-SUMIF(125:125,C42,126:126)+100</f>
        <v>100</v>
      </c>
      <c r="G42" s="2092" t="s">
        <v>3075</v>
      </c>
      <c r="H42" s="394">
        <f>SUMIF(125:125,G42,126:126)-SUMIF(125:125,C42,126:126)+100</f>
        <v>100</v>
      </c>
      <c r="I42" s="2092" t="s">
        <v>3075</v>
      </c>
      <c r="J42" s="394">
        <f>SUMIF(125:125,I42,126:126)-SUMIF(125:125,C42,126:126)+100</f>
        <v>100</v>
      </c>
      <c r="K42" s="569">
        <v>2</v>
      </c>
      <c r="L42" s="2946"/>
      <c r="M42" s="2940"/>
      <c r="N42" s="2940"/>
      <c r="O42" s="2998"/>
      <c r="P42" s="3465" t="s">
        <v>2386</v>
      </c>
      <c r="Q42" s="1537" t="str">
        <f t="shared" si="14"/>
        <v>工程地质条件</v>
      </c>
      <c r="R42" s="714" t="s">
        <v>17</v>
      </c>
      <c r="S42" s="715">
        <f t="shared" si="10"/>
        <v>100</v>
      </c>
      <c r="T42" s="714" t="s">
        <v>17</v>
      </c>
      <c r="U42" s="715">
        <f t="shared" si="11"/>
        <v>100</v>
      </c>
      <c r="V42" s="714" t="s">
        <v>17</v>
      </c>
      <c r="W42" s="715">
        <f t="shared" si="12"/>
        <v>100</v>
      </c>
      <c r="X42" s="1540"/>
      <c r="Y42" s="3465" t="s">
        <v>2386</v>
      </c>
      <c r="Z42" s="1541" t="str">
        <f t="shared" si="13"/>
        <v>工程地质条件</v>
      </c>
      <c r="AA42" s="1538">
        <f t="shared" si="3"/>
        <v>1</v>
      </c>
      <c r="AB42" s="1538">
        <f t="shared" si="4"/>
        <v>1</v>
      </c>
      <c r="AC42" s="1538">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6"/>
      <c r="M43" s="2940"/>
      <c r="N43" s="2940"/>
      <c r="O43" s="2998"/>
      <c r="P43" s="3465"/>
      <c r="Q43" s="1537">
        <f t="shared" si="14"/>
        <v>111</v>
      </c>
      <c r="R43" s="714" t="s">
        <v>17</v>
      </c>
      <c r="S43" s="715">
        <f t="shared" si="10"/>
        <v>100</v>
      </c>
      <c r="T43" s="714" t="s">
        <v>17</v>
      </c>
      <c r="U43" s="715">
        <f t="shared" si="11"/>
        <v>100</v>
      </c>
      <c r="V43" s="714" t="s">
        <v>17</v>
      </c>
      <c r="W43" s="715">
        <f t="shared" si="12"/>
        <v>100</v>
      </c>
      <c r="X43" s="1540"/>
      <c r="Y43" s="3465"/>
      <c r="Z43" s="1541">
        <f t="shared" si="13"/>
        <v>111</v>
      </c>
      <c r="AA43" s="1538">
        <f t="shared" si="3"/>
        <v>1</v>
      </c>
      <c r="AB43" s="1538">
        <f t="shared" si="4"/>
        <v>1</v>
      </c>
      <c r="AC43" s="1538">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6"/>
      <c r="M44" s="2940"/>
      <c r="N44" s="2940"/>
      <c r="O44" s="2998"/>
      <c r="P44" s="3465"/>
      <c r="Q44" s="1537">
        <f t="shared" si="14"/>
        <v>111</v>
      </c>
      <c r="R44" s="714" t="s">
        <v>17</v>
      </c>
      <c r="S44" s="715">
        <f t="shared" si="10"/>
        <v>100</v>
      </c>
      <c r="T44" s="714" t="s">
        <v>17</v>
      </c>
      <c r="U44" s="715">
        <f t="shared" si="11"/>
        <v>100</v>
      </c>
      <c r="V44" s="714" t="s">
        <v>17</v>
      </c>
      <c r="W44" s="715">
        <f t="shared" si="12"/>
        <v>100</v>
      </c>
      <c r="X44" s="1540"/>
      <c r="Y44" s="3465"/>
      <c r="Z44" s="1541">
        <f t="shared" si="13"/>
        <v>111</v>
      </c>
      <c r="AA44" s="1538">
        <f t="shared" si="3"/>
        <v>1</v>
      </c>
      <c r="AB44" s="1538">
        <f t="shared" si="4"/>
        <v>1</v>
      </c>
      <c r="AC44" s="1538">
        <f t="shared" si="5"/>
        <v>1</v>
      </c>
    </row>
    <row r="45" spans="1:29" s="430" customFormat="1" ht="15.75" hidden="1"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5"/>
      <c r="M45" s="2947"/>
      <c r="N45" s="2947"/>
      <c r="O45" s="2999"/>
      <c r="P45" s="3465"/>
      <c r="Q45" s="1537">
        <f t="shared" si="14"/>
        <v>111</v>
      </c>
      <c r="R45" s="717" t="s">
        <v>17</v>
      </c>
      <c r="S45" s="718">
        <f t="shared" si="10"/>
        <v>100</v>
      </c>
      <c r="T45" s="717" t="s">
        <v>17</v>
      </c>
      <c r="U45" s="718">
        <f t="shared" si="11"/>
        <v>100</v>
      </c>
      <c r="V45" s="717" t="s">
        <v>17</v>
      </c>
      <c r="W45" s="718">
        <f t="shared" si="12"/>
        <v>100</v>
      </c>
      <c r="X45" s="719"/>
      <c r="Y45" s="3465"/>
      <c r="Z45" s="720">
        <f t="shared" si="13"/>
        <v>111</v>
      </c>
      <c r="AA45" s="1538">
        <f t="shared" si="3"/>
        <v>1</v>
      </c>
      <c r="AB45" s="1538">
        <f t="shared" si="4"/>
        <v>1</v>
      </c>
      <c r="AC45" s="1538">
        <f t="shared" si="5"/>
        <v>1</v>
      </c>
    </row>
    <row r="46" spans="1:29" ht="15">
      <c r="A46" s="438" t="s">
        <v>2541</v>
      </c>
      <c r="B46" s="2168" t="s">
        <v>2577</v>
      </c>
      <c r="C46" s="638" t="s">
        <v>1</v>
      </c>
      <c r="D46" s="440"/>
      <c r="E46" s="441">
        <f>ROUND(土地案例!M6,0)</f>
        <v>1670</v>
      </c>
      <c r="F46" s="442"/>
      <c r="G46" s="443">
        <f>ROUND(土地案例!M10,0)</f>
        <v>1575</v>
      </c>
      <c r="H46" s="444"/>
      <c r="I46" s="441">
        <f>ROUND(土地案例!M11,0)</f>
        <v>1903</v>
      </c>
      <c r="J46" s="444"/>
      <c r="K46" s="723"/>
      <c r="L46" s="2948"/>
      <c r="M46" s="2949"/>
      <c r="N46" s="2940"/>
      <c r="O46" s="2949"/>
      <c r="P46" s="3447" t="str">
        <f>A46</f>
        <v>成交单价</v>
      </c>
      <c r="Q46" s="3447"/>
      <c r="R46" s="3460">
        <f>E46</f>
        <v>1670</v>
      </c>
      <c r="S46" s="3460"/>
      <c r="T46" s="3460">
        <f>G46</f>
        <v>1575</v>
      </c>
      <c r="U46" s="3460"/>
      <c r="V46" s="3460">
        <f>I46</f>
        <v>1903</v>
      </c>
      <c r="W46" s="3460"/>
      <c r="X46" s="699"/>
      <c r="Y46" s="721"/>
      <c r="Z46" s="699"/>
      <c r="AA46" s="699"/>
      <c r="AB46" s="699"/>
      <c r="AC46" s="699"/>
    </row>
    <row r="47" spans="1:29" ht="15.75" thickBot="1">
      <c r="A47" s="445" t="s">
        <v>2490</v>
      </c>
      <c r="B47" s="639"/>
      <c r="C47" s="448">
        <f>R48</f>
        <v>1687</v>
      </c>
      <c r="D47" s="2538" t="s">
        <v>2881</v>
      </c>
      <c r="E47" s="448">
        <f>R47</f>
        <v>1644</v>
      </c>
      <c r="F47" s="2539"/>
      <c r="G47" s="447">
        <f>T47</f>
        <v>1581</v>
      </c>
      <c r="H47" s="2539"/>
      <c r="I47" s="448">
        <f>V47</f>
        <v>1837</v>
      </c>
      <c r="J47" s="2539"/>
      <c r="K47" s="2541">
        <f>F47+H47+J47</f>
        <v>0</v>
      </c>
      <c r="L47" s="2948"/>
      <c r="M47" s="2949"/>
      <c r="N47" s="2949"/>
      <c r="O47" s="2949"/>
      <c r="P47" s="3447" t="str">
        <f>A47</f>
        <v>比较价值（元/平方米）</v>
      </c>
      <c r="Q47" s="3447"/>
      <c r="R47" s="3466">
        <f>ROUND(PRODUCT(R46,AA7:AA45),0)</f>
        <v>1644</v>
      </c>
      <c r="S47" s="3466"/>
      <c r="T47" s="3466">
        <f>ROUND(PRODUCT(T46,AB7:AB45),0)</f>
        <v>1581</v>
      </c>
      <c r="U47" s="3466"/>
      <c r="V47" s="3466">
        <f>ROUND(PRODUCT(V46,AC7:AC45),0)</f>
        <v>1837</v>
      </c>
      <c r="W47" s="3466"/>
      <c r="X47" s="699"/>
      <c r="Y47" s="699"/>
      <c r="Z47" s="699"/>
      <c r="AA47" s="699"/>
      <c r="AB47" s="699"/>
      <c r="AC47" s="699"/>
    </row>
    <row r="48" spans="1:29" ht="15.75" thickBot="1">
      <c r="A48" s="449" t="s">
        <v>2578</v>
      </c>
      <c r="B48" s="450"/>
      <c r="C48" s="451">
        <f>R48</f>
        <v>1687</v>
      </c>
      <c r="D48" s="451"/>
      <c r="E48" s="451"/>
      <c r="F48" s="451"/>
      <c r="G48" s="451"/>
      <c r="H48" s="451"/>
      <c r="I48" s="451"/>
      <c r="J48" s="451"/>
      <c r="K48" s="724"/>
      <c r="L48" s="2948"/>
      <c r="M48" s="2949"/>
      <c r="N48" s="2949"/>
      <c r="O48" s="2949"/>
      <c r="P48" s="3467" t="str">
        <f>A48</f>
        <v>估价对象XX用房的比较价值（楼面单价，元/平方米）</v>
      </c>
      <c r="Q48" s="3468"/>
      <c r="R48" s="3469">
        <f>ROUND(IF(D47="简单平均",AVERAGE(R47:W47),R47*F47+T47*H47+V47*J47),0)</f>
        <v>1687</v>
      </c>
      <c r="S48" s="3469"/>
      <c r="T48" s="3469"/>
      <c r="U48" s="3469"/>
      <c r="V48" s="3469"/>
      <c r="W48" s="3469"/>
      <c r="X48" s="699"/>
      <c r="Y48" s="699"/>
      <c r="Z48" s="699"/>
      <c r="AA48" s="699"/>
      <c r="AB48" s="699"/>
      <c r="AC48" s="699"/>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4" t="s">
        <v>2492</v>
      </c>
      <c r="D51" s="455"/>
      <c r="E51" s="456">
        <f>IF(E46&lt;E47,E47/E46-1,E46/E47-1)</f>
        <v>1.5815085158150888E-2</v>
      </c>
      <c r="F51" s="457" t="str">
        <f>IF(OR(E51&gt;=0.3,E51&lt;=-0.3),"超过30%","")</f>
        <v/>
      </c>
      <c r="G51" s="456">
        <f>IF(G46&lt;G47,G47/G46-1,G46/G47-1)</f>
        <v>3.8095238095237072E-3</v>
      </c>
      <c r="H51" s="457" t="str">
        <f>IF(OR(G51&gt;=0.3,G51&lt;=-0.3),"超过30%","")</f>
        <v/>
      </c>
      <c r="I51" s="456">
        <f>IF(I46&lt;I47,I47/I46-1,I46/I47-1)</f>
        <v>3.5928143712574911E-2</v>
      </c>
      <c r="J51" s="457" t="str">
        <f>IF(OR(I51&gt;=0.3,I51&lt;=-0.3),"超过30%","")</f>
        <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4" t="s">
        <v>2493</v>
      </c>
      <c r="D52" s="458"/>
      <c r="E52" s="456">
        <f>IF(E47&lt;G47,G47/E47-1,E47/G47-1)</f>
        <v>3.9848197343453462E-2</v>
      </c>
      <c r="F52" s="457" t="str">
        <f>IF(OR(E52&gt;=0.2,E52&lt;=-0.2),"超过20%","")</f>
        <v/>
      </c>
      <c r="G52" s="456">
        <f>IF(G47&lt;I47,I47/G47-1,G47/I47-1)</f>
        <v>0.16192283364958882</v>
      </c>
      <c r="H52" s="457" t="str">
        <f>IF(OR(G52&gt;=0.2,G52&lt;=-0.2),"超过20%","")</f>
        <v/>
      </c>
      <c r="I52" s="456">
        <f>IF(I47&lt;E47,E47/I47-1,I47/E47-1)</f>
        <v>0.11739659367396604</v>
      </c>
      <c r="J52" s="457" t="str">
        <f>IF(OR(I52&gt;=0.2,I52&lt;=-0.2),"超过20%","")</f>
        <v/>
      </c>
      <c r="K52" s="2954"/>
      <c r="L52" s="2950"/>
      <c r="M52" s="2949"/>
      <c r="N52" s="2949"/>
      <c r="O52" s="2949"/>
      <c r="P52" s="2949"/>
      <c r="Q52" s="2949"/>
      <c r="R52" s="2949"/>
      <c r="S52" s="2949"/>
      <c r="T52" s="2949"/>
      <c r="U52" s="2949"/>
      <c r="V52" s="2949"/>
      <c r="W52" s="2949"/>
      <c r="X52" s="2949"/>
      <c r="Y52" s="2949"/>
      <c r="Z52" s="2949"/>
      <c r="AA52" s="2949"/>
      <c r="AB52" s="2949"/>
      <c r="AC52" s="2949"/>
    </row>
    <row r="53" spans="1:29" s="459" customFormat="1" ht="13.5" customHeight="1">
      <c r="A53" s="2952"/>
      <c r="B53" s="2952"/>
      <c r="C53" s="454" t="s">
        <v>2494</v>
      </c>
      <c r="D53" s="458"/>
      <c r="E53" s="456">
        <f>IF(E46&lt;G46,G46/E46-1,E46/G46-1)</f>
        <v>6.0317460317460325E-2</v>
      </c>
      <c r="F53" s="457" t="str">
        <f>IF(OR(E53&gt;=0.3,E53&lt;=-0.3),"超过30%","")</f>
        <v/>
      </c>
      <c r="G53" s="456">
        <f>IF(G46&lt;I46,I46/G46-1,G46/I46-1)</f>
        <v>0.20825396825396836</v>
      </c>
      <c r="H53" s="457" t="str">
        <f>IF(OR(G53&gt;=0.3,G53&lt;=-0.3),"超过30%","")</f>
        <v/>
      </c>
      <c r="I53" s="456">
        <f>IF(I46&lt;E46,E46/I46-1,I46/E46-1)</f>
        <v>0.13952095808383236</v>
      </c>
      <c r="J53" s="457" t="str">
        <f>IF(OR(I53&gt;=0.3,I53&lt;=-0.3),"超过30%","")</f>
        <v/>
      </c>
      <c r="K53" s="2957"/>
      <c r="L53" s="2951"/>
      <c r="M53" s="2952"/>
      <c r="N53" s="2952"/>
      <c r="O53" s="2952"/>
      <c r="P53" s="2952"/>
      <c r="Q53" s="2952"/>
      <c r="R53" s="2952"/>
      <c r="S53" s="2952"/>
      <c r="T53" s="2952"/>
      <c r="U53" s="2952"/>
      <c r="V53" s="2952"/>
      <c r="W53" s="2952"/>
      <c r="X53" s="2952"/>
      <c r="Y53" s="2952"/>
      <c r="Z53" s="2952"/>
      <c r="AA53" s="2952"/>
      <c r="AB53" s="2952"/>
      <c r="AC53" s="2952"/>
    </row>
    <row r="54" spans="1:29" s="459" customFormat="1" ht="15" thickBot="1">
      <c r="A54" s="2952"/>
      <c r="B54" s="2955"/>
      <c r="C54" s="702"/>
      <c r="D54" s="700"/>
      <c r="E54" s="700"/>
      <c r="F54" s="700"/>
      <c r="G54" s="700"/>
      <c r="H54" s="700"/>
      <c r="I54" s="700"/>
      <c r="J54" s="700"/>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40" t="s">
        <v>2579</v>
      </c>
      <c r="B55" s="641" t="s">
        <v>2580</v>
      </c>
      <c r="C55" s="2169" t="s">
        <v>2581</v>
      </c>
      <c r="D55" s="2170" t="s">
        <v>2582</v>
      </c>
      <c r="E55" s="642" t="s">
        <v>2583</v>
      </c>
      <c r="F55" s="1021" t="s">
        <v>2584</v>
      </c>
      <c r="G55" s="3448" t="s">
        <v>2585</v>
      </c>
      <c r="H55" s="3470"/>
      <c r="I55" s="140" t="s">
        <v>2586</v>
      </c>
      <c r="J55" s="2171">
        <f>项目基本情况!F35</f>
        <v>0</v>
      </c>
      <c r="K55" s="2172" t="s">
        <v>2587</v>
      </c>
      <c r="L55" s="2950"/>
      <c r="M55" s="2949"/>
      <c r="N55" s="2949"/>
      <c r="O55" s="2949"/>
      <c r="P55" s="2949"/>
      <c r="Q55" s="2949"/>
      <c r="R55" s="2949"/>
      <c r="S55" s="2949"/>
      <c r="T55" s="2949"/>
      <c r="U55" s="2949"/>
      <c r="V55" s="2949"/>
      <c r="W55" s="2949"/>
      <c r="X55" s="2949"/>
      <c r="Y55" s="2949"/>
      <c r="Z55" s="2949"/>
      <c r="AA55" s="2949"/>
      <c r="AB55" s="2949"/>
      <c r="AC55" s="2949"/>
    </row>
    <row r="56" spans="1:29" s="648" customFormat="1">
      <c r="A56" s="644" t="s">
        <v>2588</v>
      </c>
      <c r="B56" s="645">
        <f>C48</f>
        <v>1687</v>
      </c>
      <c r="C56" s="646">
        <v>1</v>
      </c>
      <c r="D56" s="1075">
        <v>1</v>
      </c>
      <c r="E56" s="646">
        <f>'数据-汇总表'!E8+'数据-汇总表'!E9</f>
        <v>44859.7</v>
      </c>
      <c r="F56" s="1017">
        <f t="shared" ref="F56:F65" si="15">ROUND(B56*E56/10000,0)</f>
        <v>7568</v>
      </c>
      <c r="G56" s="3471"/>
      <c r="H56" s="3447"/>
      <c r="I56" s="1022">
        <v>1</v>
      </c>
      <c r="J56" s="1025">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8" customFormat="1">
      <c r="A57" s="649" t="s">
        <v>2589</v>
      </c>
      <c r="B57" s="224">
        <f>ROUND($C$48*C57*D57,0)</f>
        <v>0</v>
      </c>
      <c r="C57" s="176">
        <f t="shared" ref="C57:C65" si="16">IF($C$55="北京市系数",I57,J57)</f>
        <v>0</v>
      </c>
      <c r="D57" s="1076">
        <v>0.25</v>
      </c>
      <c r="E57" s="650"/>
      <c r="F57" s="1017">
        <f t="shared" si="15"/>
        <v>0</v>
      </c>
      <c r="G57" s="3472" t="s">
        <v>2590</v>
      </c>
      <c r="H57" s="1018">
        <f>项目基本情况!B37</f>
        <v>0</v>
      </c>
      <c r="I57" s="1022">
        <f>SUMIF(修正!A45:A56,H57,修正!B45:B56)</f>
        <v>0</v>
      </c>
      <c r="J57" s="1026"/>
      <c r="K57" s="2949"/>
      <c r="L57" s="3006"/>
      <c r="M57" s="3006"/>
      <c r="N57" s="3006"/>
      <c r="O57" s="3006"/>
      <c r="P57" s="3006"/>
      <c r="Q57" s="3006"/>
      <c r="R57" s="3006"/>
      <c r="S57" s="3006"/>
      <c r="T57" s="3006"/>
      <c r="U57" s="3006"/>
      <c r="V57" s="3006"/>
      <c r="W57" s="3006"/>
      <c r="X57" s="3006"/>
      <c r="Y57" s="3006"/>
      <c r="Z57" s="3006"/>
      <c r="AA57" s="3006"/>
      <c r="AB57" s="3006"/>
      <c r="AC57" s="3006"/>
    </row>
    <row r="58" spans="1:29" s="648" customFormat="1">
      <c r="A58" s="649" t="s">
        <v>2591</v>
      </c>
      <c r="B58" s="224">
        <f t="shared" ref="B58:B65" si="17">ROUND($C$48*C58*D58,0)</f>
        <v>0</v>
      </c>
      <c r="C58" s="176">
        <f t="shared" si="16"/>
        <v>0</v>
      </c>
      <c r="D58" s="1076">
        <v>0.25</v>
      </c>
      <c r="E58" s="650"/>
      <c r="F58" s="1017">
        <f t="shared" si="15"/>
        <v>0</v>
      </c>
      <c r="G58" s="3472"/>
      <c r="H58" s="1018">
        <f>项目基本情况!B37</f>
        <v>0</v>
      </c>
      <c r="I58" s="1022">
        <f>SUMIF(修正!A45:A56,H58,修正!C45:C56)</f>
        <v>0</v>
      </c>
      <c r="J58" s="1026"/>
      <c r="K58" s="2952"/>
      <c r="L58" s="3006"/>
      <c r="M58" s="3006"/>
      <c r="N58" s="3006"/>
      <c r="O58" s="3006"/>
      <c r="P58" s="3006"/>
      <c r="Q58" s="3006"/>
      <c r="R58" s="3006"/>
      <c r="S58" s="3006"/>
      <c r="T58" s="3006"/>
      <c r="U58" s="3006"/>
      <c r="V58" s="3006"/>
      <c r="W58" s="3006"/>
      <c r="X58" s="3006"/>
      <c r="Y58" s="3006"/>
      <c r="Z58" s="3006"/>
      <c r="AA58" s="3006"/>
      <c r="AB58" s="3006"/>
      <c r="AC58" s="3006"/>
    </row>
    <row r="59" spans="1:29" s="648" customFormat="1">
      <c r="A59" s="649" t="s">
        <v>2592</v>
      </c>
      <c r="B59" s="224">
        <f t="shared" si="17"/>
        <v>0</v>
      </c>
      <c r="C59" s="176">
        <f t="shared" si="16"/>
        <v>0</v>
      </c>
      <c r="D59" s="1076">
        <v>0.25</v>
      </c>
      <c r="E59" s="650"/>
      <c r="F59" s="1017">
        <f t="shared" si="15"/>
        <v>0</v>
      </c>
      <c r="G59" s="3472"/>
      <c r="H59" s="1018">
        <f>项目基本情况!B37</f>
        <v>0</v>
      </c>
      <c r="I59" s="1022">
        <f>SUMIF(修正!A45:A56,H59,修正!D45:D56)</f>
        <v>0</v>
      </c>
      <c r="J59" s="1026"/>
      <c r="K59" s="2949"/>
      <c r="L59" s="3006"/>
      <c r="M59" s="3006"/>
      <c r="N59" s="3006"/>
      <c r="O59" s="3006"/>
      <c r="P59" s="3006"/>
      <c r="Q59" s="3006"/>
      <c r="R59" s="3006"/>
      <c r="S59" s="3006"/>
      <c r="T59" s="3006"/>
      <c r="U59" s="3006"/>
      <c r="V59" s="3006"/>
      <c r="W59" s="3006"/>
      <c r="X59" s="3006"/>
      <c r="Y59" s="3006"/>
      <c r="Z59" s="3006"/>
      <c r="AA59" s="3006"/>
      <c r="AB59" s="3006"/>
      <c r="AC59" s="3006"/>
    </row>
    <row r="60" spans="1:29" s="648" customFormat="1">
      <c r="A60" s="649" t="s">
        <v>2593</v>
      </c>
      <c r="B60" s="224">
        <f t="shared" si="17"/>
        <v>0</v>
      </c>
      <c r="C60" s="176">
        <f t="shared" si="16"/>
        <v>0</v>
      </c>
      <c r="D60" s="1076">
        <v>0.25</v>
      </c>
      <c r="E60" s="650"/>
      <c r="F60" s="1017">
        <f t="shared" si="15"/>
        <v>0</v>
      </c>
      <c r="G60" s="3472"/>
      <c r="H60" s="1018">
        <f>项目基本情况!B37</f>
        <v>0</v>
      </c>
      <c r="I60" s="1022">
        <f>SUMIF(修正!A45:A56,H60,修正!E45:E56)</f>
        <v>0</v>
      </c>
      <c r="J60" s="1026"/>
      <c r="K60" s="2952"/>
      <c r="L60" s="3006"/>
      <c r="M60" s="3006"/>
      <c r="N60" s="3006"/>
      <c r="O60" s="3006"/>
      <c r="P60" s="3006"/>
      <c r="Q60" s="3006"/>
      <c r="R60" s="3006"/>
      <c r="S60" s="3006"/>
      <c r="T60" s="3006"/>
      <c r="U60" s="3006"/>
      <c r="V60" s="3006"/>
      <c r="W60" s="3006"/>
      <c r="X60" s="3006"/>
      <c r="Y60" s="3006"/>
      <c r="Z60" s="3006"/>
      <c r="AA60" s="3006"/>
      <c r="AB60" s="3006"/>
      <c r="AC60" s="3006"/>
    </row>
    <row r="61" spans="1:29" s="648" customFormat="1">
      <c r="A61" s="649" t="s">
        <v>2594</v>
      </c>
      <c r="B61" s="224">
        <f t="shared" si="17"/>
        <v>0</v>
      </c>
      <c r="C61" s="176">
        <f t="shared" si="16"/>
        <v>0</v>
      </c>
      <c r="D61" s="1076">
        <v>0.25</v>
      </c>
      <c r="E61" s="223">
        <f>'数据-汇总表'!E11</f>
        <v>0</v>
      </c>
      <c r="F61" s="1017">
        <f t="shared" si="15"/>
        <v>0</v>
      </c>
      <c r="G61" s="2173" t="s">
        <v>2595</v>
      </c>
      <c r="H61" s="1018">
        <f>项目基本情况!C37</f>
        <v>0</v>
      </c>
      <c r="I61" s="1022">
        <f>SUMIF(修正!A45:A56,H61,修正!F45:F56)</f>
        <v>0</v>
      </c>
      <c r="J61" s="1026"/>
      <c r="K61" s="2949"/>
      <c r="L61" s="3006"/>
      <c r="M61" s="3006"/>
      <c r="N61" s="3006"/>
      <c r="O61" s="3006"/>
      <c r="P61" s="3006"/>
      <c r="Q61" s="3006"/>
      <c r="R61" s="3006"/>
      <c r="S61" s="3006"/>
      <c r="T61" s="3006"/>
      <c r="U61" s="3006"/>
      <c r="V61" s="3006"/>
      <c r="W61" s="3006"/>
      <c r="X61" s="3006"/>
      <c r="Y61" s="3006"/>
      <c r="Z61" s="3006"/>
      <c r="AA61" s="3006"/>
      <c r="AB61" s="3006"/>
      <c r="AC61" s="3006"/>
    </row>
    <row r="62" spans="1:29" s="648" customFormat="1">
      <c r="A62" s="649" t="s">
        <v>2596</v>
      </c>
      <c r="B62" s="224">
        <f t="shared" si="17"/>
        <v>0</v>
      </c>
      <c r="C62" s="176">
        <f t="shared" si="16"/>
        <v>0</v>
      </c>
      <c r="D62" s="1076">
        <v>0.25</v>
      </c>
      <c r="E62" s="223">
        <f>'数据-汇总表'!E12</f>
        <v>0</v>
      </c>
      <c r="F62" s="1017">
        <f t="shared" si="15"/>
        <v>0</v>
      </c>
      <c r="G62" s="1023" t="s">
        <v>2597</v>
      </c>
      <c r="H62" s="1018">
        <f>IF(G62="商业",项目基本情况!B37,IF(G62="办公",项目基本情况!C37,IF(G62="住宅",项目基本情况!D37,项目基本情况!E37)))</f>
        <v>0</v>
      </c>
      <c r="I62" s="1022">
        <f>SUMIF(修正!A45:A56,H62,修正!G45:G56)</f>
        <v>0</v>
      </c>
      <c r="J62" s="1026"/>
      <c r="K62" s="2952"/>
      <c r="L62" s="3006"/>
      <c r="M62" s="3006"/>
      <c r="N62" s="3006"/>
      <c r="O62" s="3006"/>
      <c r="P62" s="3006"/>
      <c r="Q62" s="3006"/>
      <c r="R62" s="3006"/>
      <c r="S62" s="3006"/>
      <c r="T62" s="3006"/>
      <c r="U62" s="3006"/>
      <c r="V62" s="3006"/>
      <c r="W62" s="3006"/>
      <c r="X62" s="3006"/>
      <c r="Y62" s="3006"/>
      <c r="Z62" s="3006"/>
      <c r="AA62" s="3006"/>
      <c r="AB62" s="3006"/>
      <c r="AC62" s="3006"/>
    </row>
    <row r="63" spans="1:29" s="648" customFormat="1">
      <c r="A63" s="649" t="s">
        <v>2598</v>
      </c>
      <c r="B63" s="224">
        <f t="shared" si="17"/>
        <v>0</v>
      </c>
      <c r="C63" s="176">
        <f t="shared" si="16"/>
        <v>0</v>
      </c>
      <c r="D63" s="1076">
        <v>0.25</v>
      </c>
      <c r="E63" s="223">
        <f>'数据-汇总表'!E13</f>
        <v>0</v>
      </c>
      <c r="F63" s="1017">
        <f t="shared" si="15"/>
        <v>0</v>
      </c>
      <c r="G63" s="1023" t="s">
        <v>2599</v>
      </c>
      <c r="H63" s="1018">
        <f>IF(G63="商业",项目基本情况!B37,IF(G63="办公",项目基本情况!C37,IF(G63="住宅",项目基本情况!D37,项目基本情况!E37)))</f>
        <v>0</v>
      </c>
      <c r="I63" s="1022">
        <f>SUMIF(修正!A45:A56,H63,修正!H45:H56)</f>
        <v>0</v>
      </c>
      <c r="J63" s="1026"/>
      <c r="K63" s="2949"/>
      <c r="L63" s="3006"/>
      <c r="M63" s="3006"/>
      <c r="N63" s="3006"/>
      <c r="O63" s="3006"/>
      <c r="P63" s="3006"/>
      <c r="Q63" s="3006"/>
      <c r="R63" s="3006"/>
      <c r="S63" s="3006"/>
      <c r="T63" s="3006"/>
      <c r="U63" s="3006"/>
      <c r="V63" s="3006"/>
      <c r="W63" s="3006"/>
      <c r="X63" s="3006"/>
      <c r="Y63" s="3006"/>
      <c r="Z63" s="3006"/>
      <c r="AA63" s="3006"/>
      <c r="AB63" s="3006"/>
      <c r="AC63" s="3006"/>
    </row>
    <row r="64" spans="1:29" s="648" customFormat="1">
      <c r="A64" s="649" t="s">
        <v>2600</v>
      </c>
      <c r="B64" s="224">
        <f t="shared" si="17"/>
        <v>0</v>
      </c>
      <c r="C64" s="176">
        <f t="shared" si="16"/>
        <v>0</v>
      </c>
      <c r="D64" s="1076">
        <v>0.25</v>
      </c>
      <c r="E64" s="223">
        <f>'数据-汇总表'!E14</f>
        <v>0</v>
      </c>
      <c r="F64" s="1017">
        <f t="shared" si="15"/>
        <v>0</v>
      </c>
      <c r="G64" s="2173" t="s">
        <v>2590</v>
      </c>
      <c r="H64" s="1018">
        <f>项目基本情况!B37</f>
        <v>0</v>
      </c>
      <c r="I64" s="1022">
        <f>SUMIF(修正!A45:A56,H64,修正!H45:H56)</f>
        <v>0</v>
      </c>
      <c r="J64" s="1026"/>
      <c r="K64" s="2952"/>
      <c r="L64" s="3006"/>
      <c r="M64" s="3006"/>
      <c r="N64" s="3006"/>
      <c r="O64" s="3006"/>
      <c r="P64" s="3006"/>
      <c r="Q64" s="3006"/>
      <c r="R64" s="3006"/>
      <c r="S64" s="3006"/>
      <c r="T64" s="3006"/>
      <c r="U64" s="3006"/>
      <c r="V64" s="3006"/>
      <c r="W64" s="3006"/>
      <c r="X64" s="3006"/>
      <c r="Y64" s="3006"/>
      <c r="Z64" s="3006"/>
      <c r="AA64" s="3006"/>
      <c r="AB64" s="3006"/>
      <c r="AC64" s="3006"/>
    </row>
    <row r="65" spans="1:29" s="648" customFormat="1" ht="15" thickBot="1">
      <c r="A65" s="649" t="s">
        <v>2601</v>
      </c>
      <c r="B65" s="224">
        <f t="shared" si="17"/>
        <v>0</v>
      </c>
      <c r="C65" s="176">
        <f t="shared" si="16"/>
        <v>0</v>
      </c>
      <c r="D65" s="1076">
        <v>0.25</v>
      </c>
      <c r="E65" s="223">
        <f>'数据-汇总表'!E15</f>
        <v>0</v>
      </c>
      <c r="F65" s="1017">
        <f t="shared" si="15"/>
        <v>0</v>
      </c>
      <c r="G65" s="2174" t="s">
        <v>2595</v>
      </c>
      <c r="H65" s="1028">
        <f>项目基本情况!C37</f>
        <v>0</v>
      </c>
      <c r="I65" s="1024">
        <f>SUMIF(修正!A45:A56,H65,修正!H45:H56)</f>
        <v>0</v>
      </c>
      <c r="J65" s="1027"/>
      <c r="K65" s="2949"/>
      <c r="L65" s="3006"/>
      <c r="M65" s="3006"/>
      <c r="N65" s="3006"/>
      <c r="O65" s="3006"/>
      <c r="P65" s="3006"/>
      <c r="Q65" s="3006"/>
      <c r="R65" s="3006"/>
      <c r="S65" s="3006"/>
      <c r="T65" s="3006"/>
      <c r="U65" s="3006"/>
      <c r="V65" s="3006"/>
      <c r="W65" s="3006"/>
      <c r="X65" s="3006"/>
      <c r="Y65" s="3006"/>
      <c r="Z65" s="3006"/>
      <c r="AA65" s="3006"/>
      <c r="AB65" s="3006"/>
      <c r="AC65" s="3006"/>
    </row>
    <row r="66" spans="1:29" s="648" customFormat="1" ht="13.5" thickBot="1">
      <c r="A66" s="651" t="s">
        <v>2602</v>
      </c>
      <c r="B66" s="652" t="s">
        <v>28</v>
      </c>
      <c r="C66" s="652" t="s">
        <v>29</v>
      </c>
      <c r="D66" s="652" t="s">
        <v>997</v>
      </c>
      <c r="E66" s="652">
        <f>IF(B46="楼面地价",SUM(E56:E65),'数据-汇总表'!D3)</f>
        <v>44859.7</v>
      </c>
      <c r="F66" s="653">
        <f>IF(B46="楼面地价",SUM(F56:F65),ROUND(C48*E66/10000,0))</f>
        <v>7568</v>
      </c>
      <c r="G66" s="726"/>
      <c r="H66" s="726"/>
      <c r="I66" s="726"/>
      <c r="J66" s="726"/>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9"/>
      <c r="B67" s="701"/>
      <c r="C67" s="702"/>
      <c r="D67" s="699"/>
      <c r="E67" s="699"/>
      <c r="F67" s="699"/>
      <c r="G67" s="699"/>
      <c r="H67" s="699"/>
      <c r="I67" s="699"/>
      <c r="J67" s="1058"/>
      <c r="K67" s="1019"/>
      <c r="L67" s="1020"/>
      <c r="M67" s="1058"/>
      <c r="N67" s="1058"/>
      <c r="O67" s="1058"/>
      <c r="P67" s="2949"/>
      <c r="Q67" s="2949"/>
      <c r="R67" s="2949"/>
      <c r="S67" s="2949"/>
      <c r="T67" s="2949"/>
      <c r="U67" s="2949"/>
      <c r="V67" s="2949"/>
      <c r="W67" s="2949"/>
      <c r="X67" s="2949"/>
      <c r="Y67" s="2949"/>
      <c r="Z67" s="2949"/>
      <c r="AA67" s="2949"/>
      <c r="AB67" s="2949"/>
      <c r="AC67" s="2949"/>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49"/>
      <c r="Q68" s="2949"/>
      <c r="R68" s="2949"/>
      <c r="S68" s="2949"/>
      <c r="T68" s="2949"/>
      <c r="U68" s="2949"/>
      <c r="V68" s="2949"/>
      <c r="W68" s="2949"/>
      <c r="X68" s="2949"/>
      <c r="Y68" s="2949"/>
      <c r="Z68" s="2949"/>
      <c r="AA68" s="2949"/>
      <c r="AB68" s="2949"/>
      <c r="AC68" s="2949"/>
    </row>
    <row r="69" spans="1:29" ht="21.75" thickBot="1">
      <c r="A69" s="703" t="s">
        <v>2495</v>
      </c>
      <c r="B69" s="699"/>
      <c r="C69" s="704"/>
      <c r="D69" s="704"/>
      <c r="E69" s="704"/>
      <c r="F69" s="705"/>
      <c r="G69" s="705"/>
      <c r="H69" s="704"/>
      <c r="I69" s="704"/>
      <c r="J69" s="1071"/>
      <c r="K69" s="1072"/>
      <c r="L69" s="1073"/>
      <c r="M69" s="1071"/>
      <c r="N69" s="2993"/>
      <c r="O69" s="2993"/>
      <c r="P69" s="2993"/>
      <c r="Q69" s="2963"/>
      <c r="R69" s="2949"/>
      <c r="S69" s="2949"/>
      <c r="T69" s="2949"/>
      <c r="U69" s="2949"/>
      <c r="V69" s="2949"/>
      <c r="W69" s="2949"/>
      <c r="X69" s="2949"/>
      <c r="Y69" s="2949"/>
      <c r="Z69" s="2949"/>
      <c r="AA69" s="2949"/>
      <c r="AB69" s="2949"/>
      <c r="AC69" s="2949"/>
    </row>
    <row r="70" spans="1:29" s="465" customFormat="1" ht="15">
      <c r="A70" s="2175" t="s">
        <v>2603</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0"/>
      <c r="Q70" s="2965"/>
      <c r="R70" s="2965"/>
      <c r="S70" s="2965"/>
      <c r="T70" s="2965"/>
      <c r="U70" s="2965"/>
      <c r="V70" s="2965"/>
      <c r="W70" s="2965"/>
      <c r="X70" s="2965"/>
      <c r="Y70" s="2965"/>
      <c r="Z70" s="2965"/>
      <c r="AA70" s="2965"/>
      <c r="AB70" s="2965"/>
      <c r="AC70" s="2965"/>
    </row>
    <row r="71" spans="1:29" s="113" customFormat="1" ht="30" customHeight="1">
      <c r="A71" s="2176" t="s">
        <v>2604</v>
      </c>
      <c r="B71" s="294" t="str">
        <f>"北京市平均增长率"&amp;TEXT(SUMIF(基准地价修正!N21:N25,A71,基准地价修正!P21:P25),"0.00%")</f>
        <v>北京市平均增长率1.85%</v>
      </c>
      <c r="C71" s="560">
        <v>100</v>
      </c>
      <c r="D71" s="552">
        <f>C71-$C$72</f>
        <v>99.5</v>
      </c>
      <c r="E71" s="552">
        <f t="shared" ref="E71:M71" si="20">D71-$C$72</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c r="O71" s="1341"/>
      <c r="P71" s="2963"/>
      <c r="Q71" s="2884"/>
      <c r="R71" s="2884"/>
      <c r="S71" s="2884"/>
      <c r="T71" s="2884"/>
      <c r="U71" s="2884"/>
      <c r="V71" s="2884"/>
      <c r="W71" s="2884"/>
      <c r="X71" s="2884"/>
      <c r="Y71" s="2884"/>
      <c r="Z71" s="2884"/>
      <c r="AA71" s="2884"/>
      <c r="AB71" s="2884"/>
      <c r="AC71" s="2884"/>
    </row>
    <row r="72" spans="1:29" s="113" customFormat="1" ht="15.75" thickBot="1">
      <c r="A72" s="472" t="s">
        <v>2406</v>
      </c>
      <c r="B72" s="473"/>
      <c r="C72" s="474">
        <v>0.5</v>
      </c>
      <c r="D72" s="475"/>
      <c r="E72" s="475"/>
      <c r="F72" s="475"/>
      <c r="G72" s="475"/>
      <c r="H72" s="475"/>
      <c r="I72" s="475"/>
      <c r="J72" s="475"/>
      <c r="K72" s="475"/>
      <c r="L72" s="475"/>
      <c r="M72" s="476"/>
      <c r="N72" s="475"/>
      <c r="O72" s="1074"/>
      <c r="P72" s="2963"/>
      <c r="Q72" s="2963"/>
      <c r="R72" s="2884"/>
      <c r="S72" s="2884"/>
      <c r="T72" s="2884"/>
      <c r="U72" s="2884"/>
      <c r="V72" s="2884"/>
      <c r="W72" s="2884"/>
      <c r="X72" s="2884"/>
      <c r="Y72" s="2884"/>
      <c r="Z72" s="2884"/>
      <c r="AA72" s="2884"/>
      <c r="AB72" s="2884"/>
      <c r="AC72" s="2884"/>
    </row>
    <row r="73" spans="1:29" s="113" customFormat="1" ht="15">
      <c r="A73" s="478" t="s">
        <v>2371</v>
      </c>
      <c r="B73" s="467"/>
      <c r="C73" s="479" t="s">
        <v>2473</v>
      </c>
      <c r="D73" s="480"/>
      <c r="E73" s="480"/>
      <c r="F73" s="480"/>
      <c r="G73" s="480"/>
      <c r="H73" s="480"/>
      <c r="I73" s="480"/>
      <c r="J73" s="480"/>
      <c r="K73" s="480"/>
      <c r="L73" s="481"/>
      <c r="M73" s="482"/>
      <c r="N73" s="2976"/>
      <c r="O73" s="2976"/>
      <c r="P73" s="3001"/>
      <c r="Q73" s="2963"/>
      <c r="R73" s="2884"/>
      <c r="S73" s="2884"/>
      <c r="T73" s="2884"/>
      <c r="U73" s="2884"/>
      <c r="V73" s="2884"/>
      <c r="W73" s="2884"/>
      <c r="X73" s="2884"/>
      <c r="Y73" s="2884"/>
      <c r="Z73" s="2884"/>
      <c r="AA73" s="2884"/>
      <c r="AB73" s="2884"/>
      <c r="AC73" s="2884"/>
    </row>
    <row r="74" spans="1:29" s="113" customFormat="1" ht="15.75" thickBot="1">
      <c r="A74" s="478"/>
      <c r="B74" s="467"/>
      <c r="C74" s="595">
        <v>100</v>
      </c>
      <c r="D74" s="469"/>
      <c r="E74" s="469"/>
      <c r="F74" s="469"/>
      <c r="G74" s="469"/>
      <c r="H74" s="469"/>
      <c r="I74" s="469"/>
      <c r="J74" s="469"/>
      <c r="K74" s="469"/>
      <c r="L74" s="469"/>
      <c r="M74" s="471"/>
      <c r="N74" s="2976"/>
      <c r="O74" s="2976"/>
      <c r="P74" s="2963"/>
      <c r="Q74" s="2963"/>
      <c r="R74" s="2884"/>
      <c r="S74" s="2884"/>
      <c r="T74" s="2884"/>
      <c r="U74" s="2884"/>
      <c r="V74" s="2884"/>
      <c r="W74" s="2884"/>
      <c r="X74" s="2884"/>
      <c r="Y74" s="2884"/>
      <c r="Z74" s="2884"/>
      <c r="AA74" s="2884"/>
      <c r="AB74" s="2884"/>
      <c r="AC74" s="2884"/>
    </row>
    <row r="75" spans="1:29">
      <c r="A75" s="484" t="s">
        <v>2409</v>
      </c>
      <c r="B75" s="485" t="s">
        <v>2375</v>
      </c>
      <c r="C75" s="3058" t="s">
        <v>3270</v>
      </c>
      <c r="D75" s="487"/>
      <c r="E75" s="487"/>
      <c r="F75" s="487"/>
      <c r="G75" s="487"/>
      <c r="H75" s="487"/>
      <c r="I75" s="487"/>
      <c r="J75" s="487"/>
      <c r="K75" s="488"/>
      <c r="L75" s="489"/>
      <c r="M75" s="490"/>
      <c r="N75" s="2977"/>
      <c r="O75" s="2977"/>
      <c r="P75" s="3002"/>
      <c r="Q75" s="2963"/>
      <c r="R75" s="2949"/>
      <c r="S75" s="2949"/>
      <c r="T75" s="2949"/>
      <c r="U75" s="2949"/>
      <c r="V75" s="2949"/>
      <c r="W75" s="2949"/>
      <c r="X75" s="2949"/>
      <c r="Y75" s="2949"/>
      <c r="Z75" s="2949"/>
      <c r="AA75" s="2949"/>
      <c r="AB75" s="2949"/>
      <c r="AC75" s="2949"/>
    </row>
    <row r="76" spans="1:29" ht="15.75" thickBot="1">
      <c r="A76" s="491"/>
      <c r="B76" s="492"/>
      <c r="C76" s="493">
        <v>100</v>
      </c>
      <c r="D76" s="493"/>
      <c r="E76" s="493"/>
      <c r="F76" s="493"/>
      <c r="G76" s="493"/>
      <c r="H76" s="493"/>
      <c r="I76" s="493"/>
      <c r="J76" s="493"/>
      <c r="K76" s="493"/>
      <c r="L76" s="493"/>
      <c r="M76" s="494"/>
      <c r="N76" s="2978"/>
      <c r="O76" s="2978"/>
      <c r="P76" s="3002"/>
      <c r="Q76" s="2963"/>
      <c r="R76" s="2949"/>
      <c r="S76" s="2949"/>
      <c r="T76" s="2949"/>
      <c r="U76" s="2949"/>
      <c r="V76" s="2949"/>
      <c r="W76" s="2949"/>
      <c r="X76" s="2949"/>
      <c r="Y76" s="2949"/>
      <c r="Z76" s="2949"/>
      <c r="AA76" s="2949"/>
      <c r="AB76" s="2949"/>
      <c r="AC76" s="2949"/>
    </row>
    <row r="77" spans="1:29" ht="27.75" thickTop="1">
      <c r="A77" s="491"/>
      <c r="B77" s="495" t="s">
        <v>2378</v>
      </c>
      <c r="C77" s="496"/>
      <c r="D77" s="496"/>
      <c r="E77" s="496"/>
      <c r="F77" s="496"/>
      <c r="G77" s="496"/>
      <c r="H77" s="496"/>
      <c r="I77" s="496"/>
      <c r="J77" s="496"/>
      <c r="K77" s="497"/>
      <c r="L77" s="498"/>
      <c r="M77" s="499"/>
      <c r="N77" s="2977"/>
      <c r="O77" s="2977"/>
      <c r="P77" s="3002"/>
      <c r="Q77" s="2963"/>
      <c r="R77" s="2949"/>
      <c r="S77" s="2949"/>
      <c r="T77" s="2949"/>
      <c r="U77" s="2949"/>
      <c r="V77" s="2949"/>
      <c r="W77" s="2949"/>
      <c r="X77" s="2949"/>
      <c r="Y77" s="2949"/>
      <c r="Z77" s="2949"/>
      <c r="AA77" s="2949"/>
      <c r="AB77" s="2949"/>
      <c r="AC77" s="2949"/>
    </row>
    <row r="78" spans="1:29" ht="15.75" thickBot="1">
      <c r="A78" s="491"/>
      <c r="B78" s="500"/>
      <c r="C78" s="501"/>
      <c r="D78" s="501"/>
      <c r="E78" s="501"/>
      <c r="F78" s="501"/>
      <c r="G78" s="501"/>
      <c r="H78" s="501"/>
      <c r="I78" s="501"/>
      <c r="J78" s="501"/>
      <c r="K78" s="501"/>
      <c r="L78" s="501"/>
      <c r="M78" s="502"/>
      <c r="N78" s="2978"/>
      <c r="O78" s="2978"/>
      <c r="P78" s="3002"/>
      <c r="Q78" s="2963"/>
      <c r="R78" s="2949"/>
      <c r="S78" s="2949"/>
      <c r="T78" s="2949"/>
      <c r="U78" s="2949"/>
      <c r="V78" s="2949"/>
      <c r="W78" s="2949"/>
      <c r="X78" s="2949"/>
      <c r="Y78" s="2949"/>
      <c r="Z78" s="2949"/>
      <c r="AA78" s="2949"/>
      <c r="AB78" s="2949"/>
      <c r="AC78" s="2949"/>
    </row>
    <row r="79" spans="1:29" ht="15.75" thickTop="1">
      <c r="A79" s="491"/>
      <c r="B79" s="503" t="s">
        <v>2379</v>
      </c>
      <c r="C79" s="504" t="str">
        <f>C80&amp;"（含）"&amp;"-"&amp;D80</f>
        <v>0（含）-1</v>
      </c>
      <c r="D79" s="504" t="str">
        <f t="shared" ref="D79:L79" si="21">D80&amp;"（含）"&amp;"-"&amp;E80</f>
        <v>1（含）-2</v>
      </c>
      <c r="E79" s="504" t="str">
        <f t="shared" si="21"/>
        <v>2（含）-3</v>
      </c>
      <c r="F79" s="504" t="str">
        <f t="shared" si="21"/>
        <v>3（含）-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91"/>
      <c r="B80" s="505"/>
      <c r="C80" s="506">
        <v>0</v>
      </c>
      <c r="D80" s="506">
        <v>1</v>
      </c>
      <c r="E80" s="506">
        <v>2</v>
      </c>
      <c r="F80" s="506">
        <v>3</v>
      </c>
      <c r="G80" s="506"/>
      <c r="H80" s="506"/>
      <c r="I80" s="506"/>
      <c r="J80" s="506"/>
      <c r="K80" s="507"/>
      <c r="L80" s="508"/>
      <c r="M80" s="509"/>
      <c r="N80" s="2977"/>
      <c r="O80" s="2977"/>
      <c r="P80" s="3002"/>
      <c r="Q80" s="2963"/>
      <c r="R80" s="2949"/>
      <c r="S80" s="2949"/>
      <c r="T80" s="2949"/>
      <c r="U80" s="2949"/>
      <c r="V80" s="2949"/>
      <c r="W80" s="2949"/>
      <c r="X80" s="2949"/>
      <c r="Y80" s="2949"/>
      <c r="Z80" s="2949"/>
      <c r="AA80" s="2949"/>
      <c r="AB80" s="2949"/>
      <c r="AC80" s="2949"/>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78"/>
      <c r="O81" s="2978"/>
      <c r="P81" s="3002"/>
      <c r="Q81" s="2963"/>
      <c r="R81" s="2949"/>
      <c r="S81" s="2949"/>
      <c r="T81" s="2949"/>
      <c r="U81" s="2949"/>
      <c r="V81" s="2949"/>
      <c r="W81" s="2949"/>
      <c r="X81" s="2949"/>
      <c r="Y81" s="2949"/>
      <c r="Z81" s="2949"/>
      <c r="AA81" s="2949"/>
      <c r="AB81" s="2949"/>
      <c r="AC81" s="2949"/>
    </row>
    <row r="82" spans="1:29" s="430" customFormat="1" ht="15.75" thickTop="1">
      <c r="A82" s="510"/>
      <c r="B82" s="495" t="str">
        <f>B12</f>
        <v>配建</v>
      </c>
      <c r="C82" s="511"/>
      <c r="D82" s="511"/>
      <c r="E82" s="511"/>
      <c r="F82" s="511"/>
      <c r="G82" s="511"/>
      <c r="H82" s="512"/>
      <c r="I82" s="512"/>
      <c r="J82" s="512"/>
      <c r="K82" s="512"/>
      <c r="L82" s="513"/>
      <c r="M82" s="514"/>
      <c r="N82" s="2979"/>
      <c r="O82" s="2979"/>
      <c r="P82" s="3003"/>
      <c r="Q82" s="2970"/>
      <c r="R82" s="2971"/>
      <c r="S82" s="2971"/>
      <c r="T82" s="2971"/>
      <c r="U82" s="2971"/>
      <c r="V82" s="2971"/>
      <c r="W82" s="2971"/>
      <c r="X82" s="2971"/>
      <c r="Y82" s="2971"/>
      <c r="Z82" s="2971"/>
      <c r="AA82" s="2971"/>
      <c r="AB82" s="2971"/>
      <c r="AC82" s="2971"/>
    </row>
    <row r="83" spans="1:29" s="430" customFormat="1" ht="15.75" thickBot="1">
      <c r="A83" s="510"/>
      <c r="B83" s="500"/>
      <c r="C83" s="517"/>
      <c r="D83" s="493"/>
      <c r="E83" s="493"/>
      <c r="F83" s="493"/>
      <c r="G83" s="493"/>
      <c r="H83" s="493"/>
      <c r="I83" s="493"/>
      <c r="J83" s="493"/>
      <c r="K83" s="493"/>
      <c r="L83" s="493"/>
      <c r="M83" s="494"/>
      <c r="N83" s="2978"/>
      <c r="O83" s="2978"/>
      <c r="P83" s="3003"/>
      <c r="Q83" s="2970"/>
      <c r="R83" s="2971"/>
      <c r="S83" s="2971"/>
      <c r="T83" s="2971"/>
      <c r="U83" s="2971"/>
      <c r="V83" s="2971"/>
      <c r="W83" s="2971"/>
      <c r="X83" s="2971"/>
      <c r="Y83" s="2971"/>
      <c r="Z83" s="2971"/>
      <c r="AA83" s="2971"/>
      <c r="AB83" s="2971"/>
      <c r="AC83" s="2971"/>
    </row>
    <row r="84" spans="1:29" s="430" customFormat="1" ht="15.75" thickTop="1">
      <c r="A84" s="510"/>
      <c r="B84" s="495">
        <f>B13</f>
        <v>111</v>
      </c>
      <c r="C84" s="511"/>
      <c r="D84" s="511"/>
      <c r="E84" s="511"/>
      <c r="F84" s="511"/>
      <c r="G84" s="511"/>
      <c r="H84" s="512"/>
      <c r="I84" s="512"/>
      <c r="J84" s="512"/>
      <c r="K84" s="512"/>
      <c r="L84" s="513"/>
      <c r="M84" s="514"/>
      <c r="N84" s="2979"/>
      <c r="O84" s="2979"/>
      <c r="P84" s="2947"/>
      <c r="Q84" s="2973"/>
      <c r="R84" s="2971"/>
      <c r="S84" s="2971"/>
      <c r="T84" s="2971"/>
      <c r="U84" s="2971"/>
      <c r="V84" s="2971"/>
      <c r="W84" s="2971"/>
      <c r="X84" s="2971"/>
      <c r="Y84" s="2971"/>
      <c r="Z84" s="2971"/>
      <c r="AA84" s="2971"/>
      <c r="AB84" s="2971"/>
      <c r="AC84" s="2971"/>
    </row>
    <row r="85" spans="1:29" s="430" customFormat="1" ht="15.75" thickBot="1">
      <c r="A85" s="510"/>
      <c r="B85" s="500"/>
      <c r="C85" s="517"/>
      <c r="D85" s="517"/>
      <c r="E85" s="517"/>
      <c r="F85" s="517"/>
      <c r="G85" s="517"/>
      <c r="H85" s="519"/>
      <c r="I85" s="519"/>
      <c r="J85" s="519"/>
      <c r="K85" s="519"/>
      <c r="L85" s="519"/>
      <c r="M85" s="520"/>
      <c r="N85" s="2979"/>
      <c r="O85" s="2979"/>
      <c r="P85" s="3003"/>
      <c r="Q85" s="2970"/>
      <c r="R85" s="2971"/>
      <c r="S85" s="2971"/>
      <c r="T85" s="2971"/>
      <c r="U85" s="2971"/>
      <c r="V85" s="2971"/>
      <c r="W85" s="2971"/>
      <c r="X85" s="2971"/>
      <c r="Y85" s="2971"/>
      <c r="Z85" s="2971"/>
      <c r="AA85" s="2971"/>
      <c r="AB85" s="2971"/>
      <c r="AC85" s="2971"/>
    </row>
    <row r="86" spans="1:29" s="430" customFormat="1" ht="15.75" thickTop="1">
      <c r="A86" s="510"/>
      <c r="B86" s="503">
        <f>B14</f>
        <v>111</v>
      </c>
      <c r="C86" s="480"/>
      <c r="D86" s="480"/>
      <c r="E86" s="480"/>
      <c r="F86" s="480"/>
      <c r="G86" s="480"/>
      <c r="H86" s="521"/>
      <c r="I86" s="521"/>
      <c r="J86" s="521"/>
      <c r="K86" s="521"/>
      <c r="L86" s="522"/>
      <c r="M86" s="523"/>
      <c r="N86" s="2979"/>
      <c r="O86" s="2979"/>
      <c r="P86" s="3008"/>
      <c r="Q86" s="2970"/>
      <c r="R86" s="2971"/>
      <c r="S86" s="2971"/>
      <c r="T86" s="2971"/>
      <c r="U86" s="2971"/>
      <c r="V86" s="2971"/>
      <c r="W86" s="2971"/>
      <c r="X86" s="2971"/>
      <c r="Y86" s="2971"/>
      <c r="Z86" s="2971"/>
      <c r="AA86" s="2971"/>
      <c r="AB86" s="2971"/>
      <c r="AC86" s="2971"/>
    </row>
    <row r="87" spans="1:29" s="430" customFormat="1" ht="15.75" thickBot="1">
      <c r="A87" s="525"/>
      <c r="B87" s="526"/>
      <c r="C87" s="527"/>
      <c r="D87" s="527"/>
      <c r="E87" s="527"/>
      <c r="F87" s="527"/>
      <c r="G87" s="527"/>
      <c r="H87" s="528"/>
      <c r="I87" s="528"/>
      <c r="J87" s="528"/>
      <c r="K87" s="528"/>
      <c r="L87" s="528"/>
      <c r="M87" s="529"/>
      <c r="N87" s="2979"/>
      <c r="O87" s="2979"/>
      <c r="P87" s="3003"/>
      <c r="Q87" s="2970"/>
      <c r="R87" s="2971"/>
      <c r="S87" s="2971"/>
      <c r="T87" s="2971"/>
      <c r="U87" s="2971"/>
      <c r="V87" s="2971"/>
      <c r="W87" s="2971"/>
      <c r="X87" s="2971"/>
      <c r="Y87" s="2971"/>
      <c r="Z87" s="2971"/>
      <c r="AA87" s="2971"/>
      <c r="AB87" s="2971"/>
      <c r="AC87" s="2971"/>
    </row>
    <row r="88" spans="1:29">
      <c r="A88" s="484" t="s">
        <v>2380</v>
      </c>
      <c r="B88" s="485" t="s">
        <v>2417</v>
      </c>
      <c r="C88" s="530" t="s">
        <v>2418</v>
      </c>
      <c r="D88" s="530" t="s">
        <v>2419</v>
      </c>
      <c r="E88" s="530" t="s">
        <v>2420</v>
      </c>
      <c r="F88" s="530" t="s">
        <v>2421</v>
      </c>
      <c r="G88" s="530" t="s">
        <v>2422</v>
      </c>
      <c r="H88" s="486"/>
      <c r="I88" s="486"/>
      <c r="J88" s="486"/>
      <c r="K88" s="531"/>
      <c r="L88" s="532"/>
      <c r="M88" s="533"/>
      <c r="N88" s="2977"/>
      <c r="O88" s="2977"/>
      <c r="P88" s="3004"/>
      <c r="Q88" s="2963"/>
      <c r="R88" s="2949"/>
      <c r="S88" s="2949"/>
      <c r="T88" s="2949"/>
      <c r="U88" s="2949"/>
      <c r="V88" s="2949"/>
      <c r="W88" s="2949"/>
      <c r="X88" s="2949"/>
      <c r="Y88" s="2949"/>
      <c r="Z88" s="2949"/>
      <c r="AA88" s="2949"/>
      <c r="AB88" s="2949"/>
      <c r="AC88" s="294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8"/>
      <c r="O89" s="2978"/>
      <c r="P89" s="3002"/>
      <c r="Q89" s="2963"/>
      <c r="R89" s="2949"/>
      <c r="S89" s="2949"/>
      <c r="T89" s="2949"/>
      <c r="U89" s="2949"/>
      <c r="V89" s="2949"/>
      <c r="W89" s="2949"/>
      <c r="X89" s="2949"/>
      <c r="Y89" s="2949"/>
      <c r="Z89" s="2949"/>
      <c r="AA89" s="2949"/>
      <c r="AB89" s="2949"/>
      <c r="AC89" s="2949"/>
    </row>
    <row r="90" spans="1:29" ht="15.75" thickTop="1">
      <c r="A90" s="491"/>
      <c r="B90" s="495" t="s">
        <v>2605</v>
      </c>
      <c r="C90" s="535" t="s">
        <v>2418</v>
      </c>
      <c r="D90" s="535" t="s">
        <v>2419</v>
      </c>
      <c r="E90" s="535" t="s">
        <v>2420</v>
      </c>
      <c r="F90" s="535" t="s">
        <v>2421</v>
      </c>
      <c r="G90" s="535" t="s">
        <v>2422</v>
      </c>
      <c r="H90" s="496"/>
      <c r="I90" s="496"/>
      <c r="J90" s="496"/>
      <c r="K90" s="497"/>
      <c r="L90" s="498"/>
      <c r="M90" s="499"/>
      <c r="N90" s="2977"/>
      <c r="O90" s="2977"/>
      <c r="P90" s="3002"/>
      <c r="Q90" s="2963"/>
      <c r="R90" s="2949"/>
      <c r="S90" s="2949"/>
      <c r="T90" s="2949"/>
      <c r="U90" s="2949"/>
      <c r="V90" s="2949"/>
      <c r="W90" s="2949"/>
      <c r="X90" s="2949"/>
      <c r="Y90" s="2949"/>
      <c r="Z90" s="2949"/>
      <c r="AA90" s="2949"/>
      <c r="AB90" s="2949"/>
      <c r="AC90" s="2949"/>
    </row>
    <row r="91" spans="1:29" ht="15.75" thickBot="1">
      <c r="A91" s="491"/>
      <c r="B91" s="500"/>
      <c r="C91" s="501">
        <v>100</v>
      </c>
      <c r="D91" s="501">
        <f>C91-$K17</f>
        <v>98</v>
      </c>
      <c r="E91" s="501">
        <f>D91-$K17</f>
        <v>96</v>
      </c>
      <c r="F91" s="501">
        <f>E91-$K17</f>
        <v>94</v>
      </c>
      <c r="G91" s="501">
        <f>F91-$K17</f>
        <v>92</v>
      </c>
      <c r="H91" s="501"/>
      <c r="I91" s="501"/>
      <c r="J91" s="501"/>
      <c r="K91" s="501"/>
      <c r="L91" s="501"/>
      <c r="M91" s="502"/>
      <c r="N91" s="2978"/>
      <c r="O91" s="2978"/>
      <c r="P91" s="3002"/>
      <c r="Q91" s="2963"/>
      <c r="R91" s="2949"/>
      <c r="S91" s="2949"/>
      <c r="T91" s="2949"/>
      <c r="U91" s="2949"/>
      <c r="V91" s="2949"/>
      <c r="W91" s="2949"/>
      <c r="X91" s="2949"/>
      <c r="Y91" s="2949"/>
      <c r="Z91" s="2949"/>
      <c r="AA91" s="2949"/>
      <c r="AB91" s="2949"/>
      <c r="AC91" s="2949"/>
    </row>
    <row r="92" spans="1:29" ht="15.75" thickTop="1">
      <c r="A92" s="491"/>
      <c r="B92" s="495" t="s">
        <v>2518</v>
      </c>
      <c r="C92" s="535" t="s">
        <v>2418</v>
      </c>
      <c r="D92" s="535" t="s">
        <v>2419</v>
      </c>
      <c r="E92" s="535" t="s">
        <v>2420</v>
      </c>
      <c r="F92" s="535" t="s">
        <v>2421</v>
      </c>
      <c r="G92" s="535" t="s">
        <v>2422</v>
      </c>
      <c r="H92" s="496"/>
      <c r="I92" s="496"/>
      <c r="J92" s="496"/>
      <c r="K92" s="497"/>
      <c r="L92" s="498"/>
      <c r="M92" s="499"/>
      <c r="N92" s="2977"/>
      <c r="O92" s="2977"/>
      <c r="P92" s="3002"/>
      <c r="Q92" s="2963"/>
      <c r="R92" s="2949"/>
      <c r="S92" s="2949"/>
      <c r="T92" s="2949"/>
      <c r="U92" s="2949"/>
      <c r="V92" s="2949"/>
      <c r="W92" s="2949"/>
      <c r="X92" s="2949"/>
      <c r="Y92" s="2949"/>
      <c r="Z92" s="2949"/>
      <c r="AA92" s="2949"/>
      <c r="AB92" s="2949"/>
      <c r="AC92" s="2949"/>
    </row>
    <row r="93" spans="1:29" ht="15.75" thickBot="1">
      <c r="A93" s="491"/>
      <c r="B93" s="500"/>
      <c r="C93" s="501">
        <v>100</v>
      </c>
      <c r="D93" s="501">
        <f>C93-$K19</f>
        <v>98</v>
      </c>
      <c r="E93" s="501">
        <f>D93-$K19</f>
        <v>96</v>
      </c>
      <c r="F93" s="501">
        <f>E93-$K19</f>
        <v>94</v>
      </c>
      <c r="G93" s="501">
        <f>F93-$K19</f>
        <v>92</v>
      </c>
      <c r="H93" s="501"/>
      <c r="I93" s="501"/>
      <c r="J93" s="501"/>
      <c r="K93" s="501"/>
      <c r="L93" s="501"/>
      <c r="M93" s="502"/>
      <c r="N93" s="2978"/>
      <c r="O93" s="2978"/>
      <c r="P93" s="3002"/>
      <c r="Q93" s="2963"/>
      <c r="R93" s="2949"/>
      <c r="S93" s="2949"/>
      <c r="T93" s="2949"/>
      <c r="U93" s="2949"/>
      <c r="V93" s="2949"/>
      <c r="W93" s="2949"/>
      <c r="X93" s="2949"/>
      <c r="Y93" s="2949"/>
      <c r="Z93" s="2949"/>
      <c r="AA93" s="2949"/>
      <c r="AB93" s="2949"/>
      <c r="AC93" s="2949"/>
    </row>
    <row r="94" spans="1:29" ht="15.75" thickTop="1">
      <c r="A94" s="491"/>
      <c r="B94" s="495" t="s">
        <v>2423</v>
      </c>
      <c r="C94" s="535" t="s">
        <v>2418</v>
      </c>
      <c r="D94" s="535" t="s">
        <v>2419</v>
      </c>
      <c r="E94" s="535" t="s">
        <v>2420</v>
      </c>
      <c r="F94" s="535" t="s">
        <v>2421</v>
      </c>
      <c r="G94" s="535" t="s">
        <v>2422</v>
      </c>
      <c r="H94" s="496"/>
      <c r="I94" s="496"/>
      <c r="J94" s="496"/>
      <c r="K94" s="497"/>
      <c r="L94" s="498"/>
      <c r="M94" s="499"/>
      <c r="N94" s="2977"/>
      <c r="O94" s="2977"/>
      <c r="P94" s="3002"/>
      <c r="Q94" s="2963"/>
      <c r="R94" s="2949"/>
      <c r="S94" s="2949"/>
      <c r="T94" s="2949"/>
      <c r="U94" s="2949"/>
      <c r="V94" s="2949"/>
      <c r="W94" s="2949"/>
      <c r="X94" s="2949"/>
      <c r="Y94" s="2949"/>
      <c r="Z94" s="2949"/>
      <c r="AA94" s="2949"/>
      <c r="AB94" s="2949"/>
      <c r="AC94" s="2949"/>
    </row>
    <row r="95" spans="1:29" ht="15.75" thickBot="1">
      <c r="A95" s="491"/>
      <c r="B95" s="500"/>
      <c r="C95" s="501">
        <v>100</v>
      </c>
      <c r="D95" s="501">
        <f>C95-$K21</f>
        <v>98</v>
      </c>
      <c r="E95" s="501">
        <f>D95-$K21</f>
        <v>96</v>
      </c>
      <c r="F95" s="501">
        <f>E95-$K21</f>
        <v>94</v>
      </c>
      <c r="G95" s="501">
        <f>F95-$K21</f>
        <v>92</v>
      </c>
      <c r="H95" s="501"/>
      <c r="I95" s="501"/>
      <c r="J95" s="501"/>
      <c r="K95" s="501"/>
      <c r="L95" s="501"/>
      <c r="M95" s="502"/>
      <c r="N95" s="2978"/>
      <c r="O95" s="2978"/>
      <c r="P95" s="3002"/>
      <c r="Q95" s="2963"/>
      <c r="R95" s="2949"/>
      <c r="S95" s="2949"/>
      <c r="T95" s="2949"/>
      <c r="U95" s="2949"/>
      <c r="V95" s="2949"/>
      <c r="W95" s="2949"/>
      <c r="X95" s="2949"/>
      <c r="Y95" s="2949"/>
      <c r="Z95" s="2949"/>
      <c r="AA95" s="2949"/>
      <c r="AB95" s="2949"/>
      <c r="AC95" s="2949"/>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6"/>
      <c r="O96" s="2976"/>
      <c r="P96" s="3002"/>
      <c r="Q96" s="2963"/>
      <c r="R96" s="2884"/>
      <c r="S96" s="2884"/>
      <c r="T96" s="2884"/>
      <c r="U96" s="2884"/>
      <c r="V96" s="2884"/>
      <c r="W96" s="2884"/>
      <c r="X96" s="2884"/>
      <c r="Y96" s="2884"/>
      <c r="Z96" s="2884"/>
      <c r="AA96" s="2884"/>
      <c r="AB96" s="2884"/>
      <c r="AC96" s="2884"/>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8"/>
      <c r="O97" s="2978"/>
      <c r="P97" s="3002"/>
      <c r="Q97" s="2963"/>
      <c r="R97" s="2884"/>
      <c r="S97" s="2884"/>
      <c r="T97" s="2884"/>
      <c r="U97" s="2884"/>
      <c r="V97" s="2884"/>
      <c r="W97" s="2884"/>
      <c r="X97" s="2884"/>
      <c r="Y97" s="2884"/>
      <c r="Z97" s="2884"/>
      <c r="AA97" s="2884"/>
      <c r="AB97" s="2884"/>
      <c r="AC97" s="2884"/>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6"/>
      <c r="O98" s="2976"/>
      <c r="P98" s="3002"/>
      <c r="Q98" s="2963"/>
      <c r="R98" s="2884"/>
      <c r="S98" s="2884"/>
      <c r="T98" s="2884"/>
      <c r="U98" s="2884"/>
      <c r="V98" s="2884"/>
      <c r="W98" s="2884"/>
      <c r="X98" s="2884"/>
      <c r="Y98" s="2884"/>
      <c r="Z98" s="2884"/>
      <c r="AA98" s="2884"/>
      <c r="AB98" s="2884"/>
      <c r="AC98" s="2884"/>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8"/>
      <c r="O99" s="2978"/>
      <c r="P99" s="3002"/>
      <c r="Q99" s="2963"/>
      <c r="R99" s="2884"/>
      <c r="S99" s="2884"/>
      <c r="T99" s="2884"/>
      <c r="U99" s="2884"/>
      <c r="V99" s="2884"/>
      <c r="W99" s="2884"/>
      <c r="X99" s="2884"/>
      <c r="Y99" s="2884"/>
      <c r="Z99" s="2884"/>
      <c r="AA99" s="2884"/>
      <c r="AB99" s="2884"/>
      <c r="AC99" s="2884"/>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9"/>
      <c r="O100" s="2979"/>
      <c r="P100" s="3003"/>
      <c r="Q100" s="2970"/>
      <c r="R100" s="2971"/>
      <c r="S100" s="2971"/>
      <c r="T100" s="2971"/>
      <c r="U100" s="2971"/>
      <c r="V100" s="2971"/>
      <c r="W100" s="2971"/>
      <c r="X100" s="2971"/>
      <c r="Y100" s="2971"/>
      <c r="Z100" s="2971"/>
      <c r="AA100" s="2971"/>
      <c r="AB100" s="2971"/>
      <c r="AC100" s="2971"/>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9"/>
      <c r="O101" s="2979"/>
      <c r="P101" s="3003"/>
      <c r="Q101" s="2970"/>
      <c r="R101" s="2971"/>
      <c r="S101" s="2971"/>
      <c r="T101" s="2971"/>
      <c r="U101" s="2971"/>
      <c r="V101" s="2971"/>
      <c r="W101" s="2971"/>
      <c r="X101" s="2971"/>
      <c r="Y101" s="2971"/>
      <c r="Z101" s="2971"/>
      <c r="AA101" s="2971"/>
      <c r="AB101" s="2971"/>
      <c r="AC101" s="2971"/>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79"/>
      <c r="O102" s="2979"/>
      <c r="P102" s="3003"/>
      <c r="Q102" s="2970"/>
      <c r="R102" s="2971"/>
      <c r="S102" s="2971"/>
      <c r="T102" s="2971"/>
      <c r="U102" s="2971"/>
      <c r="V102" s="2971"/>
      <c r="W102" s="2971"/>
      <c r="X102" s="2971"/>
      <c r="Y102" s="2971"/>
      <c r="Z102" s="2971"/>
      <c r="AA102" s="2971"/>
      <c r="AB102" s="2971"/>
      <c r="AC102" s="2971"/>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79"/>
      <c r="O103" s="2979"/>
      <c r="P103" s="3003"/>
      <c r="Q103" s="2970"/>
      <c r="R103" s="2971"/>
      <c r="S103" s="2971"/>
      <c r="T103" s="2971"/>
      <c r="U103" s="2971"/>
      <c r="V103" s="2971"/>
      <c r="W103" s="2971"/>
      <c r="X103" s="2971"/>
      <c r="Y103" s="2971"/>
      <c r="Z103" s="2971"/>
      <c r="AA103" s="2971"/>
      <c r="AB103" s="2971"/>
      <c r="AC103" s="2971"/>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7"/>
      <c r="O104" s="2977"/>
      <c r="P104" s="3002"/>
      <c r="Q104" s="2963"/>
      <c r="R104" s="2949"/>
      <c r="S104" s="2949"/>
      <c r="T104" s="2949"/>
      <c r="U104" s="2949"/>
      <c r="V104" s="2949"/>
      <c r="W104" s="2949"/>
      <c r="X104" s="2949"/>
      <c r="Y104" s="2949"/>
      <c r="Z104" s="2949"/>
      <c r="AA104" s="2949"/>
      <c r="AB104" s="2949"/>
      <c r="AC104" s="2949"/>
    </row>
    <row r="105" spans="1:29" ht="15.75" thickBot="1">
      <c r="A105" s="491"/>
      <c r="B105" s="500"/>
      <c r="C105" s="501">
        <v>100</v>
      </c>
      <c r="D105" s="501">
        <f>C105-$K31</f>
        <v>98</v>
      </c>
      <c r="E105" s="501">
        <f t="shared" ref="E105:M105" si="23">D105-$K31</f>
        <v>96</v>
      </c>
      <c r="F105" s="501">
        <f t="shared" si="23"/>
        <v>94</v>
      </c>
      <c r="G105" s="501">
        <f t="shared" si="23"/>
        <v>92</v>
      </c>
      <c r="H105" s="501">
        <f t="shared" si="23"/>
        <v>90</v>
      </c>
      <c r="I105" s="501">
        <f t="shared" si="23"/>
        <v>88</v>
      </c>
      <c r="J105" s="501">
        <f t="shared" si="23"/>
        <v>86</v>
      </c>
      <c r="K105" s="501">
        <f t="shared" si="23"/>
        <v>84</v>
      </c>
      <c r="L105" s="501">
        <f t="shared" si="23"/>
        <v>82</v>
      </c>
      <c r="M105" s="501">
        <f t="shared" si="23"/>
        <v>80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91"/>
      <c r="B106" s="495" t="s">
        <v>2512</v>
      </c>
      <c r="C106" s="511"/>
      <c r="D106" s="511"/>
      <c r="E106" s="511"/>
      <c r="F106" s="511"/>
      <c r="G106" s="511"/>
      <c r="H106" s="540"/>
      <c r="I106" s="540"/>
      <c r="J106" s="540"/>
      <c r="K106" s="541"/>
      <c r="L106" s="542"/>
      <c r="M106" s="543"/>
      <c r="N106" s="2977"/>
      <c r="O106" s="2977"/>
      <c r="P106" s="3002"/>
      <c r="Q106" s="2963"/>
      <c r="R106" s="2949"/>
      <c r="S106" s="2949"/>
      <c r="T106" s="2949"/>
      <c r="U106" s="2949"/>
      <c r="V106" s="2949"/>
      <c r="W106" s="2949"/>
      <c r="X106" s="2949"/>
      <c r="Y106" s="2949"/>
      <c r="Z106" s="2949"/>
      <c r="AA106" s="2949"/>
      <c r="AB106" s="2949"/>
      <c r="AC106" s="2949"/>
    </row>
    <row r="107" spans="1:29" ht="15.75" thickBot="1">
      <c r="A107" s="491"/>
      <c r="B107" s="500"/>
      <c r="C107" s="501">
        <v>100</v>
      </c>
      <c r="D107" s="501">
        <f>C107-$K32</f>
        <v>98</v>
      </c>
      <c r="E107" s="501">
        <f t="shared" ref="E107:M107" si="24">D107-$K32</f>
        <v>96</v>
      </c>
      <c r="F107" s="501">
        <f t="shared" si="24"/>
        <v>94</v>
      </c>
      <c r="G107" s="501">
        <f t="shared" si="24"/>
        <v>92</v>
      </c>
      <c r="H107" s="501">
        <f t="shared" si="24"/>
        <v>90</v>
      </c>
      <c r="I107" s="501">
        <f t="shared" si="24"/>
        <v>88</v>
      </c>
      <c r="J107" s="501">
        <f t="shared" si="24"/>
        <v>86</v>
      </c>
      <c r="K107" s="501">
        <f t="shared" si="24"/>
        <v>84</v>
      </c>
      <c r="L107" s="501">
        <f t="shared" si="24"/>
        <v>82</v>
      </c>
      <c r="M107" s="501">
        <f t="shared" si="24"/>
        <v>80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91"/>
      <c r="B108" s="495" t="s">
        <v>2571</v>
      </c>
      <c r="C108" s="540"/>
      <c r="D108" s="540"/>
      <c r="E108" s="540"/>
      <c r="F108" s="540"/>
      <c r="G108" s="540"/>
      <c r="H108" s="540"/>
      <c r="I108" s="540"/>
      <c r="J108" s="540"/>
      <c r="K108" s="541"/>
      <c r="L108" s="542"/>
      <c r="M108" s="543"/>
      <c r="N108" s="2977"/>
      <c r="O108" s="2977"/>
      <c r="P108" s="3002"/>
      <c r="Q108" s="2963"/>
      <c r="R108" s="2949"/>
      <c r="S108" s="2949"/>
      <c r="T108" s="2949"/>
      <c r="U108" s="2949"/>
      <c r="V108" s="2949"/>
      <c r="W108" s="2949"/>
      <c r="X108" s="2949"/>
      <c r="Y108" s="2949"/>
      <c r="Z108" s="2949"/>
      <c r="AA108" s="2949"/>
      <c r="AB108" s="2949"/>
      <c r="AC108" s="2949"/>
    </row>
    <row r="109" spans="1:29" ht="15.75" thickBot="1">
      <c r="A109" s="491"/>
      <c r="B109" s="500"/>
      <c r="C109" s="501">
        <v>100</v>
      </c>
      <c r="D109" s="501">
        <f>C109-$K34</f>
        <v>98</v>
      </c>
      <c r="E109" s="501">
        <f t="shared" ref="E109:M109" si="25">D109-$K34</f>
        <v>96</v>
      </c>
      <c r="F109" s="501">
        <f t="shared" si="25"/>
        <v>94</v>
      </c>
      <c r="G109" s="501">
        <f t="shared" si="25"/>
        <v>92</v>
      </c>
      <c r="H109" s="501">
        <f t="shared" si="25"/>
        <v>90</v>
      </c>
      <c r="I109" s="501">
        <f t="shared" si="25"/>
        <v>88</v>
      </c>
      <c r="J109" s="501">
        <f t="shared" si="25"/>
        <v>86</v>
      </c>
      <c r="K109" s="501">
        <f t="shared" si="25"/>
        <v>84</v>
      </c>
      <c r="L109" s="501">
        <f t="shared" si="25"/>
        <v>82</v>
      </c>
      <c r="M109" s="501">
        <f t="shared" si="25"/>
        <v>80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91"/>
      <c r="B110" s="503">
        <f>B35</f>
        <v>111</v>
      </c>
      <c r="C110" s="511"/>
      <c r="D110" s="511"/>
      <c r="E110" s="511"/>
      <c r="F110" s="511"/>
      <c r="G110" s="544"/>
      <c r="H110" s="544"/>
      <c r="I110" s="544"/>
      <c r="J110" s="544"/>
      <c r="K110" s="545"/>
      <c r="L110" s="546"/>
      <c r="M110" s="547"/>
      <c r="N110" s="2977"/>
      <c r="O110" s="2977"/>
      <c r="P110" s="3002"/>
      <c r="Q110" s="2963"/>
      <c r="R110" s="2949"/>
      <c r="S110" s="2949"/>
      <c r="T110" s="2949"/>
      <c r="U110" s="2949"/>
      <c r="V110" s="2949"/>
      <c r="W110" s="2949"/>
      <c r="X110" s="2949"/>
      <c r="Y110" s="2949"/>
      <c r="Z110" s="2949"/>
      <c r="AA110" s="2949"/>
      <c r="AB110" s="2949"/>
      <c r="AC110" s="2949"/>
    </row>
    <row r="111" spans="1:29" ht="15.75" thickBot="1">
      <c r="A111" s="491"/>
      <c r="B111" s="526"/>
      <c r="C111" s="517"/>
      <c r="D111" s="517"/>
      <c r="E111" s="517"/>
      <c r="F111" s="517"/>
      <c r="G111" s="548"/>
      <c r="H111" s="548"/>
      <c r="I111" s="548"/>
      <c r="J111" s="548"/>
      <c r="K111" s="548"/>
      <c r="L111" s="548"/>
      <c r="M111" s="549"/>
      <c r="N111" s="2978"/>
      <c r="O111" s="2978"/>
      <c r="P111" s="3002"/>
      <c r="Q111" s="2963"/>
      <c r="R111" s="2949"/>
      <c r="S111" s="2949"/>
      <c r="T111" s="2949"/>
      <c r="U111" s="2949"/>
      <c r="V111" s="2949"/>
      <c r="W111" s="2949"/>
      <c r="X111" s="2949"/>
      <c r="Y111" s="2949"/>
      <c r="Z111" s="2949"/>
      <c r="AA111" s="2949"/>
      <c r="AB111" s="2949"/>
      <c r="AC111" s="2949"/>
    </row>
    <row r="112" spans="1:29" ht="15" thickTop="1">
      <c r="A112" s="631"/>
      <c r="B112" s="495">
        <f>B36</f>
        <v>111</v>
      </c>
      <c r="C112" s="480"/>
      <c r="D112" s="480"/>
      <c r="E112" s="480"/>
      <c r="F112" s="480"/>
      <c r="G112" s="540"/>
      <c r="H112" s="540"/>
      <c r="I112" s="540"/>
      <c r="J112" s="540"/>
      <c r="K112" s="541"/>
      <c r="L112" s="542"/>
      <c r="M112" s="543"/>
      <c r="N112" s="2977"/>
      <c r="O112" s="2977"/>
      <c r="P112" s="3002"/>
      <c r="Q112" s="2963"/>
      <c r="R112" s="2949"/>
      <c r="S112" s="2949"/>
      <c r="T112" s="2949"/>
      <c r="U112" s="2949"/>
      <c r="V112" s="2949"/>
      <c r="W112" s="2949"/>
      <c r="X112" s="2949"/>
      <c r="Y112" s="2949"/>
      <c r="Z112" s="2949"/>
      <c r="AA112" s="2949"/>
      <c r="AB112" s="2949"/>
      <c r="AC112" s="2949"/>
    </row>
    <row r="113" spans="1:29" ht="15.75" thickBot="1">
      <c r="A113" s="491"/>
      <c r="B113" s="500"/>
      <c r="C113" s="527"/>
      <c r="D113" s="527"/>
      <c r="E113" s="527"/>
      <c r="F113" s="527"/>
      <c r="G113" s="493"/>
      <c r="H113" s="493"/>
      <c r="I113" s="493"/>
      <c r="J113" s="493"/>
      <c r="K113" s="493"/>
      <c r="L113" s="493"/>
      <c r="M113" s="494"/>
      <c r="N113" s="2978"/>
      <c r="O113" s="2978"/>
      <c r="P113" s="3002"/>
      <c r="Q113" s="2963"/>
      <c r="R113" s="2949"/>
      <c r="S113" s="2949"/>
      <c r="T113" s="2949"/>
      <c r="U113" s="2949"/>
      <c r="V113" s="2949"/>
      <c r="W113" s="2949"/>
      <c r="X113" s="2949"/>
      <c r="Y113" s="2949"/>
      <c r="Z113" s="2949"/>
      <c r="AA113" s="2949"/>
      <c r="AB113" s="2949"/>
      <c r="AC113" s="2949"/>
    </row>
    <row r="114" spans="1:29" s="430" customFormat="1" ht="15" thickTop="1">
      <c r="A114" s="550"/>
      <c r="B114" s="551">
        <f>B37</f>
        <v>111</v>
      </c>
      <c r="C114" s="552"/>
      <c r="D114" s="552"/>
      <c r="E114" s="552"/>
      <c r="F114" s="552"/>
      <c r="G114" s="552"/>
      <c r="H114" s="552"/>
      <c r="I114" s="552"/>
      <c r="J114" s="553"/>
      <c r="K114" s="553"/>
      <c r="L114" s="554"/>
      <c r="M114" s="555"/>
      <c r="N114" s="2979"/>
      <c r="O114" s="2979"/>
      <c r="P114" s="3003"/>
      <c r="Q114" s="2970"/>
      <c r="R114" s="2971"/>
      <c r="S114" s="2971"/>
      <c r="T114" s="2971"/>
      <c r="U114" s="2971"/>
      <c r="V114" s="2971"/>
      <c r="W114" s="2971"/>
      <c r="X114" s="2971"/>
      <c r="Y114" s="2971"/>
      <c r="Z114" s="2971"/>
      <c r="AA114" s="2971"/>
      <c r="AB114" s="2971"/>
      <c r="AC114" s="2971"/>
    </row>
    <row r="115" spans="1:29" s="430" customFormat="1" ht="15.75" thickBot="1">
      <c r="A115" s="510"/>
      <c r="B115" s="503"/>
      <c r="C115" s="469"/>
      <c r="D115" s="633"/>
      <c r="E115" s="633"/>
      <c r="F115" s="633"/>
      <c r="G115" s="633"/>
      <c r="H115" s="633"/>
      <c r="I115" s="633"/>
      <c r="J115" s="633"/>
      <c r="K115" s="633"/>
      <c r="L115" s="633"/>
      <c r="M115" s="655"/>
      <c r="N115" s="2978"/>
      <c r="O115" s="2978"/>
      <c r="P115" s="3003"/>
      <c r="Q115" s="2970"/>
      <c r="R115" s="2971"/>
      <c r="S115" s="2971"/>
      <c r="T115" s="2971"/>
      <c r="U115" s="2971"/>
      <c r="V115" s="2971"/>
      <c r="W115" s="2971"/>
      <c r="X115" s="2971"/>
      <c r="Y115" s="2971"/>
      <c r="Z115" s="2971"/>
      <c r="AA115" s="2971"/>
      <c r="AB115" s="2971"/>
      <c r="AC115" s="2971"/>
    </row>
    <row r="116" spans="1:29" ht="28.5">
      <c r="A116" s="484" t="s">
        <v>2384</v>
      </c>
      <c r="B116" s="485" t="s">
        <v>2612</v>
      </c>
      <c r="C116" s="486" t="str">
        <f>C117&amp;"(含)"&amp;"-"&amp;D117</f>
        <v>0(含)-20000</v>
      </c>
      <c r="D116" s="486" t="str">
        <f t="shared" ref="D116:M116" si="26">D117&amp;"(含)"&amp;"-"&amp;E117</f>
        <v>20000(含)-40000</v>
      </c>
      <c r="E116" s="486" t="str">
        <f t="shared" si="26"/>
        <v>40000(含)-60000</v>
      </c>
      <c r="F116" s="486" t="str">
        <f t="shared" si="26"/>
        <v>60000(含)-80000</v>
      </c>
      <c r="G116" s="486" t="str">
        <f t="shared" si="26"/>
        <v>80000(含)-</v>
      </c>
      <c r="H116" s="486" t="str">
        <f t="shared" si="26"/>
        <v>(含)-</v>
      </c>
      <c r="I116" s="486" t="str">
        <f t="shared" si="26"/>
        <v>(含)-</v>
      </c>
      <c r="J116" s="486" t="str">
        <f t="shared" si="26"/>
        <v>(含)-</v>
      </c>
      <c r="K116" s="486" t="str">
        <f t="shared" si="26"/>
        <v>(含)-</v>
      </c>
      <c r="L116" s="486" t="str">
        <f t="shared" si="26"/>
        <v>(含)-</v>
      </c>
      <c r="M116" s="486" t="str">
        <f t="shared" si="26"/>
        <v>(含)-</v>
      </c>
      <c r="N116" s="2977"/>
      <c r="O116" s="2977"/>
      <c r="P116" s="3002"/>
      <c r="Q116" s="2963"/>
      <c r="R116" s="2949"/>
      <c r="S116" s="2949"/>
      <c r="T116" s="2949"/>
      <c r="U116" s="2949"/>
      <c r="V116" s="2949"/>
      <c r="W116" s="2949"/>
      <c r="X116" s="2949"/>
      <c r="Y116" s="2949"/>
      <c r="Z116" s="2949"/>
      <c r="AA116" s="2949"/>
      <c r="AB116" s="2949"/>
      <c r="AC116" s="2949"/>
    </row>
    <row r="117" spans="1:29" ht="15">
      <c r="A117" s="491"/>
      <c r="B117" s="503"/>
      <c r="C117" s="552">
        <v>0</v>
      </c>
      <c r="D117" s="552">
        <v>20000</v>
      </c>
      <c r="E117" s="552">
        <v>40000</v>
      </c>
      <c r="F117" s="552">
        <v>60000</v>
      </c>
      <c r="G117" s="552">
        <v>80000</v>
      </c>
      <c r="H117" s="552"/>
      <c r="I117" s="552"/>
      <c r="J117" s="553"/>
      <c r="K117" s="553"/>
      <c r="L117" s="554"/>
      <c r="M117" s="555"/>
      <c r="N117" s="2977"/>
      <c r="O117" s="2977"/>
      <c r="P117" s="3002"/>
      <c r="Q117" s="2963"/>
      <c r="R117" s="2949"/>
      <c r="S117" s="2949"/>
      <c r="T117" s="2949"/>
      <c r="U117" s="2949"/>
      <c r="V117" s="2949"/>
      <c r="W117" s="2949"/>
      <c r="X117" s="2949"/>
      <c r="Y117" s="2949"/>
      <c r="Z117" s="2949"/>
      <c r="AA117" s="2949"/>
      <c r="AB117" s="2949"/>
      <c r="AC117" s="2949"/>
    </row>
    <row r="118" spans="1:29" ht="15.75" thickBot="1">
      <c r="A118" s="491"/>
      <c r="B118" s="500"/>
      <c r="C118" s="527">
        <v>100</v>
      </c>
      <c r="D118" s="548">
        <v>102</v>
      </c>
      <c r="E118" s="548">
        <v>104</v>
      </c>
      <c r="F118" s="548">
        <v>106</v>
      </c>
      <c r="G118" s="548">
        <v>108</v>
      </c>
      <c r="H118" s="548"/>
      <c r="I118" s="548"/>
      <c r="J118" s="548"/>
      <c r="K118" s="548"/>
      <c r="L118" s="548"/>
      <c r="M118" s="549"/>
      <c r="N118" s="2978"/>
      <c r="O118" s="2978"/>
      <c r="P118" s="3002"/>
      <c r="Q118" s="2963"/>
      <c r="R118" s="2949"/>
      <c r="S118" s="2949"/>
      <c r="T118" s="2949"/>
      <c r="U118" s="2949"/>
      <c r="V118" s="2949"/>
      <c r="W118" s="2949"/>
      <c r="X118" s="2949"/>
      <c r="Y118" s="2949"/>
      <c r="Z118" s="2949"/>
      <c r="AA118" s="2949"/>
      <c r="AB118" s="2949"/>
      <c r="AC118" s="2949"/>
    </row>
    <row r="119" spans="1:29" ht="15" thickTop="1">
      <c r="A119" s="556"/>
      <c r="B119" s="495" t="s">
        <v>2613</v>
      </c>
      <c r="C119" s="3599" t="s">
        <v>3535</v>
      </c>
      <c r="D119" s="540"/>
      <c r="E119" s="540"/>
      <c r="F119" s="540"/>
      <c r="G119" s="540"/>
      <c r="H119" s="540"/>
      <c r="I119" s="540"/>
      <c r="J119" s="540"/>
      <c r="K119" s="541"/>
      <c r="L119" s="542"/>
      <c r="M119" s="543"/>
      <c r="N119" s="2977"/>
      <c r="O119" s="2977"/>
      <c r="P119" s="3002"/>
      <c r="Q119" s="2963"/>
      <c r="R119" s="2949"/>
      <c r="S119" s="2949"/>
      <c r="T119" s="2949"/>
      <c r="U119" s="2949"/>
      <c r="V119" s="2949"/>
      <c r="W119" s="2949"/>
      <c r="X119" s="2949"/>
      <c r="Y119" s="2949"/>
      <c r="Z119" s="2949"/>
      <c r="AA119" s="2949"/>
      <c r="AB119" s="2949"/>
      <c r="AC119" s="2949"/>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6"/>
      <c r="B121" s="495" t="s">
        <v>2614</v>
      </c>
      <c r="C121" s="3202" t="s">
        <v>3537</v>
      </c>
      <c r="D121" s="511"/>
      <c r="E121" s="511"/>
      <c r="F121" s="540"/>
      <c r="G121" s="540"/>
      <c r="H121" s="540"/>
      <c r="I121" s="540"/>
      <c r="J121" s="540"/>
      <c r="K121" s="541"/>
      <c r="L121" s="542"/>
      <c r="M121" s="543"/>
      <c r="N121" s="2977"/>
      <c r="O121" s="2977"/>
      <c r="P121" s="3002"/>
      <c r="Q121" s="2963"/>
      <c r="R121" s="2949"/>
      <c r="S121" s="2949"/>
      <c r="T121" s="2949"/>
      <c r="U121" s="2949"/>
      <c r="V121" s="2949"/>
      <c r="W121" s="2949"/>
      <c r="X121" s="2949"/>
      <c r="Y121" s="2949"/>
      <c r="Z121" s="2949"/>
      <c r="AA121" s="2949"/>
      <c r="AB121" s="2949"/>
      <c r="AC121" s="2949"/>
    </row>
    <row r="122" spans="1:29" ht="15.75" thickBot="1">
      <c r="A122" s="491"/>
      <c r="B122" s="500"/>
      <c r="C122" s="501">
        <v>100</v>
      </c>
      <c r="D122" s="501">
        <f t="shared" ref="D122:M122" si="28">C122-$K40</f>
        <v>98</v>
      </c>
      <c r="E122" s="501">
        <f t="shared" si="28"/>
        <v>96</v>
      </c>
      <c r="F122" s="501">
        <f t="shared" si="28"/>
        <v>94</v>
      </c>
      <c r="G122" s="501">
        <f t="shared" si="28"/>
        <v>92</v>
      </c>
      <c r="H122" s="501">
        <f t="shared" si="28"/>
        <v>90</v>
      </c>
      <c r="I122" s="501">
        <f t="shared" si="28"/>
        <v>88</v>
      </c>
      <c r="J122" s="501">
        <f t="shared" si="28"/>
        <v>86</v>
      </c>
      <c r="K122" s="501">
        <f t="shared" si="28"/>
        <v>84</v>
      </c>
      <c r="L122" s="501">
        <f t="shared" si="28"/>
        <v>82</v>
      </c>
      <c r="M122" s="502">
        <f t="shared" si="28"/>
        <v>80</v>
      </c>
      <c r="N122" s="2978"/>
      <c r="O122" s="2978"/>
      <c r="P122" s="3002"/>
      <c r="Q122" s="2963"/>
      <c r="R122" s="2949"/>
      <c r="S122" s="2949"/>
      <c r="T122" s="2949"/>
      <c r="U122" s="2949"/>
      <c r="V122" s="2949"/>
      <c r="W122" s="2949"/>
      <c r="X122" s="2949"/>
      <c r="Y122" s="2949"/>
      <c r="Z122" s="2949"/>
      <c r="AA122" s="2949"/>
      <c r="AB122" s="2949"/>
      <c r="AC122" s="2949"/>
    </row>
    <row r="123" spans="1:29" s="430" customFormat="1" ht="15" thickTop="1">
      <c r="A123" s="550"/>
      <c r="B123" s="495" t="s">
        <v>2615</v>
      </c>
      <c r="C123" s="3202" t="s">
        <v>3476</v>
      </c>
      <c r="D123" s="3202" t="s">
        <v>3477</v>
      </c>
      <c r="E123" s="3202" t="s">
        <v>3478</v>
      </c>
      <c r="F123" s="3202" t="s">
        <v>3480</v>
      </c>
      <c r="G123" s="511"/>
      <c r="H123" s="540"/>
      <c r="I123" s="540"/>
      <c r="J123" s="540"/>
      <c r="K123" s="541"/>
      <c r="L123" s="542"/>
      <c r="M123" s="543"/>
      <c r="N123" s="2979"/>
      <c r="O123" s="2979"/>
      <c r="P123" s="3003"/>
      <c r="Q123" s="2970"/>
      <c r="R123" s="2971"/>
      <c r="S123" s="2971"/>
      <c r="T123" s="2971"/>
      <c r="U123" s="2971"/>
      <c r="V123" s="2971"/>
      <c r="W123" s="2971"/>
      <c r="X123" s="2971"/>
      <c r="Y123" s="2971"/>
      <c r="Z123" s="2971"/>
      <c r="AA123" s="2971"/>
      <c r="AB123" s="2971"/>
      <c r="AC123" s="2971"/>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6"/>
      <c r="B125" s="495" t="s">
        <v>2616</v>
      </c>
      <c r="C125" s="3202" t="s">
        <v>3538</v>
      </c>
      <c r="D125" s="511"/>
      <c r="E125" s="540"/>
      <c r="F125" s="540"/>
      <c r="G125" s="540"/>
      <c r="H125" s="540"/>
      <c r="I125" s="540"/>
      <c r="J125" s="540"/>
      <c r="K125" s="541"/>
      <c r="L125" s="542"/>
      <c r="M125" s="543"/>
      <c r="N125" s="2977"/>
      <c r="O125" s="2977"/>
      <c r="P125" s="3002"/>
      <c r="Q125" s="2963"/>
      <c r="R125" s="2949"/>
      <c r="S125" s="2949"/>
      <c r="T125" s="2949"/>
      <c r="U125" s="2949"/>
      <c r="V125" s="2949"/>
      <c r="W125" s="2949"/>
      <c r="X125" s="2949"/>
      <c r="Y125" s="2949"/>
      <c r="Z125" s="2949"/>
      <c r="AA125" s="2949"/>
      <c r="AB125" s="2949"/>
      <c r="AC125" s="2949"/>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6"/>
      <c r="B127" s="495">
        <f>B43</f>
        <v>111</v>
      </c>
      <c r="C127" s="511"/>
      <c r="D127" s="511"/>
      <c r="E127" s="511"/>
      <c r="F127" s="511"/>
      <c r="G127" s="511"/>
      <c r="H127" s="540"/>
      <c r="I127" s="540"/>
      <c r="J127" s="540"/>
      <c r="K127" s="541"/>
      <c r="L127" s="542"/>
      <c r="M127" s="543"/>
      <c r="N127" s="2977"/>
      <c r="O127" s="2977"/>
      <c r="P127" s="3002"/>
      <c r="Q127" s="2963"/>
      <c r="R127" s="2949"/>
      <c r="S127" s="2949"/>
      <c r="T127" s="2949"/>
      <c r="U127" s="2949"/>
      <c r="V127" s="2949"/>
      <c r="W127" s="2949"/>
      <c r="X127" s="2949"/>
      <c r="Y127" s="2949"/>
      <c r="Z127" s="2949"/>
      <c r="AA127" s="2949"/>
      <c r="AB127" s="2949"/>
      <c r="AC127" s="2949"/>
    </row>
    <row r="128" spans="1:29" ht="15.75" thickBot="1">
      <c r="A128" s="491"/>
      <c r="B128" s="500"/>
      <c r="C128" s="517"/>
      <c r="D128" s="517"/>
      <c r="E128" s="517"/>
      <c r="F128" s="517"/>
      <c r="G128" s="493"/>
      <c r="H128" s="493"/>
      <c r="I128" s="493"/>
      <c r="J128" s="493"/>
      <c r="K128" s="493"/>
      <c r="L128" s="493"/>
      <c r="M128" s="494"/>
      <c r="N128" s="2978"/>
      <c r="O128" s="2978"/>
      <c r="P128" s="3002"/>
      <c r="Q128" s="2963"/>
      <c r="R128" s="2949"/>
      <c r="S128" s="2949"/>
      <c r="T128" s="2949"/>
      <c r="U128" s="2949"/>
      <c r="V128" s="2949"/>
      <c r="W128" s="2949"/>
      <c r="X128" s="2949"/>
      <c r="Y128" s="2949"/>
      <c r="Z128" s="2949"/>
      <c r="AA128" s="2949"/>
      <c r="AB128" s="2949"/>
      <c r="AC128" s="2949"/>
    </row>
    <row r="129" spans="1:29" ht="15" thickTop="1">
      <c r="A129" s="556"/>
      <c r="B129" s="495">
        <f>B44</f>
        <v>111</v>
      </c>
      <c r="C129" s="480"/>
      <c r="D129" s="480"/>
      <c r="E129" s="480"/>
      <c r="F129" s="480"/>
      <c r="G129" s="540"/>
      <c r="H129" s="540"/>
      <c r="I129" s="540"/>
      <c r="J129" s="540"/>
      <c r="K129" s="541"/>
      <c r="L129" s="542"/>
      <c r="M129" s="543"/>
      <c r="N129" s="2977"/>
      <c r="O129" s="2977"/>
      <c r="P129" s="3002"/>
      <c r="Q129" s="2963"/>
      <c r="R129" s="2949"/>
      <c r="S129" s="2949"/>
      <c r="T129" s="2949"/>
      <c r="U129" s="2949"/>
      <c r="V129" s="2949"/>
      <c r="W129" s="2949"/>
      <c r="X129" s="2949"/>
      <c r="Y129" s="2949"/>
      <c r="Z129" s="2949"/>
      <c r="AA129" s="2949"/>
      <c r="AB129" s="2949"/>
      <c r="AC129" s="2949"/>
    </row>
    <row r="130" spans="1:29" ht="15.75" thickBot="1">
      <c r="A130" s="491"/>
      <c r="B130" s="500"/>
      <c r="C130" s="527"/>
      <c r="D130" s="527"/>
      <c r="E130" s="527"/>
      <c r="F130" s="527"/>
      <c r="G130" s="493"/>
      <c r="H130" s="493"/>
      <c r="I130" s="493"/>
      <c r="J130" s="493"/>
      <c r="K130" s="493"/>
      <c r="L130" s="493"/>
      <c r="M130" s="494"/>
      <c r="N130" s="2978"/>
      <c r="O130" s="2978"/>
      <c r="P130" s="3002"/>
      <c r="Q130" s="2963"/>
      <c r="R130" s="2949"/>
      <c r="S130" s="2949"/>
      <c r="T130" s="2949"/>
      <c r="U130" s="2949"/>
      <c r="V130" s="2949"/>
      <c r="W130" s="2949"/>
      <c r="X130" s="2949"/>
      <c r="Y130" s="2949"/>
      <c r="Z130" s="2949"/>
      <c r="AA130" s="2949"/>
      <c r="AB130" s="2949"/>
      <c r="AC130" s="2949"/>
    </row>
    <row r="131" spans="1:29" s="430" customFormat="1" ht="15" thickTop="1">
      <c r="A131" s="550"/>
      <c r="B131" s="495">
        <f>B45</f>
        <v>111</v>
      </c>
      <c r="C131" s="480"/>
      <c r="D131" s="480"/>
      <c r="E131" s="480"/>
      <c r="F131" s="480"/>
      <c r="G131" s="512"/>
      <c r="H131" s="512"/>
      <c r="I131" s="512"/>
      <c r="J131" s="512"/>
      <c r="K131" s="512"/>
      <c r="L131" s="513"/>
      <c r="M131" s="514"/>
      <c r="N131" s="2979"/>
      <c r="O131" s="2979"/>
      <c r="P131" s="3003"/>
      <c r="Q131" s="2970"/>
      <c r="R131" s="2971"/>
      <c r="S131" s="2971"/>
      <c r="T131" s="2971"/>
      <c r="U131" s="2971"/>
      <c r="V131" s="2971"/>
      <c r="W131" s="2971"/>
      <c r="X131" s="2971"/>
      <c r="Y131" s="2971"/>
      <c r="Z131" s="2971"/>
      <c r="AA131" s="2971"/>
      <c r="AB131" s="2971"/>
      <c r="AC131" s="2971"/>
    </row>
    <row r="132" spans="1:29" s="430" customFormat="1" ht="15.75" thickBot="1">
      <c r="A132" s="525"/>
      <c r="B132" s="656"/>
      <c r="C132" s="527"/>
      <c r="D132" s="527"/>
      <c r="E132" s="527"/>
      <c r="F132" s="527"/>
      <c r="G132" s="548"/>
      <c r="H132" s="548"/>
      <c r="I132" s="548"/>
      <c r="J132" s="548"/>
      <c r="K132" s="548"/>
      <c r="L132" s="548"/>
      <c r="M132" s="549"/>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76" priority="18" stopIfTrue="1" operator="containsText" text="超过">
      <formula>NOT(ISERROR(SEARCH("超过",F51)))</formula>
    </cfRule>
  </conditionalFormatting>
  <conditionalFormatting sqref="J53">
    <cfRule type="containsText" dxfId="175" priority="17" stopIfTrue="1" operator="containsText" text="超过">
      <formula>NOT(ISERROR(SEARCH("超过",J53)))</formula>
    </cfRule>
  </conditionalFormatting>
  <conditionalFormatting sqref="H53">
    <cfRule type="containsText" dxfId="174" priority="16" stopIfTrue="1" operator="containsText" text="超过">
      <formula>NOT(ISERROR(SEARCH("超过",H53)))</formula>
    </cfRule>
  </conditionalFormatting>
  <conditionalFormatting sqref="F53">
    <cfRule type="containsText" dxfId="173" priority="15" stopIfTrue="1" operator="containsText" text="超过">
      <formula>NOT(ISERROR(SEARCH("超过",F53)))</formula>
    </cfRule>
  </conditionalFormatting>
  <conditionalFormatting sqref="F52 H52 J52">
    <cfRule type="containsText" dxfId="172" priority="14" stopIfTrue="1" operator="containsText" text="超过">
      <formula>NOT(ISERROR(SEARCH("超过",F52)))</formula>
    </cfRule>
  </conditionalFormatting>
  <conditionalFormatting sqref="E51">
    <cfRule type="expression" dxfId="171" priority="13" stopIfTrue="1">
      <formula>$F$51="超过30%"</formula>
    </cfRule>
  </conditionalFormatting>
  <conditionalFormatting sqref="G53">
    <cfRule type="expression" dxfId="170" priority="12" stopIfTrue="1">
      <formula>$H$53="超过30%"</formula>
    </cfRule>
  </conditionalFormatting>
  <conditionalFormatting sqref="E52">
    <cfRule type="expression" dxfId="169" priority="11" stopIfTrue="1">
      <formula>$F$52="超过20%"</formula>
    </cfRule>
  </conditionalFormatting>
  <conditionalFormatting sqref="E53">
    <cfRule type="expression" dxfId="168" priority="10" stopIfTrue="1">
      <formula>$F$53="超过30%"</formula>
    </cfRule>
  </conditionalFormatting>
  <conditionalFormatting sqref="G51">
    <cfRule type="expression" dxfId="167" priority="9" stopIfTrue="1">
      <formula>$H$53+$H$51="超过30%"</formula>
    </cfRule>
  </conditionalFormatting>
  <conditionalFormatting sqref="G52">
    <cfRule type="expression" dxfId="166" priority="8" stopIfTrue="1">
      <formula>$H$52="超过20%"</formula>
    </cfRule>
  </conditionalFormatting>
  <conditionalFormatting sqref="I51">
    <cfRule type="expression" dxfId="165" priority="7" stopIfTrue="1">
      <formula>$J$51="超过30%"</formula>
    </cfRule>
  </conditionalFormatting>
  <conditionalFormatting sqref="I52">
    <cfRule type="expression" dxfId="164" priority="6" stopIfTrue="1">
      <formula>$J$52="超过20%"</formula>
    </cfRule>
  </conditionalFormatting>
  <conditionalFormatting sqref="I53">
    <cfRule type="expression" dxfId="163" priority="5" stopIfTrue="1">
      <formula>$J$53="超过30%"</formula>
    </cfRule>
  </conditionalFormatting>
  <conditionalFormatting sqref="F47">
    <cfRule type="expression" dxfId="162" priority="4">
      <formula>$D$47="简单平均"</formula>
    </cfRule>
  </conditionalFormatting>
  <conditionalFormatting sqref="H47">
    <cfRule type="expression" dxfId="161" priority="3">
      <formula>$D$47="简单平均"</formula>
    </cfRule>
  </conditionalFormatting>
  <conditionalFormatting sqref="J47">
    <cfRule type="expression" dxfId="160" priority="2">
      <formula>$D$47="简单平均"</formula>
    </cfRule>
  </conditionalFormatting>
  <conditionalFormatting sqref="F7:F45 H7:H45 J7:J45">
    <cfRule type="cellIs" dxfId="15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61"/>
  <sheetViews>
    <sheetView workbookViewId="0">
      <selection activeCell="K64" sqref="K64"/>
    </sheetView>
  </sheetViews>
  <sheetFormatPr defaultRowHeight="12.75"/>
  <cols>
    <col min="1" max="1" width="44.25" style="3055" customWidth="1"/>
    <col min="2" max="2" width="4" style="3055" customWidth="1"/>
    <col min="3" max="3" width="8.25" style="3055" customWidth="1"/>
    <col min="4" max="4" width="8.375" style="3055" customWidth="1"/>
    <col min="5" max="5" width="7.875" style="3055" customWidth="1"/>
    <col min="6" max="6" width="11.625" style="3055" customWidth="1"/>
    <col min="7" max="7" width="3.75" style="3055" customWidth="1"/>
    <col min="8" max="8" width="9.5" style="3055" customWidth="1"/>
    <col min="9" max="9" width="9" style="3055" hidden="1" customWidth="1"/>
    <col min="10" max="10" width="9" style="3055" customWidth="1"/>
    <col min="11" max="11" width="7.875" style="3055" customWidth="1"/>
    <col min="12" max="12" width="5.5" style="3055" customWidth="1"/>
    <col min="13" max="13" width="8" style="3055" customWidth="1"/>
    <col min="14" max="14" width="3.25" style="3055" customWidth="1"/>
    <col min="15" max="15" width="26.75" style="3055" customWidth="1"/>
    <col min="16" max="16" width="2.625" style="3055" customWidth="1"/>
    <col min="17" max="256" width="9" style="3055"/>
    <col min="257" max="257" width="60.75" style="3055" customWidth="1"/>
    <col min="258" max="258" width="6.25" style="3055" customWidth="1"/>
    <col min="259" max="259" width="11.75" style="3055" customWidth="1"/>
    <col min="260" max="261" width="13.875" style="3055" customWidth="1"/>
    <col min="262" max="262" width="15.875" style="3055" customWidth="1"/>
    <col min="263" max="263" width="7.875" style="3055" customWidth="1"/>
    <col min="264" max="264" width="21.125" style="3055" customWidth="1"/>
    <col min="265" max="266" width="9" style="3055" customWidth="1"/>
    <col min="267" max="268" width="10.625" style="3055" customWidth="1"/>
    <col min="269" max="269" width="14.375" style="3055" customWidth="1"/>
    <col min="270" max="270" width="6.25" style="3055" customWidth="1"/>
    <col min="271" max="271" width="37.625" style="3055" customWidth="1"/>
    <col min="272" max="272" width="7.875" style="3055" customWidth="1"/>
    <col min="273" max="512" width="9" style="3055"/>
    <col min="513" max="513" width="60.75" style="3055" customWidth="1"/>
    <col min="514" max="514" width="6.25" style="3055" customWidth="1"/>
    <col min="515" max="515" width="11.75" style="3055" customWidth="1"/>
    <col min="516" max="517" width="13.875" style="3055" customWidth="1"/>
    <col min="518" max="518" width="15.875" style="3055" customWidth="1"/>
    <col min="519" max="519" width="7.875" style="3055" customWidth="1"/>
    <col min="520" max="520" width="21.125" style="3055" customWidth="1"/>
    <col min="521" max="522" width="9" style="3055" customWidth="1"/>
    <col min="523" max="524" width="10.625" style="3055" customWidth="1"/>
    <col min="525" max="525" width="14.375" style="3055" customWidth="1"/>
    <col min="526" max="526" width="6.25" style="3055" customWidth="1"/>
    <col min="527" max="527" width="37.625" style="3055" customWidth="1"/>
    <col min="528" max="528" width="7.875" style="3055" customWidth="1"/>
    <col min="529" max="768" width="9" style="3055"/>
    <col min="769" max="769" width="60.75" style="3055" customWidth="1"/>
    <col min="770" max="770" width="6.25" style="3055" customWidth="1"/>
    <col min="771" max="771" width="11.75" style="3055" customWidth="1"/>
    <col min="772" max="773" width="13.875" style="3055" customWidth="1"/>
    <col min="774" max="774" width="15.875" style="3055" customWidth="1"/>
    <col min="775" max="775" width="7.875" style="3055" customWidth="1"/>
    <col min="776" max="776" width="21.125" style="3055" customWidth="1"/>
    <col min="777" max="778" width="9" style="3055" customWidth="1"/>
    <col min="779" max="780" width="10.625" style="3055" customWidth="1"/>
    <col min="781" max="781" width="14.375" style="3055" customWidth="1"/>
    <col min="782" max="782" width="6.25" style="3055" customWidth="1"/>
    <col min="783" max="783" width="37.625" style="3055" customWidth="1"/>
    <col min="784" max="784" width="7.875" style="3055" customWidth="1"/>
    <col min="785" max="1024" width="9" style="3055"/>
    <col min="1025" max="1025" width="60.75" style="3055" customWidth="1"/>
    <col min="1026" max="1026" width="6.25" style="3055" customWidth="1"/>
    <col min="1027" max="1027" width="11.75" style="3055" customWidth="1"/>
    <col min="1028" max="1029" width="13.875" style="3055" customWidth="1"/>
    <col min="1030" max="1030" width="15.875" style="3055" customWidth="1"/>
    <col min="1031" max="1031" width="7.875" style="3055" customWidth="1"/>
    <col min="1032" max="1032" width="21.125" style="3055" customWidth="1"/>
    <col min="1033" max="1034" width="9" style="3055" customWidth="1"/>
    <col min="1035" max="1036" width="10.625" style="3055" customWidth="1"/>
    <col min="1037" max="1037" width="14.375" style="3055" customWidth="1"/>
    <col min="1038" max="1038" width="6.25" style="3055" customWidth="1"/>
    <col min="1039" max="1039" width="37.625" style="3055" customWidth="1"/>
    <col min="1040" max="1040" width="7.875" style="3055" customWidth="1"/>
    <col min="1041" max="1280" width="9" style="3055"/>
    <col min="1281" max="1281" width="60.75" style="3055" customWidth="1"/>
    <col min="1282" max="1282" width="6.25" style="3055" customWidth="1"/>
    <col min="1283" max="1283" width="11.75" style="3055" customWidth="1"/>
    <col min="1284" max="1285" width="13.875" style="3055" customWidth="1"/>
    <col min="1286" max="1286" width="15.875" style="3055" customWidth="1"/>
    <col min="1287" max="1287" width="7.875" style="3055" customWidth="1"/>
    <col min="1288" max="1288" width="21.125" style="3055" customWidth="1"/>
    <col min="1289" max="1290" width="9" style="3055" customWidth="1"/>
    <col min="1291" max="1292" width="10.625" style="3055" customWidth="1"/>
    <col min="1293" max="1293" width="14.375" style="3055" customWidth="1"/>
    <col min="1294" max="1294" width="6.25" style="3055" customWidth="1"/>
    <col min="1295" max="1295" width="37.625" style="3055" customWidth="1"/>
    <col min="1296" max="1296" width="7.875" style="3055" customWidth="1"/>
    <col min="1297" max="1536" width="9" style="3055"/>
    <col min="1537" max="1537" width="60.75" style="3055" customWidth="1"/>
    <col min="1538" max="1538" width="6.25" style="3055" customWidth="1"/>
    <col min="1539" max="1539" width="11.75" style="3055" customWidth="1"/>
    <col min="1540" max="1541" width="13.875" style="3055" customWidth="1"/>
    <col min="1542" max="1542" width="15.875" style="3055" customWidth="1"/>
    <col min="1543" max="1543" width="7.875" style="3055" customWidth="1"/>
    <col min="1544" max="1544" width="21.125" style="3055" customWidth="1"/>
    <col min="1545" max="1546" width="9" style="3055" customWidth="1"/>
    <col min="1547" max="1548" width="10.625" style="3055" customWidth="1"/>
    <col min="1549" max="1549" width="14.375" style="3055" customWidth="1"/>
    <col min="1550" max="1550" width="6.25" style="3055" customWidth="1"/>
    <col min="1551" max="1551" width="37.625" style="3055" customWidth="1"/>
    <col min="1552" max="1552" width="7.875" style="3055" customWidth="1"/>
    <col min="1553" max="1792" width="9" style="3055"/>
    <col min="1793" max="1793" width="60.75" style="3055" customWidth="1"/>
    <col min="1794" max="1794" width="6.25" style="3055" customWidth="1"/>
    <col min="1795" max="1795" width="11.75" style="3055" customWidth="1"/>
    <col min="1796" max="1797" width="13.875" style="3055" customWidth="1"/>
    <col min="1798" max="1798" width="15.875" style="3055" customWidth="1"/>
    <col min="1799" max="1799" width="7.875" style="3055" customWidth="1"/>
    <col min="1800" max="1800" width="21.125" style="3055" customWidth="1"/>
    <col min="1801" max="1802" width="9" style="3055" customWidth="1"/>
    <col min="1803" max="1804" width="10.625" style="3055" customWidth="1"/>
    <col min="1805" max="1805" width="14.375" style="3055" customWidth="1"/>
    <col min="1806" max="1806" width="6.25" style="3055" customWidth="1"/>
    <col min="1807" max="1807" width="37.625" style="3055" customWidth="1"/>
    <col min="1808" max="1808" width="7.875" style="3055" customWidth="1"/>
    <col min="1809" max="2048" width="9" style="3055"/>
    <col min="2049" max="2049" width="60.75" style="3055" customWidth="1"/>
    <col min="2050" max="2050" width="6.25" style="3055" customWidth="1"/>
    <col min="2051" max="2051" width="11.75" style="3055" customWidth="1"/>
    <col min="2052" max="2053" width="13.875" style="3055" customWidth="1"/>
    <col min="2054" max="2054" width="15.875" style="3055" customWidth="1"/>
    <col min="2055" max="2055" width="7.875" style="3055" customWidth="1"/>
    <col min="2056" max="2056" width="21.125" style="3055" customWidth="1"/>
    <col min="2057" max="2058" width="9" style="3055" customWidth="1"/>
    <col min="2059" max="2060" width="10.625" style="3055" customWidth="1"/>
    <col min="2061" max="2061" width="14.375" style="3055" customWidth="1"/>
    <col min="2062" max="2062" width="6.25" style="3055" customWidth="1"/>
    <col min="2063" max="2063" width="37.625" style="3055" customWidth="1"/>
    <col min="2064" max="2064" width="7.875" style="3055" customWidth="1"/>
    <col min="2065" max="2304" width="9" style="3055"/>
    <col min="2305" max="2305" width="60.75" style="3055" customWidth="1"/>
    <col min="2306" max="2306" width="6.25" style="3055" customWidth="1"/>
    <col min="2307" max="2307" width="11.75" style="3055" customWidth="1"/>
    <col min="2308" max="2309" width="13.875" style="3055" customWidth="1"/>
    <col min="2310" max="2310" width="15.875" style="3055" customWidth="1"/>
    <col min="2311" max="2311" width="7.875" style="3055" customWidth="1"/>
    <col min="2312" max="2312" width="21.125" style="3055" customWidth="1"/>
    <col min="2313" max="2314" width="9" style="3055" customWidth="1"/>
    <col min="2315" max="2316" width="10.625" style="3055" customWidth="1"/>
    <col min="2317" max="2317" width="14.375" style="3055" customWidth="1"/>
    <col min="2318" max="2318" width="6.25" style="3055" customWidth="1"/>
    <col min="2319" max="2319" width="37.625" style="3055" customWidth="1"/>
    <col min="2320" max="2320" width="7.875" style="3055" customWidth="1"/>
    <col min="2321" max="2560" width="9" style="3055"/>
    <col min="2561" max="2561" width="60.75" style="3055" customWidth="1"/>
    <col min="2562" max="2562" width="6.25" style="3055" customWidth="1"/>
    <col min="2563" max="2563" width="11.75" style="3055" customWidth="1"/>
    <col min="2564" max="2565" width="13.875" style="3055" customWidth="1"/>
    <col min="2566" max="2566" width="15.875" style="3055" customWidth="1"/>
    <col min="2567" max="2567" width="7.875" style="3055" customWidth="1"/>
    <col min="2568" max="2568" width="21.125" style="3055" customWidth="1"/>
    <col min="2569" max="2570" width="9" style="3055" customWidth="1"/>
    <col min="2571" max="2572" width="10.625" style="3055" customWidth="1"/>
    <col min="2573" max="2573" width="14.375" style="3055" customWidth="1"/>
    <col min="2574" max="2574" width="6.25" style="3055" customWidth="1"/>
    <col min="2575" max="2575" width="37.625" style="3055" customWidth="1"/>
    <col min="2576" max="2576" width="7.875" style="3055" customWidth="1"/>
    <col min="2577" max="2816" width="9" style="3055"/>
    <col min="2817" max="2817" width="60.75" style="3055" customWidth="1"/>
    <col min="2818" max="2818" width="6.25" style="3055" customWidth="1"/>
    <col min="2819" max="2819" width="11.75" style="3055" customWidth="1"/>
    <col min="2820" max="2821" width="13.875" style="3055" customWidth="1"/>
    <col min="2822" max="2822" width="15.875" style="3055" customWidth="1"/>
    <col min="2823" max="2823" width="7.875" style="3055" customWidth="1"/>
    <col min="2824" max="2824" width="21.125" style="3055" customWidth="1"/>
    <col min="2825" max="2826" width="9" style="3055" customWidth="1"/>
    <col min="2827" max="2828" width="10.625" style="3055" customWidth="1"/>
    <col min="2829" max="2829" width="14.375" style="3055" customWidth="1"/>
    <col min="2830" max="2830" width="6.25" style="3055" customWidth="1"/>
    <col min="2831" max="2831" width="37.625" style="3055" customWidth="1"/>
    <col min="2832" max="2832" width="7.875" style="3055" customWidth="1"/>
    <col min="2833" max="3072" width="9" style="3055"/>
    <col min="3073" max="3073" width="60.75" style="3055" customWidth="1"/>
    <col min="3074" max="3074" width="6.25" style="3055" customWidth="1"/>
    <col min="3075" max="3075" width="11.75" style="3055" customWidth="1"/>
    <col min="3076" max="3077" width="13.875" style="3055" customWidth="1"/>
    <col min="3078" max="3078" width="15.875" style="3055" customWidth="1"/>
    <col min="3079" max="3079" width="7.875" style="3055" customWidth="1"/>
    <col min="3080" max="3080" width="21.125" style="3055" customWidth="1"/>
    <col min="3081" max="3082" width="9" style="3055" customWidth="1"/>
    <col min="3083" max="3084" width="10.625" style="3055" customWidth="1"/>
    <col min="3085" max="3085" width="14.375" style="3055" customWidth="1"/>
    <col min="3086" max="3086" width="6.25" style="3055" customWidth="1"/>
    <col min="3087" max="3087" width="37.625" style="3055" customWidth="1"/>
    <col min="3088" max="3088" width="7.875" style="3055" customWidth="1"/>
    <col min="3089" max="3328" width="9" style="3055"/>
    <col min="3329" max="3329" width="60.75" style="3055" customWidth="1"/>
    <col min="3330" max="3330" width="6.25" style="3055" customWidth="1"/>
    <col min="3331" max="3331" width="11.75" style="3055" customWidth="1"/>
    <col min="3332" max="3333" width="13.875" style="3055" customWidth="1"/>
    <col min="3334" max="3334" width="15.875" style="3055" customWidth="1"/>
    <col min="3335" max="3335" width="7.875" style="3055" customWidth="1"/>
    <col min="3336" max="3336" width="21.125" style="3055" customWidth="1"/>
    <col min="3337" max="3338" width="9" style="3055" customWidth="1"/>
    <col min="3339" max="3340" width="10.625" style="3055" customWidth="1"/>
    <col min="3341" max="3341" width="14.375" style="3055" customWidth="1"/>
    <col min="3342" max="3342" width="6.25" style="3055" customWidth="1"/>
    <col min="3343" max="3343" width="37.625" style="3055" customWidth="1"/>
    <col min="3344" max="3344" width="7.875" style="3055" customWidth="1"/>
    <col min="3345" max="3584" width="9" style="3055"/>
    <col min="3585" max="3585" width="60.75" style="3055" customWidth="1"/>
    <col min="3586" max="3586" width="6.25" style="3055" customWidth="1"/>
    <col min="3587" max="3587" width="11.75" style="3055" customWidth="1"/>
    <col min="3588" max="3589" width="13.875" style="3055" customWidth="1"/>
    <col min="3590" max="3590" width="15.875" style="3055" customWidth="1"/>
    <col min="3591" max="3591" width="7.875" style="3055" customWidth="1"/>
    <col min="3592" max="3592" width="21.125" style="3055" customWidth="1"/>
    <col min="3593" max="3594" width="9" style="3055" customWidth="1"/>
    <col min="3595" max="3596" width="10.625" style="3055" customWidth="1"/>
    <col min="3597" max="3597" width="14.375" style="3055" customWidth="1"/>
    <col min="3598" max="3598" width="6.25" style="3055" customWidth="1"/>
    <col min="3599" max="3599" width="37.625" style="3055" customWidth="1"/>
    <col min="3600" max="3600" width="7.875" style="3055" customWidth="1"/>
    <col min="3601" max="3840" width="9" style="3055"/>
    <col min="3841" max="3841" width="60.75" style="3055" customWidth="1"/>
    <col min="3842" max="3842" width="6.25" style="3055" customWidth="1"/>
    <col min="3843" max="3843" width="11.75" style="3055" customWidth="1"/>
    <col min="3844" max="3845" width="13.875" style="3055" customWidth="1"/>
    <col min="3846" max="3846" width="15.875" style="3055" customWidth="1"/>
    <col min="3847" max="3847" width="7.875" style="3055" customWidth="1"/>
    <col min="3848" max="3848" width="21.125" style="3055" customWidth="1"/>
    <col min="3849" max="3850" width="9" style="3055" customWidth="1"/>
    <col min="3851" max="3852" width="10.625" style="3055" customWidth="1"/>
    <col min="3853" max="3853" width="14.375" style="3055" customWidth="1"/>
    <col min="3854" max="3854" width="6.25" style="3055" customWidth="1"/>
    <col min="3855" max="3855" width="37.625" style="3055" customWidth="1"/>
    <col min="3856" max="3856" width="7.875" style="3055" customWidth="1"/>
    <col min="3857" max="4096" width="9" style="3055"/>
    <col min="4097" max="4097" width="60.75" style="3055" customWidth="1"/>
    <col min="4098" max="4098" width="6.25" style="3055" customWidth="1"/>
    <col min="4099" max="4099" width="11.75" style="3055" customWidth="1"/>
    <col min="4100" max="4101" width="13.875" style="3055" customWidth="1"/>
    <col min="4102" max="4102" width="15.875" style="3055" customWidth="1"/>
    <col min="4103" max="4103" width="7.875" style="3055" customWidth="1"/>
    <col min="4104" max="4104" width="21.125" style="3055" customWidth="1"/>
    <col min="4105" max="4106" width="9" style="3055" customWidth="1"/>
    <col min="4107" max="4108" width="10.625" style="3055" customWidth="1"/>
    <col min="4109" max="4109" width="14.375" style="3055" customWidth="1"/>
    <col min="4110" max="4110" width="6.25" style="3055" customWidth="1"/>
    <col min="4111" max="4111" width="37.625" style="3055" customWidth="1"/>
    <col min="4112" max="4112" width="7.875" style="3055" customWidth="1"/>
    <col min="4113" max="4352" width="9" style="3055"/>
    <col min="4353" max="4353" width="60.75" style="3055" customWidth="1"/>
    <col min="4354" max="4354" width="6.25" style="3055" customWidth="1"/>
    <col min="4355" max="4355" width="11.75" style="3055" customWidth="1"/>
    <col min="4356" max="4357" width="13.875" style="3055" customWidth="1"/>
    <col min="4358" max="4358" width="15.875" style="3055" customWidth="1"/>
    <col min="4359" max="4359" width="7.875" style="3055" customWidth="1"/>
    <col min="4360" max="4360" width="21.125" style="3055" customWidth="1"/>
    <col min="4361" max="4362" width="9" style="3055" customWidth="1"/>
    <col min="4363" max="4364" width="10.625" style="3055" customWidth="1"/>
    <col min="4365" max="4365" width="14.375" style="3055" customWidth="1"/>
    <col min="4366" max="4366" width="6.25" style="3055" customWidth="1"/>
    <col min="4367" max="4367" width="37.625" style="3055" customWidth="1"/>
    <col min="4368" max="4368" width="7.875" style="3055" customWidth="1"/>
    <col min="4369" max="4608" width="9" style="3055"/>
    <col min="4609" max="4609" width="60.75" style="3055" customWidth="1"/>
    <col min="4610" max="4610" width="6.25" style="3055" customWidth="1"/>
    <col min="4611" max="4611" width="11.75" style="3055" customWidth="1"/>
    <col min="4612" max="4613" width="13.875" style="3055" customWidth="1"/>
    <col min="4614" max="4614" width="15.875" style="3055" customWidth="1"/>
    <col min="4615" max="4615" width="7.875" style="3055" customWidth="1"/>
    <col min="4616" max="4616" width="21.125" style="3055" customWidth="1"/>
    <col min="4617" max="4618" width="9" style="3055" customWidth="1"/>
    <col min="4619" max="4620" width="10.625" style="3055" customWidth="1"/>
    <col min="4621" max="4621" width="14.375" style="3055" customWidth="1"/>
    <col min="4622" max="4622" width="6.25" style="3055" customWidth="1"/>
    <col min="4623" max="4623" width="37.625" style="3055" customWidth="1"/>
    <col min="4624" max="4624" width="7.875" style="3055" customWidth="1"/>
    <col min="4625" max="4864" width="9" style="3055"/>
    <col min="4865" max="4865" width="60.75" style="3055" customWidth="1"/>
    <col min="4866" max="4866" width="6.25" style="3055" customWidth="1"/>
    <col min="4867" max="4867" width="11.75" style="3055" customWidth="1"/>
    <col min="4868" max="4869" width="13.875" style="3055" customWidth="1"/>
    <col min="4870" max="4870" width="15.875" style="3055" customWidth="1"/>
    <col min="4871" max="4871" width="7.875" style="3055" customWidth="1"/>
    <col min="4872" max="4872" width="21.125" style="3055" customWidth="1"/>
    <col min="4873" max="4874" width="9" style="3055" customWidth="1"/>
    <col min="4875" max="4876" width="10.625" style="3055" customWidth="1"/>
    <col min="4877" max="4877" width="14.375" style="3055" customWidth="1"/>
    <col min="4878" max="4878" width="6.25" style="3055" customWidth="1"/>
    <col min="4879" max="4879" width="37.625" style="3055" customWidth="1"/>
    <col min="4880" max="4880" width="7.875" style="3055" customWidth="1"/>
    <col min="4881" max="5120" width="9" style="3055"/>
    <col min="5121" max="5121" width="60.75" style="3055" customWidth="1"/>
    <col min="5122" max="5122" width="6.25" style="3055" customWidth="1"/>
    <col min="5123" max="5123" width="11.75" style="3055" customWidth="1"/>
    <col min="5124" max="5125" width="13.875" style="3055" customWidth="1"/>
    <col min="5126" max="5126" width="15.875" style="3055" customWidth="1"/>
    <col min="5127" max="5127" width="7.875" style="3055" customWidth="1"/>
    <col min="5128" max="5128" width="21.125" style="3055" customWidth="1"/>
    <col min="5129" max="5130" width="9" style="3055" customWidth="1"/>
    <col min="5131" max="5132" width="10.625" style="3055" customWidth="1"/>
    <col min="5133" max="5133" width="14.375" style="3055" customWidth="1"/>
    <col min="5134" max="5134" width="6.25" style="3055" customWidth="1"/>
    <col min="5135" max="5135" width="37.625" style="3055" customWidth="1"/>
    <col min="5136" max="5136" width="7.875" style="3055" customWidth="1"/>
    <col min="5137" max="5376" width="9" style="3055"/>
    <col min="5377" max="5377" width="60.75" style="3055" customWidth="1"/>
    <col min="5378" max="5378" width="6.25" style="3055" customWidth="1"/>
    <col min="5379" max="5379" width="11.75" style="3055" customWidth="1"/>
    <col min="5380" max="5381" width="13.875" style="3055" customWidth="1"/>
    <col min="5382" max="5382" width="15.875" style="3055" customWidth="1"/>
    <col min="5383" max="5383" width="7.875" style="3055" customWidth="1"/>
    <col min="5384" max="5384" width="21.125" style="3055" customWidth="1"/>
    <col min="5385" max="5386" width="9" style="3055" customWidth="1"/>
    <col min="5387" max="5388" width="10.625" style="3055" customWidth="1"/>
    <col min="5389" max="5389" width="14.375" style="3055" customWidth="1"/>
    <col min="5390" max="5390" width="6.25" style="3055" customWidth="1"/>
    <col min="5391" max="5391" width="37.625" style="3055" customWidth="1"/>
    <col min="5392" max="5392" width="7.875" style="3055" customWidth="1"/>
    <col min="5393" max="5632" width="9" style="3055"/>
    <col min="5633" max="5633" width="60.75" style="3055" customWidth="1"/>
    <col min="5634" max="5634" width="6.25" style="3055" customWidth="1"/>
    <col min="5635" max="5635" width="11.75" style="3055" customWidth="1"/>
    <col min="5636" max="5637" width="13.875" style="3055" customWidth="1"/>
    <col min="5638" max="5638" width="15.875" style="3055" customWidth="1"/>
    <col min="5639" max="5639" width="7.875" style="3055" customWidth="1"/>
    <col min="5640" max="5640" width="21.125" style="3055" customWidth="1"/>
    <col min="5641" max="5642" width="9" style="3055" customWidth="1"/>
    <col min="5643" max="5644" width="10.625" style="3055" customWidth="1"/>
    <col min="5645" max="5645" width="14.375" style="3055" customWidth="1"/>
    <col min="5646" max="5646" width="6.25" style="3055" customWidth="1"/>
    <col min="5647" max="5647" width="37.625" style="3055" customWidth="1"/>
    <col min="5648" max="5648" width="7.875" style="3055" customWidth="1"/>
    <col min="5649" max="5888" width="9" style="3055"/>
    <col min="5889" max="5889" width="60.75" style="3055" customWidth="1"/>
    <col min="5890" max="5890" width="6.25" style="3055" customWidth="1"/>
    <col min="5891" max="5891" width="11.75" style="3055" customWidth="1"/>
    <col min="5892" max="5893" width="13.875" style="3055" customWidth="1"/>
    <col min="5894" max="5894" width="15.875" style="3055" customWidth="1"/>
    <col min="5895" max="5895" width="7.875" style="3055" customWidth="1"/>
    <col min="5896" max="5896" width="21.125" style="3055" customWidth="1"/>
    <col min="5897" max="5898" width="9" style="3055" customWidth="1"/>
    <col min="5899" max="5900" width="10.625" style="3055" customWidth="1"/>
    <col min="5901" max="5901" width="14.375" style="3055" customWidth="1"/>
    <col min="5902" max="5902" width="6.25" style="3055" customWidth="1"/>
    <col min="5903" max="5903" width="37.625" style="3055" customWidth="1"/>
    <col min="5904" max="5904" width="7.875" style="3055" customWidth="1"/>
    <col min="5905" max="6144" width="9" style="3055"/>
    <col min="6145" max="6145" width="60.75" style="3055" customWidth="1"/>
    <col min="6146" max="6146" width="6.25" style="3055" customWidth="1"/>
    <col min="6147" max="6147" width="11.75" style="3055" customWidth="1"/>
    <col min="6148" max="6149" width="13.875" style="3055" customWidth="1"/>
    <col min="6150" max="6150" width="15.875" style="3055" customWidth="1"/>
    <col min="6151" max="6151" width="7.875" style="3055" customWidth="1"/>
    <col min="6152" max="6152" width="21.125" style="3055" customWidth="1"/>
    <col min="6153" max="6154" width="9" style="3055" customWidth="1"/>
    <col min="6155" max="6156" width="10.625" style="3055" customWidth="1"/>
    <col min="6157" max="6157" width="14.375" style="3055" customWidth="1"/>
    <col min="6158" max="6158" width="6.25" style="3055" customWidth="1"/>
    <col min="6159" max="6159" width="37.625" style="3055" customWidth="1"/>
    <col min="6160" max="6160" width="7.875" style="3055" customWidth="1"/>
    <col min="6161" max="6400" width="9" style="3055"/>
    <col min="6401" max="6401" width="60.75" style="3055" customWidth="1"/>
    <col min="6402" max="6402" width="6.25" style="3055" customWidth="1"/>
    <col min="6403" max="6403" width="11.75" style="3055" customWidth="1"/>
    <col min="6404" max="6405" width="13.875" style="3055" customWidth="1"/>
    <col min="6406" max="6406" width="15.875" style="3055" customWidth="1"/>
    <col min="6407" max="6407" width="7.875" style="3055" customWidth="1"/>
    <col min="6408" max="6408" width="21.125" style="3055" customWidth="1"/>
    <col min="6409" max="6410" width="9" style="3055" customWidth="1"/>
    <col min="6411" max="6412" width="10.625" style="3055" customWidth="1"/>
    <col min="6413" max="6413" width="14.375" style="3055" customWidth="1"/>
    <col min="6414" max="6414" width="6.25" style="3055" customWidth="1"/>
    <col min="6415" max="6415" width="37.625" style="3055" customWidth="1"/>
    <col min="6416" max="6416" width="7.875" style="3055" customWidth="1"/>
    <col min="6417" max="6656" width="9" style="3055"/>
    <col min="6657" max="6657" width="60.75" style="3055" customWidth="1"/>
    <col min="6658" max="6658" width="6.25" style="3055" customWidth="1"/>
    <col min="6659" max="6659" width="11.75" style="3055" customWidth="1"/>
    <col min="6660" max="6661" width="13.875" style="3055" customWidth="1"/>
    <col min="6662" max="6662" width="15.875" style="3055" customWidth="1"/>
    <col min="6663" max="6663" width="7.875" style="3055" customWidth="1"/>
    <col min="6664" max="6664" width="21.125" style="3055" customWidth="1"/>
    <col min="6665" max="6666" width="9" style="3055" customWidth="1"/>
    <col min="6667" max="6668" width="10.625" style="3055" customWidth="1"/>
    <col min="6669" max="6669" width="14.375" style="3055" customWidth="1"/>
    <col min="6670" max="6670" width="6.25" style="3055" customWidth="1"/>
    <col min="6671" max="6671" width="37.625" style="3055" customWidth="1"/>
    <col min="6672" max="6672" width="7.875" style="3055" customWidth="1"/>
    <col min="6673" max="6912" width="9" style="3055"/>
    <col min="6913" max="6913" width="60.75" style="3055" customWidth="1"/>
    <col min="6914" max="6914" width="6.25" style="3055" customWidth="1"/>
    <col min="6915" max="6915" width="11.75" style="3055" customWidth="1"/>
    <col min="6916" max="6917" width="13.875" style="3055" customWidth="1"/>
    <col min="6918" max="6918" width="15.875" style="3055" customWidth="1"/>
    <col min="6919" max="6919" width="7.875" style="3055" customWidth="1"/>
    <col min="6920" max="6920" width="21.125" style="3055" customWidth="1"/>
    <col min="6921" max="6922" width="9" style="3055" customWidth="1"/>
    <col min="6923" max="6924" width="10.625" style="3055" customWidth="1"/>
    <col min="6925" max="6925" width="14.375" style="3055" customWidth="1"/>
    <col min="6926" max="6926" width="6.25" style="3055" customWidth="1"/>
    <col min="6927" max="6927" width="37.625" style="3055" customWidth="1"/>
    <col min="6928" max="6928" width="7.875" style="3055" customWidth="1"/>
    <col min="6929" max="7168" width="9" style="3055"/>
    <col min="7169" max="7169" width="60.75" style="3055" customWidth="1"/>
    <col min="7170" max="7170" width="6.25" style="3055" customWidth="1"/>
    <col min="7171" max="7171" width="11.75" style="3055" customWidth="1"/>
    <col min="7172" max="7173" width="13.875" style="3055" customWidth="1"/>
    <col min="7174" max="7174" width="15.875" style="3055" customWidth="1"/>
    <col min="7175" max="7175" width="7.875" style="3055" customWidth="1"/>
    <col min="7176" max="7176" width="21.125" style="3055" customWidth="1"/>
    <col min="7177" max="7178" width="9" style="3055" customWidth="1"/>
    <col min="7179" max="7180" width="10.625" style="3055" customWidth="1"/>
    <col min="7181" max="7181" width="14.375" style="3055" customWidth="1"/>
    <col min="7182" max="7182" width="6.25" style="3055" customWidth="1"/>
    <col min="7183" max="7183" width="37.625" style="3055" customWidth="1"/>
    <col min="7184" max="7184" width="7.875" style="3055" customWidth="1"/>
    <col min="7185" max="7424" width="9" style="3055"/>
    <col min="7425" max="7425" width="60.75" style="3055" customWidth="1"/>
    <col min="7426" max="7426" width="6.25" style="3055" customWidth="1"/>
    <col min="7427" max="7427" width="11.75" style="3055" customWidth="1"/>
    <col min="7428" max="7429" width="13.875" style="3055" customWidth="1"/>
    <col min="7430" max="7430" width="15.875" style="3055" customWidth="1"/>
    <col min="7431" max="7431" width="7.875" style="3055" customWidth="1"/>
    <col min="7432" max="7432" width="21.125" style="3055" customWidth="1"/>
    <col min="7433" max="7434" width="9" style="3055" customWidth="1"/>
    <col min="7435" max="7436" width="10.625" style="3055" customWidth="1"/>
    <col min="7437" max="7437" width="14.375" style="3055" customWidth="1"/>
    <col min="7438" max="7438" width="6.25" style="3055" customWidth="1"/>
    <col min="7439" max="7439" width="37.625" style="3055" customWidth="1"/>
    <col min="7440" max="7440" width="7.875" style="3055" customWidth="1"/>
    <col min="7441" max="7680" width="9" style="3055"/>
    <col min="7681" max="7681" width="60.75" style="3055" customWidth="1"/>
    <col min="7682" max="7682" width="6.25" style="3055" customWidth="1"/>
    <col min="7683" max="7683" width="11.75" style="3055" customWidth="1"/>
    <col min="7684" max="7685" width="13.875" style="3055" customWidth="1"/>
    <col min="7686" max="7686" width="15.875" style="3055" customWidth="1"/>
    <col min="7687" max="7687" width="7.875" style="3055" customWidth="1"/>
    <col min="7688" max="7688" width="21.125" style="3055" customWidth="1"/>
    <col min="7689" max="7690" width="9" style="3055" customWidth="1"/>
    <col min="7691" max="7692" width="10.625" style="3055" customWidth="1"/>
    <col min="7693" max="7693" width="14.375" style="3055" customWidth="1"/>
    <col min="7694" max="7694" width="6.25" style="3055" customWidth="1"/>
    <col min="7695" max="7695" width="37.625" style="3055" customWidth="1"/>
    <col min="7696" max="7696" width="7.875" style="3055" customWidth="1"/>
    <col min="7697" max="7936" width="9" style="3055"/>
    <col min="7937" max="7937" width="60.75" style="3055" customWidth="1"/>
    <col min="7938" max="7938" width="6.25" style="3055" customWidth="1"/>
    <col min="7939" max="7939" width="11.75" style="3055" customWidth="1"/>
    <col min="7940" max="7941" width="13.875" style="3055" customWidth="1"/>
    <col min="7942" max="7942" width="15.875" style="3055" customWidth="1"/>
    <col min="7943" max="7943" width="7.875" style="3055" customWidth="1"/>
    <col min="7944" max="7944" width="21.125" style="3055" customWidth="1"/>
    <col min="7945" max="7946" width="9" style="3055" customWidth="1"/>
    <col min="7947" max="7948" width="10.625" style="3055" customWidth="1"/>
    <col min="7949" max="7949" width="14.375" style="3055" customWidth="1"/>
    <col min="7950" max="7950" width="6.25" style="3055" customWidth="1"/>
    <col min="7951" max="7951" width="37.625" style="3055" customWidth="1"/>
    <col min="7952" max="7952" width="7.875" style="3055" customWidth="1"/>
    <col min="7953" max="8192" width="9" style="3055"/>
    <col min="8193" max="8193" width="60.75" style="3055" customWidth="1"/>
    <col min="8194" max="8194" width="6.25" style="3055" customWidth="1"/>
    <col min="8195" max="8195" width="11.75" style="3055" customWidth="1"/>
    <col min="8196" max="8197" width="13.875" style="3055" customWidth="1"/>
    <col min="8198" max="8198" width="15.875" style="3055" customWidth="1"/>
    <col min="8199" max="8199" width="7.875" style="3055" customWidth="1"/>
    <col min="8200" max="8200" width="21.125" style="3055" customWidth="1"/>
    <col min="8201" max="8202" width="9" style="3055" customWidth="1"/>
    <col min="8203" max="8204" width="10.625" style="3055" customWidth="1"/>
    <col min="8205" max="8205" width="14.375" style="3055" customWidth="1"/>
    <col min="8206" max="8206" width="6.25" style="3055" customWidth="1"/>
    <col min="8207" max="8207" width="37.625" style="3055" customWidth="1"/>
    <col min="8208" max="8208" width="7.875" style="3055" customWidth="1"/>
    <col min="8209" max="8448" width="9" style="3055"/>
    <col min="8449" max="8449" width="60.75" style="3055" customWidth="1"/>
    <col min="8450" max="8450" width="6.25" style="3055" customWidth="1"/>
    <col min="8451" max="8451" width="11.75" style="3055" customWidth="1"/>
    <col min="8452" max="8453" width="13.875" style="3055" customWidth="1"/>
    <col min="8454" max="8454" width="15.875" style="3055" customWidth="1"/>
    <col min="8455" max="8455" width="7.875" style="3055" customWidth="1"/>
    <col min="8456" max="8456" width="21.125" style="3055" customWidth="1"/>
    <col min="8457" max="8458" width="9" style="3055" customWidth="1"/>
    <col min="8459" max="8460" width="10.625" style="3055" customWidth="1"/>
    <col min="8461" max="8461" width="14.375" style="3055" customWidth="1"/>
    <col min="8462" max="8462" width="6.25" style="3055" customWidth="1"/>
    <col min="8463" max="8463" width="37.625" style="3055" customWidth="1"/>
    <col min="8464" max="8464" width="7.875" style="3055" customWidth="1"/>
    <col min="8465" max="8704" width="9" style="3055"/>
    <col min="8705" max="8705" width="60.75" style="3055" customWidth="1"/>
    <col min="8706" max="8706" width="6.25" style="3055" customWidth="1"/>
    <col min="8707" max="8707" width="11.75" style="3055" customWidth="1"/>
    <col min="8708" max="8709" width="13.875" style="3055" customWidth="1"/>
    <col min="8710" max="8710" width="15.875" style="3055" customWidth="1"/>
    <col min="8711" max="8711" width="7.875" style="3055" customWidth="1"/>
    <col min="8712" max="8712" width="21.125" style="3055" customWidth="1"/>
    <col min="8713" max="8714" width="9" style="3055" customWidth="1"/>
    <col min="8715" max="8716" width="10.625" style="3055" customWidth="1"/>
    <col min="8717" max="8717" width="14.375" style="3055" customWidth="1"/>
    <col min="8718" max="8718" width="6.25" style="3055" customWidth="1"/>
    <col min="8719" max="8719" width="37.625" style="3055" customWidth="1"/>
    <col min="8720" max="8720" width="7.875" style="3055" customWidth="1"/>
    <col min="8721" max="8960" width="9" style="3055"/>
    <col min="8961" max="8961" width="60.75" style="3055" customWidth="1"/>
    <col min="8962" max="8962" width="6.25" style="3055" customWidth="1"/>
    <col min="8963" max="8963" width="11.75" style="3055" customWidth="1"/>
    <col min="8964" max="8965" width="13.875" style="3055" customWidth="1"/>
    <col min="8966" max="8966" width="15.875" style="3055" customWidth="1"/>
    <col min="8967" max="8967" width="7.875" style="3055" customWidth="1"/>
    <col min="8968" max="8968" width="21.125" style="3055" customWidth="1"/>
    <col min="8969" max="8970" width="9" style="3055" customWidth="1"/>
    <col min="8971" max="8972" width="10.625" style="3055" customWidth="1"/>
    <col min="8973" max="8973" width="14.375" style="3055" customWidth="1"/>
    <col min="8974" max="8974" width="6.25" style="3055" customWidth="1"/>
    <col min="8975" max="8975" width="37.625" style="3055" customWidth="1"/>
    <col min="8976" max="8976" width="7.875" style="3055" customWidth="1"/>
    <col min="8977" max="9216" width="9" style="3055"/>
    <col min="9217" max="9217" width="60.75" style="3055" customWidth="1"/>
    <col min="9218" max="9218" width="6.25" style="3055" customWidth="1"/>
    <col min="9219" max="9219" width="11.75" style="3055" customWidth="1"/>
    <col min="9220" max="9221" width="13.875" style="3055" customWidth="1"/>
    <col min="9222" max="9222" width="15.875" style="3055" customWidth="1"/>
    <col min="9223" max="9223" width="7.875" style="3055" customWidth="1"/>
    <col min="9224" max="9224" width="21.125" style="3055" customWidth="1"/>
    <col min="9225" max="9226" width="9" style="3055" customWidth="1"/>
    <col min="9227" max="9228" width="10.625" style="3055" customWidth="1"/>
    <col min="9229" max="9229" width="14.375" style="3055" customWidth="1"/>
    <col min="9230" max="9230" width="6.25" style="3055" customWidth="1"/>
    <col min="9231" max="9231" width="37.625" style="3055" customWidth="1"/>
    <col min="9232" max="9232" width="7.875" style="3055" customWidth="1"/>
    <col min="9233" max="9472" width="9" style="3055"/>
    <col min="9473" max="9473" width="60.75" style="3055" customWidth="1"/>
    <col min="9474" max="9474" width="6.25" style="3055" customWidth="1"/>
    <col min="9475" max="9475" width="11.75" style="3055" customWidth="1"/>
    <col min="9476" max="9477" width="13.875" style="3055" customWidth="1"/>
    <col min="9478" max="9478" width="15.875" style="3055" customWidth="1"/>
    <col min="9479" max="9479" width="7.875" style="3055" customWidth="1"/>
    <col min="9480" max="9480" width="21.125" style="3055" customWidth="1"/>
    <col min="9481" max="9482" width="9" style="3055" customWidth="1"/>
    <col min="9483" max="9484" width="10.625" style="3055" customWidth="1"/>
    <col min="9485" max="9485" width="14.375" style="3055" customWidth="1"/>
    <col min="9486" max="9486" width="6.25" style="3055" customWidth="1"/>
    <col min="9487" max="9487" width="37.625" style="3055" customWidth="1"/>
    <col min="9488" max="9488" width="7.875" style="3055" customWidth="1"/>
    <col min="9489" max="9728" width="9" style="3055"/>
    <col min="9729" max="9729" width="60.75" style="3055" customWidth="1"/>
    <col min="9730" max="9730" width="6.25" style="3055" customWidth="1"/>
    <col min="9731" max="9731" width="11.75" style="3055" customWidth="1"/>
    <col min="9732" max="9733" width="13.875" style="3055" customWidth="1"/>
    <col min="9734" max="9734" width="15.875" style="3055" customWidth="1"/>
    <col min="9735" max="9735" width="7.875" style="3055" customWidth="1"/>
    <col min="9736" max="9736" width="21.125" style="3055" customWidth="1"/>
    <col min="9737" max="9738" width="9" style="3055" customWidth="1"/>
    <col min="9739" max="9740" width="10.625" style="3055" customWidth="1"/>
    <col min="9741" max="9741" width="14.375" style="3055" customWidth="1"/>
    <col min="9742" max="9742" width="6.25" style="3055" customWidth="1"/>
    <col min="9743" max="9743" width="37.625" style="3055" customWidth="1"/>
    <col min="9744" max="9744" width="7.875" style="3055" customWidth="1"/>
    <col min="9745" max="9984" width="9" style="3055"/>
    <col min="9985" max="9985" width="60.75" style="3055" customWidth="1"/>
    <col min="9986" max="9986" width="6.25" style="3055" customWidth="1"/>
    <col min="9987" max="9987" width="11.75" style="3055" customWidth="1"/>
    <col min="9988" max="9989" width="13.875" style="3055" customWidth="1"/>
    <col min="9990" max="9990" width="15.875" style="3055" customWidth="1"/>
    <col min="9991" max="9991" width="7.875" style="3055" customWidth="1"/>
    <col min="9992" max="9992" width="21.125" style="3055" customWidth="1"/>
    <col min="9993" max="9994" width="9" style="3055" customWidth="1"/>
    <col min="9995" max="9996" width="10.625" style="3055" customWidth="1"/>
    <col min="9997" max="9997" width="14.375" style="3055" customWidth="1"/>
    <col min="9998" max="9998" width="6.25" style="3055" customWidth="1"/>
    <col min="9999" max="9999" width="37.625" style="3055" customWidth="1"/>
    <col min="10000" max="10000" width="7.875" style="3055" customWidth="1"/>
    <col min="10001" max="10240" width="9" style="3055"/>
    <col min="10241" max="10241" width="60.75" style="3055" customWidth="1"/>
    <col min="10242" max="10242" width="6.25" style="3055" customWidth="1"/>
    <col min="10243" max="10243" width="11.75" style="3055" customWidth="1"/>
    <col min="10244" max="10245" width="13.875" style="3055" customWidth="1"/>
    <col min="10246" max="10246" width="15.875" style="3055" customWidth="1"/>
    <col min="10247" max="10247" width="7.875" style="3055" customWidth="1"/>
    <col min="10248" max="10248" width="21.125" style="3055" customWidth="1"/>
    <col min="10249" max="10250" width="9" style="3055" customWidth="1"/>
    <col min="10251" max="10252" width="10.625" style="3055" customWidth="1"/>
    <col min="10253" max="10253" width="14.375" style="3055" customWidth="1"/>
    <col min="10254" max="10254" width="6.25" style="3055" customWidth="1"/>
    <col min="10255" max="10255" width="37.625" style="3055" customWidth="1"/>
    <col min="10256" max="10256" width="7.875" style="3055" customWidth="1"/>
    <col min="10257" max="10496" width="9" style="3055"/>
    <col min="10497" max="10497" width="60.75" style="3055" customWidth="1"/>
    <col min="10498" max="10498" width="6.25" style="3055" customWidth="1"/>
    <col min="10499" max="10499" width="11.75" style="3055" customWidth="1"/>
    <col min="10500" max="10501" width="13.875" style="3055" customWidth="1"/>
    <col min="10502" max="10502" width="15.875" style="3055" customWidth="1"/>
    <col min="10503" max="10503" width="7.875" style="3055" customWidth="1"/>
    <col min="10504" max="10504" width="21.125" style="3055" customWidth="1"/>
    <col min="10505" max="10506" width="9" style="3055" customWidth="1"/>
    <col min="10507" max="10508" width="10.625" style="3055" customWidth="1"/>
    <col min="10509" max="10509" width="14.375" style="3055" customWidth="1"/>
    <col min="10510" max="10510" width="6.25" style="3055" customWidth="1"/>
    <col min="10511" max="10511" width="37.625" style="3055" customWidth="1"/>
    <col min="10512" max="10512" width="7.875" style="3055" customWidth="1"/>
    <col min="10513" max="10752" width="9" style="3055"/>
    <col min="10753" max="10753" width="60.75" style="3055" customWidth="1"/>
    <col min="10754" max="10754" width="6.25" style="3055" customWidth="1"/>
    <col min="10755" max="10755" width="11.75" style="3055" customWidth="1"/>
    <col min="10756" max="10757" width="13.875" style="3055" customWidth="1"/>
    <col min="10758" max="10758" width="15.875" style="3055" customWidth="1"/>
    <col min="10759" max="10759" width="7.875" style="3055" customWidth="1"/>
    <col min="10760" max="10760" width="21.125" style="3055" customWidth="1"/>
    <col min="10761" max="10762" width="9" style="3055" customWidth="1"/>
    <col min="10763" max="10764" width="10.625" style="3055" customWidth="1"/>
    <col min="10765" max="10765" width="14.375" style="3055" customWidth="1"/>
    <col min="10766" max="10766" width="6.25" style="3055" customWidth="1"/>
    <col min="10767" max="10767" width="37.625" style="3055" customWidth="1"/>
    <col min="10768" max="10768" width="7.875" style="3055" customWidth="1"/>
    <col min="10769" max="11008" width="9" style="3055"/>
    <col min="11009" max="11009" width="60.75" style="3055" customWidth="1"/>
    <col min="11010" max="11010" width="6.25" style="3055" customWidth="1"/>
    <col min="11011" max="11011" width="11.75" style="3055" customWidth="1"/>
    <col min="11012" max="11013" width="13.875" style="3055" customWidth="1"/>
    <col min="11014" max="11014" width="15.875" style="3055" customWidth="1"/>
    <col min="11015" max="11015" width="7.875" style="3055" customWidth="1"/>
    <col min="11016" max="11016" width="21.125" style="3055" customWidth="1"/>
    <col min="11017" max="11018" width="9" style="3055" customWidth="1"/>
    <col min="11019" max="11020" width="10.625" style="3055" customWidth="1"/>
    <col min="11021" max="11021" width="14.375" style="3055" customWidth="1"/>
    <col min="11022" max="11022" width="6.25" style="3055" customWidth="1"/>
    <col min="11023" max="11023" width="37.625" style="3055" customWidth="1"/>
    <col min="11024" max="11024" width="7.875" style="3055" customWidth="1"/>
    <col min="11025" max="11264" width="9" style="3055"/>
    <col min="11265" max="11265" width="60.75" style="3055" customWidth="1"/>
    <col min="11266" max="11266" width="6.25" style="3055" customWidth="1"/>
    <col min="11267" max="11267" width="11.75" style="3055" customWidth="1"/>
    <col min="11268" max="11269" width="13.875" style="3055" customWidth="1"/>
    <col min="11270" max="11270" width="15.875" style="3055" customWidth="1"/>
    <col min="11271" max="11271" width="7.875" style="3055" customWidth="1"/>
    <col min="11272" max="11272" width="21.125" style="3055" customWidth="1"/>
    <col min="11273" max="11274" width="9" style="3055" customWidth="1"/>
    <col min="11275" max="11276" width="10.625" style="3055" customWidth="1"/>
    <col min="11277" max="11277" width="14.375" style="3055" customWidth="1"/>
    <col min="11278" max="11278" width="6.25" style="3055" customWidth="1"/>
    <col min="11279" max="11279" width="37.625" style="3055" customWidth="1"/>
    <col min="11280" max="11280" width="7.875" style="3055" customWidth="1"/>
    <col min="11281" max="11520" width="9" style="3055"/>
    <col min="11521" max="11521" width="60.75" style="3055" customWidth="1"/>
    <col min="11522" max="11522" width="6.25" style="3055" customWidth="1"/>
    <col min="11523" max="11523" width="11.75" style="3055" customWidth="1"/>
    <col min="11524" max="11525" width="13.875" style="3055" customWidth="1"/>
    <col min="11526" max="11526" width="15.875" style="3055" customWidth="1"/>
    <col min="11527" max="11527" width="7.875" style="3055" customWidth="1"/>
    <col min="11528" max="11528" width="21.125" style="3055" customWidth="1"/>
    <col min="11529" max="11530" width="9" style="3055" customWidth="1"/>
    <col min="11531" max="11532" width="10.625" style="3055" customWidth="1"/>
    <col min="11533" max="11533" width="14.375" style="3055" customWidth="1"/>
    <col min="11534" max="11534" width="6.25" style="3055" customWidth="1"/>
    <col min="11535" max="11535" width="37.625" style="3055" customWidth="1"/>
    <col min="11536" max="11536" width="7.875" style="3055" customWidth="1"/>
    <col min="11537" max="11776" width="9" style="3055"/>
    <col min="11777" max="11777" width="60.75" style="3055" customWidth="1"/>
    <col min="11778" max="11778" width="6.25" style="3055" customWidth="1"/>
    <col min="11779" max="11779" width="11.75" style="3055" customWidth="1"/>
    <col min="11780" max="11781" width="13.875" style="3055" customWidth="1"/>
    <col min="11782" max="11782" width="15.875" style="3055" customWidth="1"/>
    <col min="11783" max="11783" width="7.875" style="3055" customWidth="1"/>
    <col min="11784" max="11784" width="21.125" style="3055" customWidth="1"/>
    <col min="11785" max="11786" width="9" style="3055" customWidth="1"/>
    <col min="11787" max="11788" width="10.625" style="3055" customWidth="1"/>
    <col min="11789" max="11789" width="14.375" style="3055" customWidth="1"/>
    <col min="11790" max="11790" width="6.25" style="3055" customWidth="1"/>
    <col min="11791" max="11791" width="37.625" style="3055" customWidth="1"/>
    <col min="11792" max="11792" width="7.875" style="3055" customWidth="1"/>
    <col min="11793" max="12032" width="9" style="3055"/>
    <col min="12033" max="12033" width="60.75" style="3055" customWidth="1"/>
    <col min="12034" max="12034" width="6.25" style="3055" customWidth="1"/>
    <col min="12035" max="12035" width="11.75" style="3055" customWidth="1"/>
    <col min="12036" max="12037" width="13.875" style="3055" customWidth="1"/>
    <col min="12038" max="12038" width="15.875" style="3055" customWidth="1"/>
    <col min="12039" max="12039" width="7.875" style="3055" customWidth="1"/>
    <col min="12040" max="12040" width="21.125" style="3055" customWidth="1"/>
    <col min="12041" max="12042" width="9" style="3055" customWidth="1"/>
    <col min="12043" max="12044" width="10.625" style="3055" customWidth="1"/>
    <col min="12045" max="12045" width="14.375" style="3055" customWidth="1"/>
    <col min="12046" max="12046" width="6.25" style="3055" customWidth="1"/>
    <col min="12047" max="12047" width="37.625" style="3055" customWidth="1"/>
    <col min="12048" max="12048" width="7.875" style="3055" customWidth="1"/>
    <col min="12049" max="12288" width="9" style="3055"/>
    <col min="12289" max="12289" width="60.75" style="3055" customWidth="1"/>
    <col min="12290" max="12290" width="6.25" style="3055" customWidth="1"/>
    <col min="12291" max="12291" width="11.75" style="3055" customWidth="1"/>
    <col min="12292" max="12293" width="13.875" style="3055" customWidth="1"/>
    <col min="12294" max="12294" width="15.875" style="3055" customWidth="1"/>
    <col min="12295" max="12295" width="7.875" style="3055" customWidth="1"/>
    <col min="12296" max="12296" width="21.125" style="3055" customWidth="1"/>
    <col min="12297" max="12298" width="9" style="3055" customWidth="1"/>
    <col min="12299" max="12300" width="10.625" style="3055" customWidth="1"/>
    <col min="12301" max="12301" width="14.375" style="3055" customWidth="1"/>
    <col min="12302" max="12302" width="6.25" style="3055" customWidth="1"/>
    <col min="12303" max="12303" width="37.625" style="3055" customWidth="1"/>
    <col min="12304" max="12304" width="7.875" style="3055" customWidth="1"/>
    <col min="12305" max="12544" width="9" style="3055"/>
    <col min="12545" max="12545" width="60.75" style="3055" customWidth="1"/>
    <col min="12546" max="12546" width="6.25" style="3055" customWidth="1"/>
    <col min="12547" max="12547" width="11.75" style="3055" customWidth="1"/>
    <col min="12548" max="12549" width="13.875" style="3055" customWidth="1"/>
    <col min="12550" max="12550" width="15.875" style="3055" customWidth="1"/>
    <col min="12551" max="12551" width="7.875" style="3055" customWidth="1"/>
    <col min="12552" max="12552" width="21.125" style="3055" customWidth="1"/>
    <col min="12553" max="12554" width="9" style="3055" customWidth="1"/>
    <col min="12555" max="12556" width="10.625" style="3055" customWidth="1"/>
    <col min="12557" max="12557" width="14.375" style="3055" customWidth="1"/>
    <col min="12558" max="12558" width="6.25" style="3055" customWidth="1"/>
    <col min="12559" max="12559" width="37.625" style="3055" customWidth="1"/>
    <col min="12560" max="12560" width="7.875" style="3055" customWidth="1"/>
    <col min="12561" max="12800" width="9" style="3055"/>
    <col min="12801" max="12801" width="60.75" style="3055" customWidth="1"/>
    <col min="12802" max="12802" width="6.25" style="3055" customWidth="1"/>
    <col min="12803" max="12803" width="11.75" style="3055" customWidth="1"/>
    <col min="12804" max="12805" width="13.875" style="3055" customWidth="1"/>
    <col min="12806" max="12806" width="15.875" style="3055" customWidth="1"/>
    <col min="12807" max="12807" width="7.875" style="3055" customWidth="1"/>
    <col min="12808" max="12808" width="21.125" style="3055" customWidth="1"/>
    <col min="12809" max="12810" width="9" style="3055" customWidth="1"/>
    <col min="12811" max="12812" width="10.625" style="3055" customWidth="1"/>
    <col min="12813" max="12813" width="14.375" style="3055" customWidth="1"/>
    <col min="12814" max="12814" width="6.25" style="3055" customWidth="1"/>
    <col min="12815" max="12815" width="37.625" style="3055" customWidth="1"/>
    <col min="12816" max="12816" width="7.875" style="3055" customWidth="1"/>
    <col min="12817" max="13056" width="9" style="3055"/>
    <col min="13057" max="13057" width="60.75" style="3055" customWidth="1"/>
    <col min="13058" max="13058" width="6.25" style="3055" customWidth="1"/>
    <col min="13059" max="13059" width="11.75" style="3055" customWidth="1"/>
    <col min="13060" max="13061" width="13.875" style="3055" customWidth="1"/>
    <col min="13062" max="13062" width="15.875" style="3055" customWidth="1"/>
    <col min="13063" max="13063" width="7.875" style="3055" customWidth="1"/>
    <col min="13064" max="13064" width="21.125" style="3055" customWidth="1"/>
    <col min="13065" max="13066" width="9" style="3055" customWidth="1"/>
    <col min="13067" max="13068" width="10.625" style="3055" customWidth="1"/>
    <col min="13069" max="13069" width="14.375" style="3055" customWidth="1"/>
    <col min="13070" max="13070" width="6.25" style="3055" customWidth="1"/>
    <col min="13071" max="13071" width="37.625" style="3055" customWidth="1"/>
    <col min="13072" max="13072" width="7.875" style="3055" customWidth="1"/>
    <col min="13073" max="13312" width="9" style="3055"/>
    <col min="13313" max="13313" width="60.75" style="3055" customWidth="1"/>
    <col min="13314" max="13314" width="6.25" style="3055" customWidth="1"/>
    <col min="13315" max="13315" width="11.75" style="3055" customWidth="1"/>
    <col min="13316" max="13317" width="13.875" style="3055" customWidth="1"/>
    <col min="13318" max="13318" width="15.875" style="3055" customWidth="1"/>
    <col min="13319" max="13319" width="7.875" style="3055" customWidth="1"/>
    <col min="13320" max="13320" width="21.125" style="3055" customWidth="1"/>
    <col min="13321" max="13322" width="9" style="3055" customWidth="1"/>
    <col min="13323" max="13324" width="10.625" style="3055" customWidth="1"/>
    <col min="13325" max="13325" width="14.375" style="3055" customWidth="1"/>
    <col min="13326" max="13326" width="6.25" style="3055" customWidth="1"/>
    <col min="13327" max="13327" width="37.625" style="3055" customWidth="1"/>
    <col min="13328" max="13328" width="7.875" style="3055" customWidth="1"/>
    <col min="13329" max="13568" width="9" style="3055"/>
    <col min="13569" max="13569" width="60.75" style="3055" customWidth="1"/>
    <col min="13570" max="13570" width="6.25" style="3055" customWidth="1"/>
    <col min="13571" max="13571" width="11.75" style="3055" customWidth="1"/>
    <col min="13572" max="13573" width="13.875" style="3055" customWidth="1"/>
    <col min="13574" max="13574" width="15.875" style="3055" customWidth="1"/>
    <col min="13575" max="13575" width="7.875" style="3055" customWidth="1"/>
    <col min="13576" max="13576" width="21.125" style="3055" customWidth="1"/>
    <col min="13577" max="13578" width="9" style="3055" customWidth="1"/>
    <col min="13579" max="13580" width="10.625" style="3055" customWidth="1"/>
    <col min="13581" max="13581" width="14.375" style="3055" customWidth="1"/>
    <col min="13582" max="13582" width="6.25" style="3055" customWidth="1"/>
    <col min="13583" max="13583" width="37.625" style="3055" customWidth="1"/>
    <col min="13584" max="13584" width="7.875" style="3055" customWidth="1"/>
    <col min="13585" max="13824" width="9" style="3055"/>
    <col min="13825" max="13825" width="60.75" style="3055" customWidth="1"/>
    <col min="13826" max="13826" width="6.25" style="3055" customWidth="1"/>
    <col min="13827" max="13827" width="11.75" style="3055" customWidth="1"/>
    <col min="13828" max="13829" width="13.875" style="3055" customWidth="1"/>
    <col min="13830" max="13830" width="15.875" style="3055" customWidth="1"/>
    <col min="13831" max="13831" width="7.875" style="3055" customWidth="1"/>
    <col min="13832" max="13832" width="21.125" style="3055" customWidth="1"/>
    <col min="13833" max="13834" width="9" style="3055" customWidth="1"/>
    <col min="13835" max="13836" width="10.625" style="3055" customWidth="1"/>
    <col min="13837" max="13837" width="14.375" style="3055" customWidth="1"/>
    <col min="13838" max="13838" width="6.25" style="3055" customWidth="1"/>
    <col min="13839" max="13839" width="37.625" style="3055" customWidth="1"/>
    <col min="13840" max="13840" width="7.875" style="3055" customWidth="1"/>
    <col min="13841" max="14080" width="9" style="3055"/>
    <col min="14081" max="14081" width="60.75" style="3055" customWidth="1"/>
    <col min="14082" max="14082" width="6.25" style="3055" customWidth="1"/>
    <col min="14083" max="14083" width="11.75" style="3055" customWidth="1"/>
    <col min="14084" max="14085" width="13.875" style="3055" customWidth="1"/>
    <col min="14086" max="14086" width="15.875" style="3055" customWidth="1"/>
    <col min="14087" max="14087" width="7.875" style="3055" customWidth="1"/>
    <col min="14088" max="14088" width="21.125" style="3055" customWidth="1"/>
    <col min="14089" max="14090" width="9" style="3055" customWidth="1"/>
    <col min="14091" max="14092" width="10.625" style="3055" customWidth="1"/>
    <col min="14093" max="14093" width="14.375" style="3055" customWidth="1"/>
    <col min="14094" max="14094" width="6.25" style="3055" customWidth="1"/>
    <col min="14095" max="14095" width="37.625" style="3055" customWidth="1"/>
    <col min="14096" max="14096" width="7.875" style="3055" customWidth="1"/>
    <col min="14097" max="14336" width="9" style="3055"/>
    <col min="14337" max="14337" width="60.75" style="3055" customWidth="1"/>
    <col min="14338" max="14338" width="6.25" style="3055" customWidth="1"/>
    <col min="14339" max="14339" width="11.75" style="3055" customWidth="1"/>
    <col min="14340" max="14341" width="13.875" style="3055" customWidth="1"/>
    <col min="14342" max="14342" width="15.875" style="3055" customWidth="1"/>
    <col min="14343" max="14343" width="7.875" style="3055" customWidth="1"/>
    <col min="14344" max="14344" width="21.125" style="3055" customWidth="1"/>
    <col min="14345" max="14346" width="9" style="3055" customWidth="1"/>
    <col min="14347" max="14348" width="10.625" style="3055" customWidth="1"/>
    <col min="14349" max="14349" width="14.375" style="3055" customWidth="1"/>
    <col min="14350" max="14350" width="6.25" style="3055" customWidth="1"/>
    <col min="14351" max="14351" width="37.625" style="3055" customWidth="1"/>
    <col min="14352" max="14352" width="7.875" style="3055" customWidth="1"/>
    <col min="14353" max="14592" width="9" style="3055"/>
    <col min="14593" max="14593" width="60.75" style="3055" customWidth="1"/>
    <col min="14594" max="14594" width="6.25" style="3055" customWidth="1"/>
    <col min="14595" max="14595" width="11.75" style="3055" customWidth="1"/>
    <col min="14596" max="14597" width="13.875" style="3055" customWidth="1"/>
    <col min="14598" max="14598" width="15.875" style="3055" customWidth="1"/>
    <col min="14599" max="14599" width="7.875" style="3055" customWidth="1"/>
    <col min="14600" max="14600" width="21.125" style="3055" customWidth="1"/>
    <col min="14601" max="14602" width="9" style="3055" customWidth="1"/>
    <col min="14603" max="14604" width="10.625" style="3055" customWidth="1"/>
    <col min="14605" max="14605" width="14.375" style="3055" customWidth="1"/>
    <col min="14606" max="14606" width="6.25" style="3055" customWidth="1"/>
    <col min="14607" max="14607" width="37.625" style="3055" customWidth="1"/>
    <col min="14608" max="14608" width="7.875" style="3055" customWidth="1"/>
    <col min="14609" max="14848" width="9" style="3055"/>
    <col min="14849" max="14849" width="60.75" style="3055" customWidth="1"/>
    <col min="14850" max="14850" width="6.25" style="3055" customWidth="1"/>
    <col min="14851" max="14851" width="11.75" style="3055" customWidth="1"/>
    <col min="14852" max="14853" width="13.875" style="3055" customWidth="1"/>
    <col min="14854" max="14854" width="15.875" style="3055" customWidth="1"/>
    <col min="14855" max="14855" width="7.875" style="3055" customWidth="1"/>
    <col min="14856" max="14856" width="21.125" style="3055" customWidth="1"/>
    <col min="14857" max="14858" width="9" style="3055" customWidth="1"/>
    <col min="14859" max="14860" width="10.625" style="3055" customWidth="1"/>
    <col min="14861" max="14861" width="14.375" style="3055" customWidth="1"/>
    <col min="14862" max="14862" width="6.25" style="3055" customWidth="1"/>
    <col min="14863" max="14863" width="37.625" style="3055" customWidth="1"/>
    <col min="14864" max="14864" width="7.875" style="3055" customWidth="1"/>
    <col min="14865" max="15104" width="9" style="3055"/>
    <col min="15105" max="15105" width="60.75" style="3055" customWidth="1"/>
    <col min="15106" max="15106" width="6.25" style="3055" customWidth="1"/>
    <col min="15107" max="15107" width="11.75" style="3055" customWidth="1"/>
    <col min="15108" max="15109" width="13.875" style="3055" customWidth="1"/>
    <col min="15110" max="15110" width="15.875" style="3055" customWidth="1"/>
    <col min="15111" max="15111" width="7.875" style="3055" customWidth="1"/>
    <col min="15112" max="15112" width="21.125" style="3055" customWidth="1"/>
    <col min="15113" max="15114" width="9" style="3055" customWidth="1"/>
    <col min="15115" max="15116" width="10.625" style="3055" customWidth="1"/>
    <col min="15117" max="15117" width="14.375" style="3055" customWidth="1"/>
    <col min="15118" max="15118" width="6.25" style="3055" customWidth="1"/>
    <col min="15119" max="15119" width="37.625" style="3055" customWidth="1"/>
    <col min="15120" max="15120" width="7.875" style="3055" customWidth="1"/>
    <col min="15121" max="15360" width="9" style="3055"/>
    <col min="15361" max="15361" width="60.75" style="3055" customWidth="1"/>
    <col min="15362" max="15362" width="6.25" style="3055" customWidth="1"/>
    <col min="15363" max="15363" width="11.75" style="3055" customWidth="1"/>
    <col min="15364" max="15365" width="13.875" style="3055" customWidth="1"/>
    <col min="15366" max="15366" width="15.875" style="3055" customWidth="1"/>
    <col min="15367" max="15367" width="7.875" style="3055" customWidth="1"/>
    <col min="15368" max="15368" width="21.125" style="3055" customWidth="1"/>
    <col min="15369" max="15370" width="9" style="3055" customWidth="1"/>
    <col min="15371" max="15372" width="10.625" style="3055" customWidth="1"/>
    <col min="15373" max="15373" width="14.375" style="3055" customWidth="1"/>
    <col min="15374" max="15374" width="6.25" style="3055" customWidth="1"/>
    <col min="15375" max="15375" width="37.625" style="3055" customWidth="1"/>
    <col min="15376" max="15376" width="7.875" style="3055" customWidth="1"/>
    <col min="15377" max="15616" width="9" style="3055"/>
    <col min="15617" max="15617" width="60.75" style="3055" customWidth="1"/>
    <col min="15618" max="15618" width="6.25" style="3055" customWidth="1"/>
    <col min="15619" max="15619" width="11.75" style="3055" customWidth="1"/>
    <col min="15620" max="15621" width="13.875" style="3055" customWidth="1"/>
    <col min="15622" max="15622" width="15.875" style="3055" customWidth="1"/>
    <col min="15623" max="15623" width="7.875" style="3055" customWidth="1"/>
    <col min="15624" max="15624" width="21.125" style="3055" customWidth="1"/>
    <col min="15625" max="15626" width="9" style="3055" customWidth="1"/>
    <col min="15627" max="15628" width="10.625" style="3055" customWidth="1"/>
    <col min="15629" max="15629" width="14.375" style="3055" customWidth="1"/>
    <col min="15630" max="15630" width="6.25" style="3055" customWidth="1"/>
    <col min="15631" max="15631" width="37.625" style="3055" customWidth="1"/>
    <col min="15632" max="15632" width="7.875" style="3055" customWidth="1"/>
    <col min="15633" max="15872" width="9" style="3055"/>
    <col min="15873" max="15873" width="60.75" style="3055" customWidth="1"/>
    <col min="15874" max="15874" width="6.25" style="3055" customWidth="1"/>
    <col min="15875" max="15875" width="11.75" style="3055" customWidth="1"/>
    <col min="15876" max="15877" width="13.875" style="3055" customWidth="1"/>
    <col min="15878" max="15878" width="15.875" style="3055" customWidth="1"/>
    <col min="15879" max="15879" width="7.875" style="3055" customWidth="1"/>
    <col min="15880" max="15880" width="21.125" style="3055" customWidth="1"/>
    <col min="15881" max="15882" width="9" style="3055" customWidth="1"/>
    <col min="15883" max="15884" width="10.625" style="3055" customWidth="1"/>
    <col min="15885" max="15885" width="14.375" style="3055" customWidth="1"/>
    <col min="15886" max="15886" width="6.25" style="3055" customWidth="1"/>
    <col min="15887" max="15887" width="37.625" style="3055" customWidth="1"/>
    <col min="15888" max="15888" width="7.875" style="3055" customWidth="1"/>
    <col min="15889" max="16128" width="9" style="3055"/>
    <col min="16129" max="16129" width="60.75" style="3055" customWidth="1"/>
    <col min="16130" max="16130" width="6.25" style="3055" customWidth="1"/>
    <col min="16131" max="16131" width="11.75" style="3055" customWidth="1"/>
    <col min="16132" max="16133" width="13.875" style="3055" customWidth="1"/>
    <col min="16134" max="16134" width="15.875" style="3055" customWidth="1"/>
    <col min="16135" max="16135" width="7.875" style="3055" customWidth="1"/>
    <col min="16136" max="16136" width="21.125" style="3055" customWidth="1"/>
    <col min="16137" max="16138" width="9" style="3055" customWidth="1"/>
    <col min="16139" max="16140" width="10.625" style="3055" customWidth="1"/>
    <col min="16141" max="16141" width="14.375" style="3055" customWidth="1"/>
    <col min="16142" max="16142" width="6.25" style="3055" customWidth="1"/>
    <col min="16143" max="16143" width="37.625" style="3055" customWidth="1"/>
    <col min="16144" max="16144" width="7.875" style="3055" customWidth="1"/>
    <col min="16145" max="16384" width="9" style="3055"/>
  </cols>
  <sheetData>
    <row r="1" spans="1:16" s="3056" customFormat="1">
      <c r="A1" s="3056" t="s">
        <v>3081</v>
      </c>
      <c r="B1" s="3056" t="s">
        <v>3082</v>
      </c>
      <c r="C1" s="3056" t="s">
        <v>3083</v>
      </c>
      <c r="D1" s="3056" t="s">
        <v>3084</v>
      </c>
      <c r="E1" s="3056" t="s">
        <v>3085</v>
      </c>
      <c r="F1" s="3056" t="s">
        <v>3086</v>
      </c>
      <c r="G1" s="3056" t="s">
        <v>3087</v>
      </c>
      <c r="H1" s="3056" t="s">
        <v>3088</v>
      </c>
      <c r="I1" s="3056" t="s">
        <v>3089</v>
      </c>
      <c r="J1" s="3056" t="s">
        <v>3090</v>
      </c>
      <c r="K1" s="3056" t="s">
        <v>3091</v>
      </c>
      <c r="L1" s="3056" t="s">
        <v>3092</v>
      </c>
      <c r="M1" s="3056" t="s">
        <v>3093</v>
      </c>
      <c r="N1" s="3056" t="s">
        <v>3094</v>
      </c>
      <c r="O1" s="3056" t="s">
        <v>3095</v>
      </c>
      <c r="P1" s="3056" t="s">
        <v>3096</v>
      </c>
    </row>
    <row r="2" spans="1:16">
      <c r="A2" s="3055" t="s">
        <v>3097</v>
      </c>
      <c r="B2" s="3055" t="s">
        <v>3098</v>
      </c>
      <c r="C2" s="3055" t="s">
        <v>3099</v>
      </c>
      <c r="D2" s="3055">
        <v>2000</v>
      </c>
      <c r="E2" s="3055">
        <v>1600</v>
      </c>
      <c r="F2" s="3055" t="s">
        <v>3100</v>
      </c>
      <c r="G2" s="3055" t="s">
        <v>3101</v>
      </c>
      <c r="H2" s="3055" t="s">
        <v>3102</v>
      </c>
      <c r="I2" s="3055" t="s">
        <v>3103</v>
      </c>
      <c r="J2" s="3055" t="s">
        <v>3103</v>
      </c>
      <c r="K2" s="3055">
        <v>363</v>
      </c>
      <c r="L2" s="3055">
        <v>363</v>
      </c>
      <c r="M2" s="3055">
        <v>2268.75</v>
      </c>
      <c r="N2" s="3055">
        <v>0</v>
      </c>
      <c r="O2" s="3055" t="s">
        <v>3104</v>
      </c>
      <c r="P2" s="3055" t="s">
        <v>3105</v>
      </c>
    </row>
    <row r="3" spans="1:16">
      <c r="A3" s="3055" t="s">
        <v>3106</v>
      </c>
      <c r="B3" s="3055" t="s">
        <v>3098</v>
      </c>
      <c r="C3" s="3055" t="s">
        <v>3099</v>
      </c>
      <c r="D3" s="3055">
        <v>24805</v>
      </c>
      <c r="E3" s="3055">
        <v>24805</v>
      </c>
      <c r="F3" s="3055" t="s">
        <v>3107</v>
      </c>
      <c r="G3" s="3055" t="s">
        <v>3101</v>
      </c>
      <c r="H3" s="3055" t="s">
        <v>3108</v>
      </c>
      <c r="I3" s="3055" t="s">
        <v>3109</v>
      </c>
      <c r="J3" s="3055" t="s">
        <v>3109</v>
      </c>
      <c r="K3" s="3055">
        <v>2131</v>
      </c>
      <c r="L3" s="3055">
        <v>2131</v>
      </c>
      <c r="M3" s="3055">
        <v>859.1</v>
      </c>
      <c r="N3" s="3055">
        <v>0</v>
      </c>
      <c r="O3" s="3055" t="s">
        <v>3110</v>
      </c>
      <c r="P3" s="3055" t="s">
        <v>3105</v>
      </c>
    </row>
    <row r="4" spans="1:16">
      <c r="A4" s="3055" t="s">
        <v>3106</v>
      </c>
      <c r="B4" s="3055" t="s">
        <v>3098</v>
      </c>
      <c r="C4" s="3055" t="s">
        <v>3099</v>
      </c>
      <c r="D4" s="3055">
        <v>25165</v>
      </c>
      <c r="E4" s="3055">
        <v>25165</v>
      </c>
      <c r="F4" s="3055" t="s">
        <v>3107</v>
      </c>
      <c r="G4" s="3055" t="s">
        <v>3101</v>
      </c>
      <c r="H4" s="3055" t="s">
        <v>3108</v>
      </c>
      <c r="I4" s="3055" t="s">
        <v>3109</v>
      </c>
      <c r="J4" s="3055" t="s">
        <v>3109</v>
      </c>
      <c r="K4" s="3055">
        <v>2161</v>
      </c>
      <c r="L4" s="3055">
        <v>2161</v>
      </c>
      <c r="M4" s="3055">
        <v>858.73</v>
      </c>
      <c r="N4" s="3055">
        <v>0</v>
      </c>
      <c r="O4" s="3055" t="s">
        <v>3110</v>
      </c>
      <c r="P4" s="3055" t="s">
        <v>3105</v>
      </c>
    </row>
    <row r="5" spans="1:16">
      <c r="A5" s="3055" t="s">
        <v>3111</v>
      </c>
      <c r="B5" s="3055" t="s">
        <v>3098</v>
      </c>
      <c r="C5" s="3055" t="s">
        <v>3099</v>
      </c>
      <c r="D5" s="3055">
        <v>46113</v>
      </c>
      <c r="E5" s="3055">
        <v>46113</v>
      </c>
      <c r="F5" s="3055" t="s">
        <v>3107</v>
      </c>
      <c r="G5" s="3055" t="s">
        <v>3101</v>
      </c>
      <c r="H5" s="3055" t="s">
        <v>3112</v>
      </c>
      <c r="I5" s="3055" t="s">
        <v>3113</v>
      </c>
      <c r="J5" s="3055" t="s">
        <v>3113</v>
      </c>
      <c r="K5" s="3055">
        <v>14086</v>
      </c>
      <c r="L5" s="3055">
        <v>14086</v>
      </c>
      <c r="M5" s="3055">
        <v>3054.67</v>
      </c>
      <c r="N5" s="3055">
        <v>0</v>
      </c>
      <c r="O5" s="3055" t="s">
        <v>3114</v>
      </c>
      <c r="P5" s="3055" t="s">
        <v>3115</v>
      </c>
    </row>
    <row r="6" spans="1:16" s="3057" customFormat="1">
      <c r="A6" s="3057" t="s">
        <v>3116</v>
      </c>
      <c r="B6" s="3057" t="s">
        <v>3098</v>
      </c>
      <c r="C6" s="3057" t="s">
        <v>3099</v>
      </c>
      <c r="D6" s="3057">
        <v>9564</v>
      </c>
      <c r="E6" s="3057">
        <v>14346</v>
      </c>
      <c r="F6" s="3057" t="s">
        <v>3117</v>
      </c>
      <c r="G6" s="3057" t="s">
        <v>3101</v>
      </c>
      <c r="H6" s="3057" t="s">
        <v>27</v>
      </c>
      <c r="I6" s="3057" t="s">
        <v>3118</v>
      </c>
      <c r="J6" s="3057" t="s">
        <v>3118</v>
      </c>
      <c r="K6" s="3057">
        <v>2296</v>
      </c>
      <c r="L6" s="3057">
        <v>2396</v>
      </c>
      <c r="M6" s="3057">
        <v>1670.15</v>
      </c>
      <c r="N6" s="3057">
        <v>4.3600000000000003</v>
      </c>
      <c r="O6" s="3057" t="s">
        <v>3119</v>
      </c>
      <c r="P6" s="3057" t="s">
        <v>3120</v>
      </c>
    </row>
    <row r="7" spans="1:16">
      <c r="A7" s="3055" t="s">
        <v>3121</v>
      </c>
      <c r="B7" s="3055" t="s">
        <v>3098</v>
      </c>
      <c r="C7" s="3055" t="s">
        <v>3099</v>
      </c>
      <c r="D7" s="3055">
        <v>17226</v>
      </c>
      <c r="E7" s="3055">
        <v>34452</v>
      </c>
      <c r="F7" s="3055" t="s">
        <v>3122</v>
      </c>
      <c r="G7" s="3055" t="s">
        <v>3101</v>
      </c>
      <c r="H7" s="3055" t="s">
        <v>1343</v>
      </c>
      <c r="I7" s="3055" t="s">
        <v>3123</v>
      </c>
      <c r="J7" s="3055" t="s">
        <v>3123</v>
      </c>
      <c r="K7" s="3055">
        <v>3489</v>
      </c>
      <c r="L7" s="3055">
        <v>3539</v>
      </c>
      <c r="M7" s="3055">
        <v>1027.23</v>
      </c>
      <c r="N7" s="3055">
        <v>1.43</v>
      </c>
      <c r="O7" s="3055" t="s">
        <v>3124</v>
      </c>
      <c r="P7" s="3055" t="s">
        <v>3105</v>
      </c>
    </row>
    <row r="8" spans="1:16">
      <c r="A8" s="3055" t="s">
        <v>3125</v>
      </c>
      <c r="B8" s="3055" t="s">
        <v>3098</v>
      </c>
      <c r="C8" s="3055" t="s">
        <v>3099</v>
      </c>
      <c r="D8" s="3055">
        <v>12331</v>
      </c>
      <c r="E8" s="3055">
        <v>14797.2</v>
      </c>
      <c r="F8" s="3055" t="s">
        <v>3126</v>
      </c>
      <c r="G8" s="3055" t="s">
        <v>3101</v>
      </c>
      <c r="H8" s="3055" t="s">
        <v>3127</v>
      </c>
      <c r="I8" s="3055" t="s">
        <v>3128</v>
      </c>
      <c r="J8" s="3055" t="s">
        <v>3128</v>
      </c>
      <c r="K8" s="3055">
        <v>4070</v>
      </c>
      <c r="L8" s="3055">
        <v>4070</v>
      </c>
      <c r="M8" s="3055">
        <v>2750.51</v>
      </c>
      <c r="N8" s="3055">
        <v>0</v>
      </c>
      <c r="O8" s="3055" t="s">
        <v>3129</v>
      </c>
      <c r="P8" s="3055" t="s">
        <v>3130</v>
      </c>
    </row>
    <row r="9" spans="1:16">
      <c r="A9" s="3055" t="s">
        <v>3131</v>
      </c>
      <c r="B9" s="3055" t="s">
        <v>3098</v>
      </c>
      <c r="C9" s="3055" t="s">
        <v>3099</v>
      </c>
      <c r="D9" s="3055">
        <v>6213</v>
      </c>
      <c r="E9" s="3055">
        <v>14289.9</v>
      </c>
      <c r="F9" s="3055" t="s">
        <v>3132</v>
      </c>
      <c r="G9" s="3055" t="s">
        <v>3101</v>
      </c>
      <c r="H9" s="3055" t="s">
        <v>3133</v>
      </c>
      <c r="I9" s="3055" t="s">
        <v>3134</v>
      </c>
      <c r="J9" s="3055" t="s">
        <v>3134</v>
      </c>
      <c r="K9" s="3055">
        <v>3094</v>
      </c>
      <c r="L9" s="3055">
        <v>3094</v>
      </c>
      <c r="M9" s="3055">
        <v>2165.17</v>
      </c>
      <c r="N9" s="3055">
        <v>0</v>
      </c>
      <c r="O9" s="3055" t="s">
        <v>3135</v>
      </c>
      <c r="P9" s="3055" t="s">
        <v>3115</v>
      </c>
    </row>
    <row r="10" spans="1:16" s="3057" customFormat="1">
      <c r="A10" s="3057" t="s">
        <v>3136</v>
      </c>
      <c r="B10" s="3057" t="s">
        <v>3098</v>
      </c>
      <c r="C10" s="3057" t="s">
        <v>3099</v>
      </c>
      <c r="D10" s="3057">
        <v>36292</v>
      </c>
      <c r="E10" s="3057">
        <v>101617.60000000001</v>
      </c>
      <c r="F10" s="3057" t="s">
        <v>3137</v>
      </c>
      <c r="G10" s="3057" t="s">
        <v>3101</v>
      </c>
      <c r="H10" s="3057" t="s">
        <v>3133</v>
      </c>
      <c r="I10" s="3057" t="s">
        <v>3138</v>
      </c>
      <c r="J10" s="3057" t="s">
        <v>3138</v>
      </c>
      <c r="K10" s="3057">
        <v>16006</v>
      </c>
      <c r="L10" s="3057">
        <v>16006</v>
      </c>
      <c r="M10" s="3057">
        <v>1575.11</v>
      </c>
      <c r="N10" s="3057">
        <v>0</v>
      </c>
      <c r="O10" s="3057" t="s">
        <v>3139</v>
      </c>
      <c r="P10" s="3057" t="s">
        <v>3130</v>
      </c>
    </row>
    <row r="11" spans="1:16" s="3057" customFormat="1">
      <c r="A11" s="3057" t="s">
        <v>3140</v>
      </c>
      <c r="B11" s="3057" t="s">
        <v>3098</v>
      </c>
      <c r="C11" s="3057" t="s">
        <v>3099</v>
      </c>
      <c r="D11" s="3057">
        <v>43018</v>
      </c>
      <c r="E11" s="3057">
        <v>81734.2</v>
      </c>
      <c r="F11" s="3057" t="s">
        <v>3141</v>
      </c>
      <c r="G11" s="3057" t="s">
        <v>3101</v>
      </c>
      <c r="H11" s="3057" t="s">
        <v>3133</v>
      </c>
      <c r="I11" s="3057" t="s">
        <v>3138</v>
      </c>
      <c r="J11" s="3057" t="s">
        <v>3138</v>
      </c>
      <c r="K11" s="3057">
        <v>15552</v>
      </c>
      <c r="L11" s="3057">
        <v>15552</v>
      </c>
      <c r="M11" s="3057">
        <v>1902.75</v>
      </c>
      <c r="N11" s="3057">
        <v>0</v>
      </c>
      <c r="O11" s="3057" t="s">
        <v>3139</v>
      </c>
      <c r="P11" s="3057" t="s">
        <v>3105</v>
      </c>
    </row>
    <row r="12" spans="1:16">
      <c r="A12" s="3055" t="s">
        <v>3142</v>
      </c>
      <c r="B12" s="3055" t="s">
        <v>3098</v>
      </c>
      <c r="C12" s="3055" t="s">
        <v>3099</v>
      </c>
      <c r="D12" s="3055">
        <v>13822</v>
      </c>
      <c r="E12" s="3055">
        <v>16586.400000000001</v>
      </c>
      <c r="F12" s="3055" t="s">
        <v>3143</v>
      </c>
      <c r="G12" s="3055" t="s">
        <v>3101</v>
      </c>
      <c r="H12" s="3055" t="s">
        <v>3133</v>
      </c>
      <c r="I12" s="3055" t="s">
        <v>3138</v>
      </c>
      <c r="J12" s="3055" t="s">
        <v>3138</v>
      </c>
      <c r="K12" s="3055">
        <v>12799</v>
      </c>
      <c r="L12" s="3055">
        <v>12799</v>
      </c>
      <c r="M12" s="3055">
        <v>7716.56</v>
      </c>
      <c r="N12" s="3055">
        <v>0</v>
      </c>
      <c r="O12" s="3055" t="s">
        <v>3144</v>
      </c>
      <c r="P12" s="3055" t="s">
        <v>3145</v>
      </c>
    </row>
    <row r="13" spans="1:16">
      <c r="A13" s="3055" t="s">
        <v>3142</v>
      </c>
      <c r="B13" s="3055" t="s">
        <v>3098</v>
      </c>
      <c r="C13" s="3055" t="s">
        <v>3099</v>
      </c>
      <c r="D13" s="3055">
        <v>33787</v>
      </c>
      <c r="E13" s="3055">
        <v>40544.400000000001</v>
      </c>
      <c r="F13" s="3055" t="s">
        <v>3143</v>
      </c>
      <c r="G13" s="3055" t="s">
        <v>3101</v>
      </c>
      <c r="H13" s="3055" t="s">
        <v>3133</v>
      </c>
      <c r="I13" s="3055" t="s">
        <v>3138</v>
      </c>
      <c r="J13" s="3055" t="s">
        <v>3138</v>
      </c>
      <c r="K13" s="3055">
        <v>31290</v>
      </c>
      <c r="L13" s="3055">
        <v>31290</v>
      </c>
      <c r="M13" s="3055">
        <v>7717.47</v>
      </c>
      <c r="N13" s="3055">
        <v>0</v>
      </c>
      <c r="O13" s="3055" t="s">
        <v>3144</v>
      </c>
      <c r="P13" s="3055" t="s">
        <v>3145</v>
      </c>
    </row>
    <row r="14" spans="1:16">
      <c r="A14" s="3055" t="s">
        <v>3146</v>
      </c>
      <c r="B14" s="3055" t="s">
        <v>3098</v>
      </c>
      <c r="C14" s="3055" t="s">
        <v>3099</v>
      </c>
      <c r="D14" s="3055">
        <v>5493</v>
      </c>
      <c r="E14" s="3055">
        <v>2746.5</v>
      </c>
      <c r="F14" s="3055" t="s">
        <v>3147</v>
      </c>
      <c r="G14" s="3055" t="s">
        <v>3101</v>
      </c>
      <c r="H14" s="3055" t="s">
        <v>3148</v>
      </c>
      <c r="I14" s="3055" t="s">
        <v>3149</v>
      </c>
      <c r="J14" s="3055" t="s">
        <v>3149</v>
      </c>
      <c r="K14" s="3055">
        <v>4944</v>
      </c>
      <c r="L14" s="3055">
        <v>6744</v>
      </c>
      <c r="M14" s="3055">
        <v>24554.880000000001</v>
      </c>
      <c r="N14" s="3055">
        <v>36.409999999999997</v>
      </c>
      <c r="O14" s="3055" t="s">
        <v>3150</v>
      </c>
      <c r="P14" s="3055" t="s">
        <v>3105</v>
      </c>
    </row>
    <row r="15" spans="1:16">
      <c r="A15" s="3055" t="s">
        <v>3151</v>
      </c>
      <c r="B15" s="3055" t="s">
        <v>3098</v>
      </c>
      <c r="C15" s="3055" t="s">
        <v>3099</v>
      </c>
      <c r="D15" s="3055">
        <v>3137</v>
      </c>
      <c r="E15" s="3055">
        <v>1568.5</v>
      </c>
      <c r="F15" s="3055" t="s">
        <v>3147</v>
      </c>
      <c r="G15" s="3055" t="s">
        <v>3101</v>
      </c>
      <c r="H15" s="3055" t="s">
        <v>3148</v>
      </c>
      <c r="I15" s="3055" t="s">
        <v>3152</v>
      </c>
      <c r="J15" s="3055" t="s">
        <v>3152</v>
      </c>
      <c r="K15" s="3055">
        <v>1603</v>
      </c>
      <c r="L15" s="3055">
        <v>1603</v>
      </c>
      <c r="M15" s="3055">
        <v>10219.950000000001</v>
      </c>
      <c r="N15" s="3055">
        <v>0</v>
      </c>
      <c r="O15" s="3055" t="s">
        <v>3153</v>
      </c>
      <c r="P15" s="3055" t="s">
        <v>3105</v>
      </c>
    </row>
    <row r="16" spans="1:16">
      <c r="A16" s="3055" t="s">
        <v>3154</v>
      </c>
      <c r="B16" s="3055" t="s">
        <v>3098</v>
      </c>
      <c r="C16" s="3055" t="s">
        <v>3099</v>
      </c>
      <c r="D16" s="3055">
        <v>43335</v>
      </c>
      <c r="E16" s="3055">
        <v>95337</v>
      </c>
      <c r="F16" s="3055" t="s">
        <v>3155</v>
      </c>
      <c r="G16" s="3055" t="s">
        <v>3101</v>
      </c>
      <c r="H16" s="3055" t="s">
        <v>1343</v>
      </c>
      <c r="I16" s="3055" t="s">
        <v>3156</v>
      </c>
      <c r="J16" s="3055" t="s">
        <v>3156</v>
      </c>
      <c r="K16" s="3055">
        <v>8645</v>
      </c>
      <c r="L16" s="3055">
        <v>10245</v>
      </c>
      <c r="M16" s="3055">
        <v>1074.5999999999999</v>
      </c>
      <c r="N16" s="3055">
        <v>18.510000000000002</v>
      </c>
      <c r="O16" s="3055" t="s">
        <v>3157</v>
      </c>
      <c r="P16" s="3055" t="s">
        <v>3105</v>
      </c>
    </row>
    <row r="17" spans="1:16">
      <c r="A17" s="3055" t="s">
        <v>3158</v>
      </c>
      <c r="B17" s="3055" t="s">
        <v>3098</v>
      </c>
      <c r="C17" s="3055" t="s">
        <v>3099</v>
      </c>
      <c r="D17" s="3055">
        <v>274941</v>
      </c>
      <c r="E17" s="3055">
        <v>274941</v>
      </c>
      <c r="F17" s="3055" t="s">
        <v>3159</v>
      </c>
      <c r="G17" s="3055" t="s">
        <v>3101</v>
      </c>
      <c r="H17" s="3055" t="s">
        <v>1343</v>
      </c>
      <c r="I17" s="3055" t="s">
        <v>3156</v>
      </c>
      <c r="J17" s="3055" t="s">
        <v>3156</v>
      </c>
      <c r="K17" s="3055">
        <v>17899</v>
      </c>
      <c r="L17" s="3055">
        <v>17899</v>
      </c>
      <c r="M17" s="3055">
        <v>651</v>
      </c>
      <c r="N17" s="3055">
        <v>0</v>
      </c>
      <c r="O17" s="3055" t="s">
        <v>3160</v>
      </c>
      <c r="P17" s="3055" t="s">
        <v>3130</v>
      </c>
    </row>
    <row r="18" spans="1:16">
      <c r="A18" s="3055" t="s">
        <v>3161</v>
      </c>
      <c r="B18" s="3055" t="s">
        <v>3098</v>
      </c>
      <c r="C18" s="3055" t="s">
        <v>3099</v>
      </c>
      <c r="D18" s="3055">
        <v>13378</v>
      </c>
      <c r="E18" s="3055">
        <v>20067</v>
      </c>
      <c r="F18" s="3055" t="s">
        <v>3162</v>
      </c>
      <c r="G18" s="3055" t="s">
        <v>3101</v>
      </c>
      <c r="H18" s="3055" t="s">
        <v>27</v>
      </c>
      <c r="I18" s="3055" t="s">
        <v>3163</v>
      </c>
      <c r="J18" s="3055" t="s">
        <v>3163</v>
      </c>
      <c r="K18" s="3055">
        <v>1204</v>
      </c>
      <c r="L18" s="3055">
        <v>1204</v>
      </c>
      <c r="M18" s="3055">
        <v>599.99</v>
      </c>
      <c r="N18" s="3055">
        <v>0</v>
      </c>
      <c r="O18" s="3055" t="s">
        <v>3164</v>
      </c>
      <c r="P18" s="3055" t="s">
        <v>3130</v>
      </c>
    </row>
    <row r="19" spans="1:16">
      <c r="A19" s="3055" t="s">
        <v>3165</v>
      </c>
      <c r="B19" s="3055" t="s">
        <v>3098</v>
      </c>
      <c r="C19" s="3055" t="s">
        <v>3099</v>
      </c>
      <c r="D19" s="3055">
        <v>5370</v>
      </c>
      <c r="E19" s="3055">
        <v>2685</v>
      </c>
      <c r="F19" s="3055" t="s">
        <v>3166</v>
      </c>
      <c r="G19" s="3055" t="s">
        <v>3101</v>
      </c>
      <c r="H19" s="3055" t="s">
        <v>1343</v>
      </c>
      <c r="I19" s="3055" t="s">
        <v>3167</v>
      </c>
      <c r="J19" s="3055" t="s">
        <v>3167</v>
      </c>
      <c r="K19" s="3055">
        <v>2599</v>
      </c>
      <c r="L19" s="3055">
        <v>2599</v>
      </c>
      <c r="M19" s="3055">
        <v>9679.7000000000007</v>
      </c>
      <c r="N19" s="3055">
        <v>0</v>
      </c>
      <c r="O19" s="3055" t="s">
        <v>3168</v>
      </c>
      <c r="P19" s="3055" t="s">
        <v>3105</v>
      </c>
    </row>
    <row r="20" spans="1:16">
      <c r="A20" s="3055" t="s">
        <v>3169</v>
      </c>
      <c r="B20" s="3055" t="s">
        <v>3098</v>
      </c>
      <c r="C20" s="3055" t="s">
        <v>3099</v>
      </c>
      <c r="D20" s="3055">
        <v>4000</v>
      </c>
      <c r="E20" s="3055">
        <v>2000</v>
      </c>
      <c r="F20" s="3055" t="s">
        <v>3166</v>
      </c>
      <c r="G20" s="3055" t="s">
        <v>3101</v>
      </c>
      <c r="H20" s="3055" t="s">
        <v>1343</v>
      </c>
      <c r="I20" s="3055" t="s">
        <v>3170</v>
      </c>
      <c r="J20" s="3055" t="s">
        <v>3170</v>
      </c>
      <c r="K20" s="3055">
        <v>1812</v>
      </c>
      <c r="L20" s="3055">
        <v>5062</v>
      </c>
      <c r="M20" s="3055">
        <v>25310</v>
      </c>
      <c r="N20" s="3055">
        <v>179.36</v>
      </c>
      <c r="O20" s="3055" t="s">
        <v>3150</v>
      </c>
      <c r="P20" s="3055" t="s">
        <v>3105</v>
      </c>
    </row>
    <row r="21" spans="1:16">
      <c r="A21" s="3055" t="s">
        <v>3171</v>
      </c>
      <c r="B21" s="3055" t="s">
        <v>3098</v>
      </c>
      <c r="C21" s="3055" t="s">
        <v>3099</v>
      </c>
      <c r="D21" s="3055">
        <v>3334</v>
      </c>
      <c r="E21" s="3055">
        <v>1667</v>
      </c>
      <c r="F21" s="3055" t="s">
        <v>3166</v>
      </c>
      <c r="G21" s="3055" t="s">
        <v>3101</v>
      </c>
      <c r="H21" s="3055" t="s">
        <v>1343</v>
      </c>
      <c r="I21" s="3055" t="s">
        <v>3172</v>
      </c>
      <c r="J21" s="3055" t="s">
        <v>3172</v>
      </c>
      <c r="K21" s="3055">
        <v>1601</v>
      </c>
      <c r="L21" s="3055">
        <v>1601</v>
      </c>
      <c r="M21" s="3055">
        <v>9604.07</v>
      </c>
      <c r="N21" s="3055">
        <v>0</v>
      </c>
      <c r="O21" s="3055" t="s">
        <v>3173</v>
      </c>
      <c r="P21" s="3055" t="s">
        <v>3105</v>
      </c>
    </row>
    <row r="22" spans="1:16">
      <c r="A22" s="3055" t="s">
        <v>3174</v>
      </c>
      <c r="B22" s="3055" t="s">
        <v>3098</v>
      </c>
      <c r="C22" s="3055" t="s">
        <v>3099</v>
      </c>
      <c r="D22" s="3055">
        <v>11888</v>
      </c>
      <c r="E22" s="3055">
        <v>13076.8</v>
      </c>
      <c r="F22" s="3055" t="s">
        <v>3175</v>
      </c>
      <c r="G22" s="3055" t="s">
        <v>3101</v>
      </c>
      <c r="H22" s="3055" t="s">
        <v>1343</v>
      </c>
      <c r="I22" s="3055" t="s">
        <v>3176</v>
      </c>
      <c r="J22" s="3055" t="s">
        <v>3176</v>
      </c>
      <c r="K22" s="3055">
        <v>1890</v>
      </c>
      <c r="L22" s="3055">
        <v>1890</v>
      </c>
      <c r="M22" s="3055">
        <v>1445.3</v>
      </c>
      <c r="N22" s="3055">
        <v>0</v>
      </c>
      <c r="O22" s="3055" t="s">
        <v>3177</v>
      </c>
      <c r="P22" s="3055" t="s">
        <v>3115</v>
      </c>
    </row>
    <row r="23" spans="1:16" hidden="1">
      <c r="A23" s="3055" t="s">
        <v>3178</v>
      </c>
      <c r="B23" s="3055" t="s">
        <v>3098</v>
      </c>
      <c r="C23" s="3055" t="s">
        <v>3099</v>
      </c>
      <c r="D23" s="3055">
        <v>10521</v>
      </c>
      <c r="E23" s="3055">
        <v>33667.199999999997</v>
      </c>
      <c r="F23" s="3055" t="s">
        <v>3179</v>
      </c>
      <c r="G23" s="3055" t="s">
        <v>3101</v>
      </c>
      <c r="H23" s="3055" t="s">
        <v>1343</v>
      </c>
      <c r="I23" s="3055" t="s">
        <v>3180</v>
      </c>
      <c r="J23" s="3055" t="s">
        <v>3180</v>
      </c>
      <c r="K23" s="3055">
        <v>4703</v>
      </c>
      <c r="L23" s="3055">
        <v>4703</v>
      </c>
      <c r="M23" s="3055">
        <v>1396.91</v>
      </c>
      <c r="N23" s="3055">
        <v>0</v>
      </c>
      <c r="O23" s="3055" t="s">
        <v>3181</v>
      </c>
      <c r="P23" s="3055" t="s">
        <v>3130</v>
      </c>
    </row>
    <row r="24" spans="1:16" hidden="1">
      <c r="A24" s="3055" t="s">
        <v>3182</v>
      </c>
      <c r="B24" s="3055" t="s">
        <v>3098</v>
      </c>
      <c r="C24" s="3055" t="s">
        <v>3099</v>
      </c>
      <c r="D24" s="3055">
        <v>9316</v>
      </c>
      <c r="E24" s="3055">
        <v>11179.2</v>
      </c>
      <c r="F24" s="3055" t="s">
        <v>3183</v>
      </c>
      <c r="G24" s="3055" t="s">
        <v>3101</v>
      </c>
      <c r="H24" s="3055" t="s">
        <v>1343</v>
      </c>
      <c r="I24" s="3055" t="s">
        <v>3180</v>
      </c>
      <c r="J24" s="3055" t="s">
        <v>3180</v>
      </c>
      <c r="K24" s="3055">
        <v>1087</v>
      </c>
      <c r="L24" s="3055">
        <v>1087</v>
      </c>
      <c r="M24" s="3055">
        <v>972.34</v>
      </c>
      <c r="N24" s="3055">
        <v>0</v>
      </c>
      <c r="O24" s="3055" t="s">
        <v>3184</v>
      </c>
      <c r="P24" s="3055" t="s">
        <v>3130</v>
      </c>
    </row>
    <row r="25" spans="1:16" hidden="1">
      <c r="A25" s="3055" t="s">
        <v>3185</v>
      </c>
      <c r="B25" s="3055" t="s">
        <v>3098</v>
      </c>
      <c r="C25" s="3055" t="s">
        <v>3099</v>
      </c>
      <c r="D25" s="3055">
        <v>2811</v>
      </c>
      <c r="E25" s="3055">
        <v>4216.5</v>
      </c>
      <c r="F25" s="3055" t="s">
        <v>3162</v>
      </c>
      <c r="G25" s="3055" t="s">
        <v>3101</v>
      </c>
      <c r="H25" s="3055" t="s">
        <v>1343</v>
      </c>
      <c r="I25" s="3055" t="s">
        <v>3186</v>
      </c>
      <c r="J25" s="3055" t="s">
        <v>3186</v>
      </c>
      <c r="K25" s="3055">
        <v>388</v>
      </c>
      <c r="L25" s="3055">
        <v>388</v>
      </c>
      <c r="M25" s="3055">
        <v>920.19</v>
      </c>
      <c r="N25" s="3055">
        <v>0</v>
      </c>
      <c r="O25" s="3055" t="s">
        <v>3187</v>
      </c>
      <c r="P25" s="3055" t="s">
        <v>3130</v>
      </c>
    </row>
    <row r="26" spans="1:16" hidden="1">
      <c r="A26" s="3055" t="s">
        <v>3188</v>
      </c>
      <c r="B26" s="3055" t="s">
        <v>3098</v>
      </c>
      <c r="C26" s="3055" t="s">
        <v>3099</v>
      </c>
      <c r="D26" s="3055">
        <v>3561</v>
      </c>
      <c r="E26" s="3055">
        <v>2848.8</v>
      </c>
      <c r="F26" s="3055" t="s">
        <v>3189</v>
      </c>
      <c r="G26" s="3055" t="s">
        <v>3101</v>
      </c>
      <c r="H26" s="3055" t="s">
        <v>1343</v>
      </c>
      <c r="I26" s="3055" t="s">
        <v>3186</v>
      </c>
      <c r="J26" s="3055" t="s">
        <v>3186</v>
      </c>
      <c r="K26" s="3055">
        <v>726</v>
      </c>
      <c r="L26" s="3055">
        <v>726</v>
      </c>
      <c r="M26" s="3055">
        <v>2548.44</v>
      </c>
      <c r="N26" s="3055">
        <v>0</v>
      </c>
      <c r="O26" s="3055" t="s">
        <v>3190</v>
      </c>
      <c r="P26" s="3055" t="s">
        <v>3145</v>
      </c>
    </row>
    <row r="27" spans="1:16" hidden="1">
      <c r="A27" s="3055" t="s">
        <v>3191</v>
      </c>
      <c r="B27" s="3055" t="s">
        <v>3098</v>
      </c>
      <c r="C27" s="3055" t="s">
        <v>3099</v>
      </c>
      <c r="D27" s="3055">
        <v>3950</v>
      </c>
      <c r="E27" s="3055">
        <v>1975</v>
      </c>
      <c r="F27" s="3055" t="s">
        <v>3166</v>
      </c>
      <c r="G27" s="3055" t="s">
        <v>3101</v>
      </c>
      <c r="H27" s="3055" t="s">
        <v>1343</v>
      </c>
      <c r="I27" s="3055" t="s">
        <v>3192</v>
      </c>
      <c r="J27" s="3055" t="s">
        <v>3192</v>
      </c>
      <c r="K27" s="3055">
        <v>1803</v>
      </c>
      <c r="L27" s="3055">
        <v>4723</v>
      </c>
      <c r="M27" s="3055">
        <v>23913.91</v>
      </c>
      <c r="N27" s="3055">
        <v>161.94999999999999</v>
      </c>
      <c r="O27" s="3055" t="s">
        <v>3193</v>
      </c>
      <c r="P27" s="3055" t="s">
        <v>3115</v>
      </c>
    </row>
    <row r="28" spans="1:16" hidden="1">
      <c r="A28" s="3055" t="s">
        <v>3194</v>
      </c>
      <c r="B28" s="3055" t="s">
        <v>3098</v>
      </c>
      <c r="C28" s="3055" t="s">
        <v>3099</v>
      </c>
      <c r="D28" s="3055">
        <v>3235</v>
      </c>
      <c r="E28" s="3055">
        <v>1617.5</v>
      </c>
      <c r="F28" s="3055" t="s">
        <v>3195</v>
      </c>
      <c r="G28" s="3055" t="s">
        <v>3101</v>
      </c>
      <c r="H28" s="3055" t="s">
        <v>1343</v>
      </c>
      <c r="I28" s="3055" t="s">
        <v>3196</v>
      </c>
      <c r="J28" s="3055" t="s">
        <v>3196</v>
      </c>
      <c r="K28" s="3055">
        <v>1310</v>
      </c>
      <c r="L28" s="3055">
        <v>4050</v>
      </c>
      <c r="M28" s="3055">
        <v>25038.63</v>
      </c>
      <c r="N28" s="3055">
        <v>209.16</v>
      </c>
      <c r="O28" s="3055" t="s">
        <v>3197</v>
      </c>
      <c r="P28" s="3055" t="s">
        <v>3130</v>
      </c>
    </row>
    <row r="29" spans="1:16" hidden="1">
      <c r="A29" s="3055" t="s">
        <v>3198</v>
      </c>
      <c r="B29" s="3055" t="s">
        <v>3098</v>
      </c>
      <c r="C29" s="3055" t="s">
        <v>3099</v>
      </c>
      <c r="D29" s="3055">
        <v>3539</v>
      </c>
      <c r="E29" s="3055">
        <v>1769.5</v>
      </c>
      <c r="F29" s="3055" t="s">
        <v>3195</v>
      </c>
      <c r="G29" s="3055" t="s">
        <v>3101</v>
      </c>
      <c r="H29" s="3055" t="s">
        <v>1343</v>
      </c>
      <c r="I29" s="3055" t="s">
        <v>3196</v>
      </c>
      <c r="J29" s="3055" t="s">
        <v>3196</v>
      </c>
      <c r="K29" s="3055">
        <v>1434</v>
      </c>
      <c r="L29" s="3055">
        <v>3074</v>
      </c>
      <c r="M29" s="3055">
        <v>17372.13</v>
      </c>
      <c r="N29" s="3055">
        <v>114.37</v>
      </c>
      <c r="O29" s="3055" t="s">
        <v>3150</v>
      </c>
      <c r="P29" s="3055" t="s">
        <v>3105</v>
      </c>
    </row>
    <row r="30" spans="1:16" hidden="1">
      <c r="A30" s="3055" t="s">
        <v>3199</v>
      </c>
      <c r="B30" s="3055" t="s">
        <v>3098</v>
      </c>
      <c r="C30" s="3055" t="s">
        <v>3099</v>
      </c>
      <c r="D30" s="3055">
        <v>3986</v>
      </c>
      <c r="E30" s="3055">
        <v>1993</v>
      </c>
      <c r="F30" s="3055" t="s">
        <v>3166</v>
      </c>
      <c r="G30" s="3055" t="s">
        <v>3101</v>
      </c>
      <c r="H30" s="3055" t="s">
        <v>1343</v>
      </c>
      <c r="I30" s="3055" t="s">
        <v>3200</v>
      </c>
      <c r="J30" s="3055" t="s">
        <v>3200</v>
      </c>
      <c r="K30" s="3055">
        <v>2274</v>
      </c>
      <c r="L30" s="3055">
        <v>2274</v>
      </c>
      <c r="M30" s="3055">
        <v>11409.93</v>
      </c>
      <c r="N30" s="3055">
        <v>0</v>
      </c>
      <c r="O30" s="3055" t="s">
        <v>3201</v>
      </c>
      <c r="P30" s="3055" t="s">
        <v>3130</v>
      </c>
    </row>
    <row r="31" spans="1:16" hidden="1">
      <c r="A31" s="3055" t="s">
        <v>3202</v>
      </c>
      <c r="B31" s="3055" t="s">
        <v>3098</v>
      </c>
      <c r="C31" s="3055" t="s">
        <v>3099</v>
      </c>
      <c r="D31" s="3055">
        <v>4009</v>
      </c>
      <c r="E31" s="3055">
        <v>13229.7</v>
      </c>
      <c r="F31" s="3055" t="s">
        <v>3203</v>
      </c>
      <c r="G31" s="3055" t="s">
        <v>3101</v>
      </c>
      <c r="H31" s="3055" t="s">
        <v>27</v>
      </c>
      <c r="I31" s="3055" t="s">
        <v>3204</v>
      </c>
      <c r="J31" s="3055" t="s">
        <v>3204</v>
      </c>
      <c r="K31" s="3055">
        <v>1821</v>
      </c>
      <c r="L31" s="3055">
        <v>1821</v>
      </c>
      <c r="M31" s="3055">
        <v>1376.45</v>
      </c>
      <c r="N31" s="3055">
        <v>0</v>
      </c>
      <c r="O31" s="3055" t="s">
        <v>3205</v>
      </c>
      <c r="P31" s="3055" t="s">
        <v>3145</v>
      </c>
    </row>
    <row r="32" spans="1:16" hidden="1">
      <c r="A32" s="3055" t="s">
        <v>3206</v>
      </c>
      <c r="B32" s="3055" t="s">
        <v>3098</v>
      </c>
      <c r="C32" s="3055" t="s">
        <v>3099</v>
      </c>
      <c r="D32" s="3055">
        <v>3333</v>
      </c>
      <c r="E32" s="3055">
        <v>4999.5</v>
      </c>
      <c r="F32" s="3055" t="s">
        <v>3207</v>
      </c>
      <c r="G32" s="3055" t="s">
        <v>3101</v>
      </c>
      <c r="H32" s="3055" t="s">
        <v>3208</v>
      </c>
      <c r="I32" s="3055" t="s">
        <v>3209</v>
      </c>
      <c r="J32" s="3055" t="s">
        <v>3209</v>
      </c>
      <c r="K32" s="3055">
        <v>750</v>
      </c>
      <c r="L32" s="3055">
        <v>750</v>
      </c>
      <c r="M32" s="3055">
        <v>1500.15</v>
      </c>
      <c r="N32" s="3055">
        <v>0</v>
      </c>
      <c r="O32" s="3055" t="s">
        <v>3210</v>
      </c>
      <c r="P32" s="3055" t="s">
        <v>3105</v>
      </c>
    </row>
    <row r="33" spans="1:16" hidden="1">
      <c r="A33" s="3055" t="s">
        <v>3211</v>
      </c>
      <c r="B33" s="3055" t="s">
        <v>3098</v>
      </c>
      <c r="C33" s="3055" t="s">
        <v>3099</v>
      </c>
      <c r="D33" s="3055">
        <v>29339</v>
      </c>
      <c r="E33" s="3055">
        <v>52810.2</v>
      </c>
      <c r="F33" s="3055" t="s">
        <v>3212</v>
      </c>
      <c r="G33" s="3055" t="s">
        <v>3101</v>
      </c>
      <c r="H33" s="3055" t="s">
        <v>3213</v>
      </c>
      <c r="I33" s="3055" t="s">
        <v>3209</v>
      </c>
      <c r="J33" s="3055" t="s">
        <v>3209</v>
      </c>
      <c r="K33" s="3055">
        <v>5501</v>
      </c>
      <c r="L33" s="3055">
        <v>5501</v>
      </c>
      <c r="M33" s="3055">
        <v>1041.6500000000001</v>
      </c>
      <c r="N33" s="3055">
        <v>0</v>
      </c>
      <c r="O33" s="3055" t="s">
        <v>3214</v>
      </c>
      <c r="P33" s="3055" t="s">
        <v>3130</v>
      </c>
    </row>
    <row r="34" spans="1:16" hidden="1">
      <c r="A34" s="3055" t="s">
        <v>3215</v>
      </c>
      <c r="B34" s="3055" t="s">
        <v>3098</v>
      </c>
      <c r="C34" s="3055" t="s">
        <v>3099</v>
      </c>
      <c r="D34" s="3055">
        <v>4085</v>
      </c>
      <c r="E34" s="3055">
        <v>5719</v>
      </c>
      <c r="F34" s="3055" t="s">
        <v>3216</v>
      </c>
      <c r="G34" s="3055" t="s">
        <v>3101</v>
      </c>
      <c r="H34" s="3055" t="s">
        <v>3108</v>
      </c>
      <c r="I34" s="3055" t="s">
        <v>3217</v>
      </c>
      <c r="J34" s="3055" t="s">
        <v>3217</v>
      </c>
      <c r="K34" s="3055">
        <v>622</v>
      </c>
      <c r="L34" s="3055">
        <v>622</v>
      </c>
      <c r="M34" s="3055">
        <v>1087.5899999999999</v>
      </c>
      <c r="N34" s="3055">
        <v>0</v>
      </c>
      <c r="O34" s="3055" t="s">
        <v>3218</v>
      </c>
      <c r="P34" s="3055" t="s">
        <v>3105</v>
      </c>
    </row>
    <row r="35" spans="1:16" hidden="1">
      <c r="A35" s="3055" t="s">
        <v>3219</v>
      </c>
      <c r="B35" s="3055" t="s">
        <v>3098</v>
      </c>
      <c r="C35" s="3055" t="s">
        <v>3099</v>
      </c>
      <c r="D35" s="3055">
        <v>10411</v>
      </c>
      <c r="E35" s="3055">
        <v>8328.7999999999993</v>
      </c>
      <c r="F35" s="3055" t="s">
        <v>3220</v>
      </c>
      <c r="G35" s="3055" t="s">
        <v>3101</v>
      </c>
      <c r="H35" s="3055" t="s">
        <v>3108</v>
      </c>
      <c r="I35" s="3055" t="s">
        <v>3217</v>
      </c>
      <c r="J35" s="3055" t="s">
        <v>3217</v>
      </c>
      <c r="K35" s="3055">
        <v>3124</v>
      </c>
      <c r="L35" s="3055">
        <v>3124</v>
      </c>
      <c r="M35" s="3055">
        <v>3750.84</v>
      </c>
      <c r="N35" s="3055">
        <v>0</v>
      </c>
      <c r="O35" s="3055" t="s">
        <v>3221</v>
      </c>
      <c r="P35" s="3055" t="s">
        <v>3130</v>
      </c>
    </row>
    <row r="36" spans="1:16" hidden="1">
      <c r="A36" s="3055" t="s">
        <v>3222</v>
      </c>
      <c r="B36" s="3055" t="s">
        <v>3098</v>
      </c>
      <c r="C36" s="3055" t="s">
        <v>3099</v>
      </c>
      <c r="D36" s="3055">
        <v>4405</v>
      </c>
      <c r="E36" s="3055">
        <v>6167</v>
      </c>
      <c r="F36" s="3055" t="s">
        <v>3216</v>
      </c>
      <c r="G36" s="3055" t="s">
        <v>3101</v>
      </c>
      <c r="H36" s="3055" t="s">
        <v>3108</v>
      </c>
      <c r="I36" s="3055" t="s">
        <v>3217</v>
      </c>
      <c r="J36" s="3055" t="s">
        <v>3217</v>
      </c>
      <c r="K36" s="3055">
        <v>714</v>
      </c>
      <c r="L36" s="3055">
        <v>714</v>
      </c>
      <c r="M36" s="3055">
        <v>1157.77</v>
      </c>
      <c r="N36" s="3055">
        <v>0</v>
      </c>
      <c r="O36" s="3055" t="s">
        <v>3218</v>
      </c>
      <c r="P36" s="3055" t="s">
        <v>3105</v>
      </c>
    </row>
    <row r="37" spans="1:16" hidden="1">
      <c r="A37" s="3055" t="s">
        <v>3223</v>
      </c>
      <c r="B37" s="3055" t="s">
        <v>3098</v>
      </c>
      <c r="C37" s="3055" t="s">
        <v>3099</v>
      </c>
      <c r="D37" s="3055">
        <v>8181</v>
      </c>
      <c r="E37" s="3055">
        <v>12271.5</v>
      </c>
      <c r="F37" s="3055" t="s">
        <v>3207</v>
      </c>
      <c r="G37" s="3055" t="s">
        <v>3101</v>
      </c>
      <c r="H37" s="3055" t="s">
        <v>3108</v>
      </c>
      <c r="I37" s="3055" t="s">
        <v>3217</v>
      </c>
      <c r="J37" s="3055" t="s">
        <v>3217</v>
      </c>
      <c r="K37" s="3055">
        <v>615</v>
      </c>
      <c r="L37" s="3055">
        <v>615</v>
      </c>
      <c r="M37" s="3055">
        <v>501.16</v>
      </c>
      <c r="N37" s="3055">
        <v>0</v>
      </c>
      <c r="O37" s="3055" t="s">
        <v>3224</v>
      </c>
      <c r="P37" s="3055" t="s">
        <v>3105</v>
      </c>
    </row>
    <row r="38" spans="1:16" hidden="1">
      <c r="A38" s="3055" t="s">
        <v>3225</v>
      </c>
      <c r="B38" s="3055" t="s">
        <v>3098</v>
      </c>
      <c r="C38" s="3055" t="s">
        <v>3099</v>
      </c>
      <c r="D38" s="3055">
        <v>24153</v>
      </c>
      <c r="E38" s="3055">
        <v>84535.5</v>
      </c>
      <c r="F38" s="3055" t="s">
        <v>3226</v>
      </c>
      <c r="G38" s="3055" t="s">
        <v>3101</v>
      </c>
      <c r="H38" s="3055" t="s">
        <v>3108</v>
      </c>
      <c r="I38" s="3055" t="s">
        <v>3217</v>
      </c>
      <c r="J38" s="3055" t="s">
        <v>3217</v>
      </c>
      <c r="K38" s="3055">
        <v>1817</v>
      </c>
      <c r="L38" s="3055">
        <v>1817</v>
      </c>
      <c r="M38" s="3055">
        <v>214.93</v>
      </c>
      <c r="N38" s="3055">
        <v>0</v>
      </c>
      <c r="O38" s="3055" t="s">
        <v>3224</v>
      </c>
      <c r="P38" s="3055" t="s">
        <v>3105</v>
      </c>
    </row>
    <row r="39" spans="1:16" hidden="1">
      <c r="A39" s="3055" t="s">
        <v>3227</v>
      </c>
      <c r="B39" s="3055" t="s">
        <v>3098</v>
      </c>
      <c r="C39" s="3055" t="s">
        <v>3099</v>
      </c>
      <c r="D39" s="3055">
        <v>15365</v>
      </c>
      <c r="E39" s="3055">
        <v>29193.5</v>
      </c>
      <c r="F39" s="3055" t="s">
        <v>3228</v>
      </c>
      <c r="G39" s="3055" t="s">
        <v>3101</v>
      </c>
      <c r="H39" s="3055" t="s">
        <v>3108</v>
      </c>
      <c r="I39" s="3055" t="s">
        <v>3217</v>
      </c>
      <c r="J39" s="3055" t="s">
        <v>3217</v>
      </c>
      <c r="K39" s="3055">
        <v>2305</v>
      </c>
      <c r="L39" s="3055">
        <v>2305</v>
      </c>
      <c r="M39" s="3055">
        <v>789.55</v>
      </c>
      <c r="N39" s="3055">
        <v>0</v>
      </c>
      <c r="O39" s="3055" t="s">
        <v>3229</v>
      </c>
      <c r="P39" s="3055" t="s">
        <v>3105</v>
      </c>
    </row>
    <row r="40" spans="1:16" hidden="1">
      <c r="A40" s="3055" t="s">
        <v>3230</v>
      </c>
      <c r="B40" s="3055" t="s">
        <v>3098</v>
      </c>
      <c r="C40" s="3055" t="s">
        <v>3099</v>
      </c>
      <c r="D40" s="3055">
        <v>5074</v>
      </c>
      <c r="E40" s="3055">
        <v>4059.2</v>
      </c>
      <c r="F40" s="3055" t="s">
        <v>3220</v>
      </c>
      <c r="G40" s="3055" t="s">
        <v>3101</v>
      </c>
      <c r="H40" s="3055" t="s">
        <v>3108</v>
      </c>
      <c r="I40" s="3055" t="s">
        <v>3217</v>
      </c>
      <c r="J40" s="3055" t="s">
        <v>3217</v>
      </c>
      <c r="K40" s="3055">
        <v>1522</v>
      </c>
      <c r="L40" s="3055">
        <v>1522</v>
      </c>
      <c r="M40" s="3055">
        <v>3749.51</v>
      </c>
      <c r="N40" s="3055">
        <v>0</v>
      </c>
      <c r="O40" s="3055" t="s">
        <v>3221</v>
      </c>
      <c r="P40" s="3055" t="s">
        <v>3130</v>
      </c>
    </row>
    <row r="41" spans="1:16" hidden="1">
      <c r="A41" s="3055" t="s">
        <v>3231</v>
      </c>
      <c r="B41" s="3055" t="s">
        <v>3098</v>
      </c>
      <c r="C41" s="3055" t="s">
        <v>3099</v>
      </c>
      <c r="D41" s="3055">
        <v>10168</v>
      </c>
      <c r="E41" s="3055">
        <v>15252</v>
      </c>
      <c r="F41" s="3055" t="s">
        <v>3232</v>
      </c>
      <c r="G41" s="3055" t="s">
        <v>3101</v>
      </c>
      <c r="H41" s="3055" t="s">
        <v>3233</v>
      </c>
      <c r="I41" s="3055" t="s">
        <v>3234</v>
      </c>
      <c r="J41" s="3055" t="s">
        <v>3234</v>
      </c>
      <c r="K41" s="3055">
        <v>1982</v>
      </c>
      <c r="L41" s="3055">
        <v>1982</v>
      </c>
      <c r="M41" s="3055">
        <v>1299.5</v>
      </c>
      <c r="N41" s="3055">
        <v>0</v>
      </c>
      <c r="O41" s="3055" t="s">
        <v>3235</v>
      </c>
      <c r="P41" s="3055" t="s">
        <v>3120</v>
      </c>
    </row>
    <row r="42" spans="1:16" hidden="1">
      <c r="A42" s="3055" t="s">
        <v>3236</v>
      </c>
      <c r="B42" s="3055" t="s">
        <v>3098</v>
      </c>
      <c r="C42" s="3055" t="s">
        <v>3099</v>
      </c>
      <c r="D42" s="3055">
        <v>37191</v>
      </c>
      <c r="E42" s="3055">
        <v>223146</v>
      </c>
      <c r="F42" s="3055" t="s">
        <v>3237</v>
      </c>
      <c r="G42" s="3055" t="s">
        <v>3101</v>
      </c>
      <c r="H42" s="3055" t="s">
        <v>3108</v>
      </c>
      <c r="I42" s="3055" t="s">
        <v>3238</v>
      </c>
      <c r="J42" s="3055" t="s">
        <v>3238</v>
      </c>
      <c r="K42" s="3055">
        <v>18349</v>
      </c>
      <c r="L42" s="3055">
        <v>18349</v>
      </c>
      <c r="M42" s="3055">
        <v>822.28</v>
      </c>
      <c r="N42" s="3055">
        <v>0</v>
      </c>
      <c r="O42" s="3055" t="s">
        <v>3239</v>
      </c>
      <c r="P42" s="3055" t="s">
        <v>3105</v>
      </c>
    </row>
    <row r="43" spans="1:16" hidden="1">
      <c r="A43" s="3055" t="s">
        <v>3240</v>
      </c>
      <c r="B43" s="3055" t="s">
        <v>3098</v>
      </c>
      <c r="C43" s="3055" t="s">
        <v>3099</v>
      </c>
      <c r="D43" s="3055">
        <v>46508</v>
      </c>
      <c r="E43" s="3055">
        <v>139524</v>
      </c>
      <c r="F43" s="3055" t="s">
        <v>3241</v>
      </c>
      <c r="G43" s="3055" t="s">
        <v>3101</v>
      </c>
      <c r="H43" s="3055" t="s">
        <v>3213</v>
      </c>
      <c r="I43" s="3055" t="s">
        <v>3242</v>
      </c>
      <c r="J43" s="3055" t="s">
        <v>3242</v>
      </c>
      <c r="K43" s="3055">
        <v>18598</v>
      </c>
      <c r="L43" s="3055">
        <v>18598</v>
      </c>
      <c r="M43" s="3055">
        <v>1332.96</v>
      </c>
      <c r="N43" s="3055">
        <v>0</v>
      </c>
      <c r="O43" s="3055" t="s">
        <v>3243</v>
      </c>
      <c r="P43" s="3055" t="s">
        <v>3130</v>
      </c>
    </row>
    <row r="44" spans="1:16" hidden="1">
      <c r="A44" s="3055" t="s">
        <v>3244</v>
      </c>
      <c r="B44" s="3055" t="s">
        <v>3098</v>
      </c>
      <c r="C44" s="3055" t="s">
        <v>3099</v>
      </c>
      <c r="D44" s="3055">
        <v>48628</v>
      </c>
      <c r="E44" s="3055">
        <v>170198</v>
      </c>
      <c r="F44" s="3055" t="s">
        <v>3245</v>
      </c>
      <c r="G44" s="3055" t="s">
        <v>3101</v>
      </c>
      <c r="H44" s="3055" t="s">
        <v>3213</v>
      </c>
      <c r="I44" s="3055" t="s">
        <v>3242</v>
      </c>
      <c r="J44" s="3055" t="s">
        <v>3242</v>
      </c>
      <c r="K44" s="3055">
        <v>21247</v>
      </c>
      <c r="L44" s="3055">
        <v>21247</v>
      </c>
      <c r="M44" s="3055">
        <v>1248.3599999999999</v>
      </c>
      <c r="N44" s="3055">
        <v>0</v>
      </c>
      <c r="O44" s="3055" t="s">
        <v>3243</v>
      </c>
      <c r="P44" s="3055" t="s">
        <v>3120</v>
      </c>
    </row>
    <row r="45" spans="1:16" hidden="1">
      <c r="A45" s="3055" t="s">
        <v>3246</v>
      </c>
      <c r="B45" s="3055" t="s">
        <v>3098</v>
      </c>
      <c r="C45" s="3055" t="s">
        <v>3099</v>
      </c>
      <c r="D45" s="3055">
        <v>112545</v>
      </c>
      <c r="E45" s="3055">
        <v>225090</v>
      </c>
      <c r="F45" s="3055" t="s">
        <v>3247</v>
      </c>
      <c r="G45" s="3055" t="s">
        <v>3101</v>
      </c>
      <c r="H45" s="3055" t="s">
        <v>3213</v>
      </c>
      <c r="I45" s="3055" t="s">
        <v>3242</v>
      </c>
      <c r="J45" s="3055" t="s">
        <v>3242</v>
      </c>
      <c r="K45" s="3055">
        <v>32931</v>
      </c>
      <c r="L45" s="3055">
        <v>32931</v>
      </c>
      <c r="M45" s="3055">
        <v>1463</v>
      </c>
      <c r="N45" s="3055">
        <v>0</v>
      </c>
      <c r="O45" s="3055" t="s">
        <v>3243</v>
      </c>
      <c r="P45" s="3055" t="s">
        <v>3120</v>
      </c>
    </row>
    <row r="46" spans="1:16" hidden="1">
      <c r="A46" s="3055" t="s">
        <v>3248</v>
      </c>
      <c r="B46" s="3055" t="s">
        <v>3098</v>
      </c>
      <c r="C46" s="3055" t="s">
        <v>3099</v>
      </c>
      <c r="D46" s="3055">
        <v>9628</v>
      </c>
      <c r="E46" s="3055">
        <v>12516.4</v>
      </c>
      <c r="F46" s="3055" t="s">
        <v>3249</v>
      </c>
      <c r="G46" s="3055" t="s">
        <v>3101</v>
      </c>
      <c r="H46" s="3055" t="s">
        <v>3108</v>
      </c>
      <c r="I46" s="3055" t="s">
        <v>3250</v>
      </c>
      <c r="J46" s="3055" t="s">
        <v>3250</v>
      </c>
      <c r="K46" s="3055">
        <v>1819</v>
      </c>
      <c r="L46" s="3055">
        <v>1819</v>
      </c>
      <c r="M46" s="3055">
        <v>1453.28</v>
      </c>
      <c r="N46" s="3055">
        <v>0</v>
      </c>
      <c r="O46" s="3055" t="s">
        <v>3251</v>
      </c>
      <c r="P46" s="3055" t="s">
        <v>3105</v>
      </c>
    </row>
    <row r="47" spans="1:16" hidden="1">
      <c r="A47" s="3055" t="s">
        <v>3252</v>
      </c>
      <c r="B47" s="3055" t="s">
        <v>3098</v>
      </c>
      <c r="C47" s="3055" t="s">
        <v>3099</v>
      </c>
      <c r="D47" s="3055">
        <v>1446</v>
      </c>
      <c r="E47" s="3055">
        <v>1446</v>
      </c>
      <c r="F47" s="3055" t="s">
        <v>3253</v>
      </c>
      <c r="G47" s="3055" t="s">
        <v>3101</v>
      </c>
      <c r="H47" s="3055" t="s">
        <v>3108</v>
      </c>
      <c r="I47" s="3055" t="s">
        <v>3250</v>
      </c>
      <c r="J47" s="3055" t="s">
        <v>3250</v>
      </c>
      <c r="K47" s="3055">
        <v>174</v>
      </c>
      <c r="L47" s="3055">
        <v>174</v>
      </c>
      <c r="M47" s="3055">
        <v>1203.31</v>
      </c>
      <c r="N47" s="3055">
        <v>0</v>
      </c>
      <c r="O47" s="3055" t="s">
        <v>3160</v>
      </c>
      <c r="P47" s="3055" t="s">
        <v>3105</v>
      </c>
    </row>
    <row r="48" spans="1:16" hidden="1">
      <c r="A48" s="3055" t="s">
        <v>3254</v>
      </c>
      <c r="B48" s="3055" t="s">
        <v>3098</v>
      </c>
      <c r="C48" s="3055" t="s">
        <v>3099</v>
      </c>
      <c r="D48" s="3055">
        <v>11936</v>
      </c>
      <c r="E48" s="3055">
        <v>21484.799999999999</v>
      </c>
      <c r="F48" s="3055" t="s">
        <v>3255</v>
      </c>
      <c r="G48" s="3055" t="s">
        <v>3101</v>
      </c>
      <c r="H48" s="3055" t="s">
        <v>3108</v>
      </c>
      <c r="I48" s="3055" t="s">
        <v>3250</v>
      </c>
      <c r="J48" s="3055" t="s">
        <v>3250</v>
      </c>
      <c r="K48" s="3055">
        <v>2685</v>
      </c>
      <c r="L48" s="3055">
        <v>5505</v>
      </c>
      <c r="M48" s="3055">
        <v>2562.2800000000002</v>
      </c>
      <c r="N48" s="3055">
        <v>105.03</v>
      </c>
      <c r="O48" s="3055" t="s">
        <v>3256</v>
      </c>
      <c r="P48" s="3055" t="s">
        <v>3130</v>
      </c>
    </row>
    <row r="49" spans="1:16" hidden="1">
      <c r="A49" s="3055" t="s">
        <v>3257</v>
      </c>
      <c r="B49" s="3055" t="s">
        <v>3098</v>
      </c>
      <c r="C49" s="3055" t="s">
        <v>3099</v>
      </c>
      <c r="D49" s="3055">
        <v>57802</v>
      </c>
      <c r="E49" s="3055">
        <v>231208</v>
      </c>
      <c r="F49" s="3055" t="s">
        <v>3258</v>
      </c>
      <c r="G49" s="3055" t="s">
        <v>3101</v>
      </c>
      <c r="H49" s="3055" t="s">
        <v>3259</v>
      </c>
      <c r="I49" s="3055" t="s">
        <v>3260</v>
      </c>
      <c r="J49" s="3055" t="s">
        <v>3260</v>
      </c>
      <c r="K49" s="3055">
        <v>34680</v>
      </c>
      <c r="L49" s="3055">
        <v>34880</v>
      </c>
      <c r="M49" s="3055">
        <v>1508.59</v>
      </c>
      <c r="N49" s="3055">
        <v>0.57999999999999996</v>
      </c>
      <c r="O49" s="3055" t="s">
        <v>3261</v>
      </c>
      <c r="P49" s="3055" t="s">
        <v>3145</v>
      </c>
    </row>
    <row r="50" spans="1:16" hidden="1">
      <c r="A50" s="3055" t="s">
        <v>3262</v>
      </c>
      <c r="B50" s="3055" t="s">
        <v>3098</v>
      </c>
      <c r="C50" s="3055" t="s">
        <v>3099</v>
      </c>
      <c r="D50" s="3055">
        <v>36669</v>
      </c>
      <c r="E50" s="3055">
        <v>66004.2</v>
      </c>
      <c r="F50" s="3055" t="s">
        <v>3263</v>
      </c>
      <c r="G50" s="3055" t="s">
        <v>3101</v>
      </c>
      <c r="H50" s="3055" t="s">
        <v>3108</v>
      </c>
      <c r="I50" s="3055" t="s">
        <v>3264</v>
      </c>
      <c r="J50" s="3055" t="s">
        <v>3264</v>
      </c>
      <c r="K50" s="3055">
        <v>6875</v>
      </c>
      <c r="L50" s="3055">
        <v>6875</v>
      </c>
      <c r="M50" s="3055">
        <v>1041.5899999999999</v>
      </c>
      <c r="N50" s="3055">
        <v>0</v>
      </c>
      <c r="O50" s="3055" t="s">
        <v>3265</v>
      </c>
      <c r="P50" s="3055" t="s">
        <v>3105</v>
      </c>
    </row>
    <row r="51" spans="1:16" hidden="1">
      <c r="A51" s="3055" t="s">
        <v>3266</v>
      </c>
      <c r="B51" s="3055" t="s">
        <v>3098</v>
      </c>
      <c r="C51" s="3055" t="s">
        <v>3099</v>
      </c>
      <c r="D51" s="3055">
        <v>74999</v>
      </c>
      <c r="E51" s="3055">
        <v>89998.8</v>
      </c>
      <c r="F51" s="3055" t="s">
        <v>3267</v>
      </c>
      <c r="G51" s="3055" t="s">
        <v>3101</v>
      </c>
      <c r="H51" s="3055" t="s">
        <v>3108</v>
      </c>
      <c r="I51" s="3055" t="s">
        <v>3268</v>
      </c>
      <c r="J51" s="3055" t="s">
        <v>3268</v>
      </c>
      <c r="K51" s="3055">
        <v>12382</v>
      </c>
      <c r="L51" s="3055">
        <v>12382</v>
      </c>
      <c r="M51" s="3055">
        <v>1375.79</v>
      </c>
      <c r="N51" s="3055">
        <v>0</v>
      </c>
      <c r="O51" s="3055" t="s">
        <v>3269</v>
      </c>
      <c r="P51" s="3055" t="s">
        <v>3105</v>
      </c>
    </row>
    <row r="56" spans="1:16">
      <c r="J56" s="3061" t="s">
        <v>3285</v>
      </c>
      <c r="K56" s="3062">
        <v>32739</v>
      </c>
    </row>
    <row r="57" spans="1:16">
      <c r="J57" s="3061" t="s">
        <v>3286</v>
      </c>
      <c r="K57" s="3062">
        <v>3.5</v>
      </c>
    </row>
    <row r="58" spans="1:16">
      <c r="J58" s="3061" t="s">
        <v>3287</v>
      </c>
      <c r="K58" s="3062">
        <f>ROUND(K56*K57,0)</f>
        <v>114587</v>
      </c>
    </row>
    <row r="59" spans="1:16">
      <c r="J59" s="3061" t="s">
        <v>3288</v>
      </c>
      <c r="K59" s="3062">
        <v>4460</v>
      </c>
    </row>
    <row r="60" spans="1:16">
      <c r="J60" s="3061" t="s">
        <v>3289</v>
      </c>
      <c r="K60" s="3062">
        <f>ROUND(K59/K56*10000,0)</f>
        <v>1362</v>
      </c>
    </row>
    <row r="61" spans="1:16">
      <c r="J61" s="3061" t="s">
        <v>3290</v>
      </c>
      <c r="K61" s="3062">
        <f>ROUND(K59/K58*10000,0)</f>
        <v>389</v>
      </c>
    </row>
  </sheetData>
  <phoneticPr fontId="141" type="noConversion"/>
  <pageMargins left="0.75" right="0.75" top="1" bottom="1" header="0.5" footer="0.5"/>
  <pageSetup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0" zoomScaleNormal="70" zoomScaleSheetLayoutView="80" workbookViewId="0">
      <selection sqref="A1:F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3069</v>
      </c>
      <c r="D1" s="1547" t="s">
        <v>70</v>
      </c>
      <c r="E1" s="1548" t="s">
        <v>1352</v>
      </c>
      <c r="F1" s="1193">
        <f ca="1">J53</f>
        <v>29.46</v>
      </c>
      <c r="G1" s="1563">
        <f>MATCH(C1,'数据-取费表'!A6:A16,0)+5</f>
        <v>6</v>
      </c>
      <c r="H1" s="2916"/>
      <c r="I1" s="2917"/>
      <c r="J1" s="2917"/>
      <c r="K1" s="2918"/>
      <c r="L1" s="2917"/>
      <c r="M1" s="291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32821</v>
      </c>
      <c r="C2" s="1572" t="s">
        <v>1481</v>
      </c>
      <c r="D2" s="1572"/>
      <c r="E2" s="1573"/>
      <c r="F2" s="1574"/>
      <c r="G2" s="2930"/>
      <c r="H2" s="2919"/>
      <c r="I2" s="2919"/>
      <c r="J2" s="2919"/>
      <c r="K2" s="2920"/>
      <c r="L2" s="2919"/>
      <c r="M2" s="2919"/>
    </row>
    <row r="3" spans="1:37" ht="18" customHeight="1" thickBot="1">
      <c r="A3" s="1575" t="s">
        <v>1482</v>
      </c>
      <c r="B3" s="1576">
        <f ca="1">IF(ISERROR(B2*10000/F43),0,ROUND(B2*10000/F43,0))</f>
        <v>7316</v>
      </c>
      <c r="C3" s="1572" t="s">
        <v>1483</v>
      </c>
      <c r="D3" s="1572"/>
      <c r="E3" s="1573"/>
      <c r="F3" s="1574"/>
      <c r="G3" s="2930"/>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2717</v>
      </c>
      <c r="D5" s="1549" t="s">
        <v>1367</v>
      </c>
      <c r="E5" s="1203"/>
      <c r="F5" s="1204"/>
      <c r="G5" s="1569"/>
      <c r="H5" s="305">
        <v>1</v>
      </c>
      <c r="I5" s="306" t="s">
        <v>1366</v>
      </c>
      <c r="J5" s="1202">
        <f ca="1">J6+J10+J12</f>
        <v>0</v>
      </c>
      <c r="K5" s="1549" t="s">
        <v>1367</v>
      </c>
      <c r="L5" s="1203"/>
      <c r="M5" s="1204"/>
    </row>
    <row r="6" spans="1:37" ht="18" customHeight="1">
      <c r="A6" s="1201" t="s">
        <v>1003</v>
      </c>
      <c r="B6" s="3475" t="s">
        <v>1368</v>
      </c>
      <c r="C6" s="1206">
        <f ca="1">ROUND(F6*F8*F7*(1-F9)/10000,0)</f>
        <v>2714</v>
      </c>
      <c r="D6" s="160" t="s">
        <v>2851</v>
      </c>
      <c r="E6" s="308" t="s">
        <v>1370</v>
      </c>
      <c r="F6" s="309">
        <f ca="1">INDIRECT("'数据-取费表'!u"&amp;$G$1)</f>
        <v>1.95</v>
      </c>
      <c r="G6" s="1569"/>
      <c r="H6" s="1201" t="s">
        <v>1003</v>
      </c>
      <c r="I6" s="3475" t="s">
        <v>1368</v>
      </c>
      <c r="J6" s="307">
        <f ca="1">ROUND(M6*M8*M7*(1-M9)/10000,0)</f>
        <v>0</v>
      </c>
      <c r="K6" s="160" t="s">
        <v>2850</v>
      </c>
      <c r="L6" s="308" t="s">
        <v>1370</v>
      </c>
      <c r="M6" s="309">
        <f ca="1">INDIRECT("'数据-取费表'!z"&amp;$G$1)</f>
        <v>0</v>
      </c>
    </row>
    <row r="7" spans="1:37" ht="18" customHeight="1">
      <c r="A7" s="1205"/>
      <c r="B7" s="3476"/>
      <c r="C7" s="1207"/>
      <c r="D7" s="313"/>
      <c r="E7" s="1208" t="s">
        <v>1371</v>
      </c>
      <c r="F7" s="309">
        <f ca="1">IF(INDIRECT("'数据-取费表'!ah"&amp;$G$1)="",INDIRECT("'数据-取费表'!k"&amp;$G$1),INDIRECT("'数据-取费表'!ah"&amp;$G$1))</f>
        <v>44859.7</v>
      </c>
      <c r="G7" s="1569"/>
      <c r="H7" s="310"/>
      <c r="I7" s="3476"/>
      <c r="J7" s="312"/>
      <c r="K7" s="313"/>
      <c r="L7" s="308" t="s">
        <v>1371</v>
      </c>
      <c r="M7" s="309">
        <f ca="1">F7</f>
        <v>44859.7</v>
      </c>
    </row>
    <row r="8" spans="1:37" ht="18" customHeight="1">
      <c r="A8" s="310"/>
      <c r="B8" s="3476"/>
      <c r="C8" s="312"/>
      <c r="D8" s="313"/>
      <c r="E8" s="308" t="s">
        <v>1372</v>
      </c>
      <c r="F8" s="309">
        <f ca="1">INDIRECT("'数据-取费表'!ai"&amp;$G$1)</f>
        <v>365</v>
      </c>
      <c r="G8" s="1569"/>
      <c r="H8" s="310"/>
      <c r="I8" s="3476"/>
      <c r="J8" s="312"/>
      <c r="K8" s="313"/>
      <c r="L8" s="308" t="s">
        <v>1372</v>
      </c>
      <c r="M8" s="309">
        <f ca="1">INDIRECT("'数据-取费表'!ai"&amp;$G$1)</f>
        <v>365</v>
      </c>
    </row>
    <row r="9" spans="1:37" ht="18" customHeight="1">
      <c r="A9" s="310"/>
      <c r="B9" s="3477"/>
      <c r="C9" s="312"/>
      <c r="D9" s="313"/>
      <c r="E9" s="308" t="s">
        <v>1373</v>
      </c>
      <c r="F9" s="318">
        <f ca="1">INDIRECT("'数据-取费表'!w"&amp;$G$1)</f>
        <v>0.15</v>
      </c>
      <c r="G9" s="1569"/>
      <c r="H9" s="310"/>
      <c r="I9" s="3477"/>
      <c r="J9" s="312"/>
      <c r="K9" s="313"/>
      <c r="L9" s="319" t="s">
        <v>1373</v>
      </c>
      <c r="M9" s="320">
        <f ca="1">INDIRECT("'数据-取费表'!ab"&amp;$G$1)</f>
        <v>0</v>
      </c>
    </row>
    <row r="10" spans="1:37" ht="18" customHeight="1">
      <c r="A10" s="1201" t="s">
        <v>1007</v>
      </c>
      <c r="B10" s="1550" t="s">
        <v>1374</v>
      </c>
      <c r="C10" s="322">
        <f ca="1">ROUND(IF(F10="押一",C6/12*F11,IF(F10="押二",C6/12*2*F11,IF(F10="押三",C6/12*3*F11,C11*F11))),0)</f>
        <v>3</v>
      </c>
      <c r="D10" s="1551" t="s">
        <v>2859</v>
      </c>
      <c r="E10" s="319" t="s">
        <v>1375</v>
      </c>
      <c r="F10" s="1276" t="s">
        <v>3455</v>
      </c>
      <c r="G10" s="1569"/>
      <c r="H10" s="1201" t="s">
        <v>1007</v>
      </c>
      <c r="I10" s="1550" t="s">
        <v>1374</v>
      </c>
      <c r="J10" s="307">
        <f ca="1">ROUND(IF(M10="押一",J6/12*M11,IF(M10="押二",J6/12*2*M11,IF(M10="押三",J6/12*3*M11,J11*M11))),0)</f>
        <v>0</v>
      </c>
      <c r="K10" s="1551" t="s">
        <v>2858</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31119</v>
      </c>
      <c r="D13" s="1241" t="s">
        <v>1380</v>
      </c>
      <c r="E13" s="1241" t="s">
        <v>1381</v>
      </c>
      <c r="F13" s="1242">
        <f ca="1">INDIRECT("'数据-取费表'!y"&amp;$G$1)</f>
        <v>0.93</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20187</v>
      </c>
      <c r="D14" s="1530" t="s">
        <v>1383</v>
      </c>
      <c r="E14" s="1527"/>
      <c r="F14" s="325"/>
      <c r="G14" s="1569"/>
      <c r="H14" s="1113" t="s">
        <v>1003</v>
      </c>
      <c r="I14" s="308" t="s">
        <v>1384</v>
      </c>
      <c r="J14" s="24">
        <f ca="1">C29</f>
        <v>33461</v>
      </c>
      <c r="K14" s="15"/>
      <c r="L14" s="916"/>
      <c r="M14" s="917"/>
    </row>
    <row r="15" spans="1:37" s="1582" customFormat="1" ht="18" customHeight="1" thickBot="1">
      <c r="A15" s="1113" t="s">
        <v>1004</v>
      </c>
      <c r="B15" s="308" t="s">
        <v>1385</v>
      </c>
      <c r="C15" s="24">
        <f ca="1">ROUND(C14*F15,0)</f>
        <v>1009</v>
      </c>
      <c r="D15" s="326" t="s">
        <v>1386</v>
      </c>
      <c r="E15" s="326" t="s">
        <v>1387</v>
      </c>
      <c r="F15" s="327">
        <f>'数据-取费表'!B33</f>
        <v>0.05</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787</v>
      </c>
      <c r="K16" s="1247" t="s">
        <v>1390</v>
      </c>
      <c r="L16" s="1248"/>
      <c r="M16" s="1204"/>
    </row>
    <row r="17" spans="1:37" s="1582" customFormat="1" ht="18" customHeight="1">
      <c r="A17" s="1113" t="s">
        <v>1355</v>
      </c>
      <c r="B17" s="308" t="s">
        <v>1391</v>
      </c>
      <c r="C17" s="24">
        <f ca="1">ROUND(F17*(F43+INDIRECT("'数据-取费表'!S"&amp;$G$1))/10000,0)</f>
        <v>897</v>
      </c>
      <c r="D17" s="308" t="s">
        <v>1392</v>
      </c>
      <c r="E17" s="308" t="s">
        <v>1393</v>
      </c>
      <c r="F17" s="26">
        <f>'数据-取费表'!B35</f>
        <v>200</v>
      </c>
      <c r="G17" s="1581"/>
      <c r="H17" s="1113" t="s">
        <v>1003</v>
      </c>
      <c r="I17" s="308" t="s">
        <v>1394</v>
      </c>
      <c r="J17" s="2534">
        <f ca="1">ROUND(IF(AND(项目基本情况!B11="自然人",项目基本情况!B10="北京市"),J6*M17/(1+'数据-取费表'!C42),J18+J19+J20),0)</f>
        <v>285</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303</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22396</v>
      </c>
      <c r="D19" s="136" t="s">
        <v>1401</v>
      </c>
      <c r="E19" s="1545"/>
      <c r="F19" s="26"/>
      <c r="G19" s="1569"/>
      <c r="H19" s="1113" t="s">
        <v>1004</v>
      </c>
      <c r="I19" s="308" t="s">
        <v>1402</v>
      </c>
      <c r="J19" s="24">
        <f ca="1">IF(K19="按租金收入计税",ROUND(J6*M19/(1+'数据-取费表'!C42),2),ROUND(C29*M19*0.7,2))</f>
        <v>281.07</v>
      </c>
      <c r="K19" s="1555" t="s">
        <v>1403</v>
      </c>
      <c r="L19" s="308" t="s">
        <v>1387</v>
      </c>
      <c r="M19" s="328">
        <f>IF(K19="按租金收入计税",'数据-取费表'!B51,'数据-取费表'!B50)</f>
        <v>1.2E-2</v>
      </c>
    </row>
    <row r="20" spans="1:37" s="1582" customFormat="1" ht="18" customHeight="1">
      <c r="A20" s="1113" t="s">
        <v>1007</v>
      </c>
      <c r="B20" s="308" t="s">
        <v>1404</v>
      </c>
      <c r="C20" s="24">
        <f ca="1">ROUND(C19*F20,0)</f>
        <v>672</v>
      </c>
      <c r="D20" s="329" t="s">
        <v>1405</v>
      </c>
      <c r="E20" s="308" t="s">
        <v>1387</v>
      </c>
      <c r="F20" s="328">
        <f>'数据-取费表'!B37</f>
        <v>0.03</v>
      </c>
      <c r="G20" s="1581"/>
      <c r="H20" s="1113" t="s">
        <v>1354</v>
      </c>
      <c r="I20" s="160" t="s">
        <v>1406</v>
      </c>
      <c r="J20" s="25">
        <f ca="1">ROUND(M20*M21/10000,2)</f>
        <v>3.58</v>
      </c>
      <c r="K20" s="330" t="s">
        <v>1407</v>
      </c>
      <c r="L20" s="308" t="s">
        <v>1408</v>
      </c>
      <c r="M20" s="331">
        <f>'数据-取费表'!B52</f>
        <v>6</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0.03</v>
      </c>
      <c r="G21" s="1581"/>
      <c r="H21" s="332"/>
      <c r="I21" s="317"/>
      <c r="J21" s="29"/>
      <c r="K21" s="333"/>
      <c r="L21" s="308" t="s">
        <v>1412</v>
      </c>
      <c r="M21" s="309">
        <f ca="1">INDIRECT("'数据-取费表'!r"&amp;$G$1)</f>
        <v>5974.5</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501.9</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1521</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-787</v>
      </c>
      <c r="K25" s="1255" t="s">
        <v>1429</v>
      </c>
      <c r="L25" s="1256"/>
      <c r="M25" s="1257"/>
    </row>
    <row r="26" spans="1:37">
      <c r="A26" s="1113" t="s">
        <v>1002</v>
      </c>
      <c r="B26" s="308" t="s">
        <v>1430</v>
      </c>
      <c r="C26" s="24">
        <f ca="1">ROUND((C19+C20)*F26,0)</f>
        <v>5767</v>
      </c>
      <c r="D26" s="329" t="s">
        <v>1431</v>
      </c>
      <c r="E26" s="319" t="s">
        <v>1432</v>
      </c>
      <c r="F26" s="318">
        <f ca="1">INDIRECT("'数据-取费表'!q"&amp;$G$1)</f>
        <v>0.25</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7.4999999999999997E-3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33461</v>
      </c>
      <c r="D29" s="1252"/>
      <c r="E29" s="1250"/>
      <c r="F29" s="1253"/>
      <c r="G29" s="1581"/>
      <c r="H29" s="340" t="s">
        <v>1001</v>
      </c>
      <c r="I29" s="341" t="s">
        <v>1444</v>
      </c>
      <c r="J29" s="342">
        <f ca="1">ROUND(J26/(1+F40)^F41,0)</f>
        <v>0</v>
      </c>
      <c r="K29" s="343" t="s">
        <v>1445</v>
      </c>
      <c r="L29" s="344"/>
      <c r="M29" s="345">
        <f ca="1">INDIRECT("'数据-取费表'!k"&amp;$G$1)</f>
        <v>44859.7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1062</v>
      </c>
      <c r="D30" s="1247" t="s">
        <v>1390</v>
      </c>
      <c r="E30" s="1248"/>
      <c r="F30" s="1204"/>
      <c r="G30" s="1569"/>
      <c r="H30" s="2921"/>
      <c r="I30" s="1583"/>
      <c r="J30" s="1584"/>
      <c r="K30" s="2698"/>
      <c r="L30" s="2922"/>
      <c r="M30" s="2923"/>
    </row>
    <row r="31" spans="1:37" ht="18" customHeight="1">
      <c r="A31" s="1113" t="s">
        <v>1003</v>
      </c>
      <c r="B31" s="308" t="s">
        <v>1394</v>
      </c>
      <c r="C31" s="2534">
        <f ca="1">ROUND(IF(AND(项目基本情况!B11="自然人",项目基本情况!B10="北京市"),C6*F31/(1+'数据-取费表'!C42),C32+C33+C34),0)</f>
        <v>459</v>
      </c>
      <c r="D31" s="1530" t="s">
        <v>1395</v>
      </c>
      <c r="E31" s="1529" t="s">
        <v>1446</v>
      </c>
      <c r="F31" s="2533" t="str">
        <f>IF(项目基本情况!B11="企业","——",IF('数据-取费表'!B10="住宅",IF(F6*F7*F8/12/(1+'数据-取费表'!F30)&gt;100000,4%,2.5%),IF(F6*F7*F8/12/(1+'数据-取费表'!F30)&gt;100000,12%,7%)))</f>
        <v>——</v>
      </c>
      <c r="G31" s="1569"/>
      <c r="H31" s="3034" t="s">
        <v>3054</v>
      </c>
      <c r="I31" s="1583"/>
      <c r="J31" s="1584"/>
      <c r="K31" s="2698"/>
      <c r="L31" s="2922"/>
      <c r="M31" s="2923"/>
    </row>
    <row r="32" spans="1:37" ht="18" customHeight="1">
      <c r="A32" s="1113" t="s">
        <v>1002</v>
      </c>
      <c r="B32" s="308" t="s">
        <v>1398</v>
      </c>
      <c r="C32" s="24">
        <f ca="1">IF(项目基本情况!B11="自然人","——",ROUND(C6*F32/(1+'数据-取费表'!C42),2))</f>
        <v>144.75</v>
      </c>
      <c r="D32" s="1529" t="s">
        <v>1399</v>
      </c>
      <c r="E32" s="308" t="s">
        <v>1387</v>
      </c>
      <c r="F32" s="337">
        <f>'数据-取费表'!B41</f>
        <v>5.6000000000000001E-2</v>
      </c>
      <c r="G32" s="1569"/>
      <c r="H32" s="2921"/>
      <c r="I32" s="1583"/>
      <c r="J32" s="1584"/>
      <c r="K32" s="2698"/>
      <c r="L32" s="2922"/>
      <c r="M32" s="2923"/>
    </row>
    <row r="33" spans="1:18" ht="18" customHeight="1">
      <c r="A33" s="1113" t="s">
        <v>1004</v>
      </c>
      <c r="B33" s="308" t="s">
        <v>1402</v>
      </c>
      <c r="C33" s="24">
        <f ca="1">IF(项目基本情况!B11="自然人","——",IF(D33="按租金收入计税",ROUND(C6*F33/(1+'数据-取费表'!C42),2),IF(D33="按房产原值计税",ROUND(C29*F33*0.7,2),INDIRECT("'数据-取费表'!Aj"&amp;$G$1))))</f>
        <v>310.17</v>
      </c>
      <c r="D33" s="1555" t="s">
        <v>3278</v>
      </c>
      <c r="E33" s="308" t="s">
        <v>1387</v>
      </c>
      <c r="F33" s="328">
        <f>IF(D33="按票据","——",IF(D33="按租金收入计税",'数据-取费表'!B51,'数据-取费表'!B50))</f>
        <v>0.12</v>
      </c>
      <c r="G33" s="1569"/>
      <c r="H33" s="2924"/>
      <c r="I33" s="1583"/>
      <c r="J33" s="1584"/>
      <c r="K33" s="2925"/>
      <c r="L33" s="2924"/>
      <c r="M33" s="2924"/>
    </row>
    <row r="34" spans="1:18" ht="18" customHeight="1">
      <c r="A34" s="1201" t="s">
        <v>1354</v>
      </c>
      <c r="B34" s="160" t="s">
        <v>1406</v>
      </c>
      <c r="C34" s="25">
        <f ca="1">IF(项目基本情况!B11="自然人","——",ROUND(F34*F35/10000,2))</f>
        <v>3.58</v>
      </c>
      <c r="D34" s="330" t="s">
        <v>1407</v>
      </c>
      <c r="E34" s="308" t="s">
        <v>1408</v>
      </c>
      <c r="F34" s="331">
        <f>'数据-取费表'!B52</f>
        <v>6</v>
      </c>
      <c r="G34" s="1569"/>
      <c r="H34" s="2921"/>
      <c r="I34" s="1583"/>
      <c r="J34" s="1584"/>
      <c r="K34" s="2926"/>
      <c r="L34" s="2927"/>
      <c r="M34" s="2927"/>
    </row>
    <row r="35" spans="1:18" ht="18" customHeight="1">
      <c r="A35" s="1263"/>
      <c r="B35" s="1261"/>
      <c r="C35" s="29"/>
      <c r="D35" s="333"/>
      <c r="E35" s="308" t="s">
        <v>1412</v>
      </c>
      <c r="F35" s="309">
        <f ca="1">INDIRECT("'数据-取费表'!r"&amp;$G$1)</f>
        <v>5974.5</v>
      </c>
      <c r="G35" s="1569"/>
      <c r="H35" s="2921"/>
      <c r="I35" s="1583"/>
      <c r="J35" s="1584"/>
      <c r="K35" s="2925"/>
      <c r="L35" s="2924"/>
      <c r="M35" s="2924"/>
    </row>
    <row r="36" spans="1:18" ht="18" customHeight="1">
      <c r="A36" s="1262" t="s">
        <v>1007</v>
      </c>
      <c r="B36" s="308" t="s">
        <v>1414</v>
      </c>
      <c r="C36" s="24">
        <f ca="1">ROUND(C29*F36,1)</f>
        <v>501.9</v>
      </c>
      <c r="D36" s="1529" t="s">
        <v>1447</v>
      </c>
      <c r="E36" s="308" t="s">
        <v>1387</v>
      </c>
      <c r="F36" s="334">
        <f ca="1">INDIRECT("'数据-取费表'!Ak"&amp;$G$1)</f>
        <v>1.4999999999999999E-2</v>
      </c>
      <c r="G36" s="1569"/>
      <c r="H36" s="2924"/>
      <c r="I36" s="1583"/>
      <c r="J36" s="1584"/>
      <c r="K36" s="2766"/>
      <c r="L36" s="2924"/>
      <c r="M36" s="2924"/>
    </row>
    <row r="37" spans="1:18" ht="18" customHeight="1">
      <c r="A37" s="1113" t="s">
        <v>1043</v>
      </c>
      <c r="B37" s="308" t="s">
        <v>1418</v>
      </c>
      <c r="C37" s="24">
        <f ca="1">ROUND(C13*F37,1)</f>
        <v>46.7</v>
      </c>
      <c r="D37" s="1529" t="s">
        <v>1419</v>
      </c>
      <c r="E37" s="308" t="s">
        <v>1420</v>
      </c>
      <c r="F37" s="336">
        <f ca="1">INDIRECT("'数据-取费表'!Al"&amp;$G$1)</f>
        <v>1.5E-3</v>
      </c>
      <c r="G37" s="1569"/>
      <c r="H37" s="2924"/>
      <c r="I37" s="1583"/>
      <c r="J37" s="1584"/>
      <c r="K37" s="2766"/>
      <c r="L37" s="2924"/>
      <c r="M37" s="2924"/>
    </row>
    <row r="38" spans="1:18" ht="18" customHeight="1" thickBot="1">
      <c r="A38" s="1249" t="s">
        <v>1358</v>
      </c>
      <c r="B38" s="1250" t="s">
        <v>1404</v>
      </c>
      <c r="C38" s="1251">
        <f ca="1">ROUND(C5*F38,1)</f>
        <v>54.3</v>
      </c>
      <c r="D38" s="1252" t="s">
        <v>1424</v>
      </c>
      <c r="E38" s="1250" t="s">
        <v>1420</v>
      </c>
      <c r="F38" s="1246">
        <f ca="1">INDIRECT("'数据-取费表'!Am"&amp;$G$1)</f>
        <v>0.02</v>
      </c>
      <c r="G38" s="1569"/>
      <c r="H38" s="2924"/>
      <c r="I38" s="1583"/>
      <c r="J38" s="1584"/>
      <c r="K38" s="2928"/>
      <c r="L38" s="2924"/>
      <c r="M38" s="2924"/>
    </row>
    <row r="39" spans="1:18" ht="24.6" customHeight="1" thickTop="1">
      <c r="A39" s="1239" t="s">
        <v>999</v>
      </c>
      <c r="B39" s="1254" t="s">
        <v>1448</v>
      </c>
      <c r="C39" s="316">
        <f ca="1">C5-C30</f>
        <v>1655</v>
      </c>
      <c r="D39" s="1255" t="s">
        <v>1449</v>
      </c>
      <c r="E39" s="1256"/>
      <c r="F39" s="1257"/>
      <c r="G39" s="1569"/>
      <c r="H39" s="2924"/>
      <c r="I39" s="1583"/>
      <c r="J39" s="1584"/>
      <c r="K39" s="2928"/>
      <c r="L39" s="2924"/>
      <c r="M39" s="2924"/>
    </row>
    <row r="40" spans="1:18" ht="18" customHeight="1">
      <c r="A40" s="305" t="s">
        <v>1000</v>
      </c>
      <c r="B40" s="306" t="s">
        <v>1450</v>
      </c>
      <c r="C40" s="307">
        <f ca="1">ROUND(C39*(1-((1+F42)/(1+F40))^F41)/(F40-F42),0)</f>
        <v>31584</v>
      </c>
      <c r="D40" s="330" t="s">
        <v>1434</v>
      </c>
      <c r="E40" s="308" t="s">
        <v>1435</v>
      </c>
      <c r="F40" s="318">
        <f ca="1">INDIRECT("'数据-取费表'!I"&amp;$G$1)</f>
        <v>5.5E-2</v>
      </c>
      <c r="G40" s="1569"/>
      <c r="H40" s="1646"/>
      <c r="I40" s="1583"/>
      <c r="J40" s="1584"/>
      <c r="K40" s="2928"/>
      <c r="L40" s="1646"/>
      <c r="M40" s="1646"/>
    </row>
    <row r="41" spans="1:18" ht="18" customHeight="1">
      <c r="A41" s="310"/>
      <c r="B41" s="311"/>
      <c r="C41" s="312"/>
      <c r="D41" s="338" t="s">
        <v>1451</v>
      </c>
      <c r="E41" s="308" t="s">
        <v>1439</v>
      </c>
      <c r="F41" s="339">
        <f ca="1">IF(INDIRECT("'数据-取费表'!af"&amp;$G$1)=0,INDIRECT("'数据-取费表'!ae"&amp;$G$1),INDIRECT("'数据-取费表'!af"&amp;$G$1))</f>
        <v>29.46</v>
      </c>
      <c r="G41" s="1569"/>
      <c r="H41" s="1353"/>
      <c r="I41" s="1583"/>
      <c r="J41" s="1584"/>
      <c r="K41" s="2766"/>
      <c r="L41" s="1353"/>
      <c r="M41" s="1353"/>
    </row>
    <row r="42" spans="1:18" ht="18" customHeight="1">
      <c r="A42" s="314"/>
      <c r="B42" s="315"/>
      <c r="C42" s="316"/>
      <c r="D42" s="333"/>
      <c r="E42" s="308" t="s">
        <v>1442</v>
      </c>
      <c r="F42" s="318">
        <f ca="1">INDIRECT("'数据-取费表'!v"&amp;$G$1)</f>
        <v>2.5000000000000001E-2</v>
      </c>
      <c r="G42" s="1569"/>
      <c r="H42" s="1353"/>
      <c r="I42" s="1583"/>
      <c r="J42" s="1584"/>
      <c r="K42" s="2766"/>
      <c r="L42" s="1353"/>
      <c r="M42" s="1353"/>
    </row>
    <row r="43" spans="1:18" ht="18" customHeight="1" thickBot="1">
      <c r="A43" s="340" t="s">
        <v>1001</v>
      </c>
      <c r="B43" s="341" t="s">
        <v>1452</v>
      </c>
      <c r="C43" s="342">
        <f ca="1">ROUND(C40*10000/F43,0)</f>
        <v>7041</v>
      </c>
      <c r="D43" s="343" t="s">
        <v>1453</v>
      </c>
      <c r="E43" s="344" t="s">
        <v>1454</v>
      </c>
      <c r="F43" s="345">
        <f ca="1">INDIRECT("'数据-取费表'!k"&amp;$G$1)</f>
        <v>44859.7</v>
      </c>
      <c r="G43" s="1569"/>
      <c r="H43" s="1353"/>
      <c r="I43" s="1353"/>
      <c r="J43" s="1353"/>
      <c r="K43" s="2766"/>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29" t="s">
        <v>1484</v>
      </c>
      <c r="P45" s="1646"/>
      <c r="Q45" s="1646"/>
      <c r="R45" s="1646"/>
    </row>
    <row r="46" spans="1:18" s="1569" customFormat="1" ht="13.5" thickBot="1">
      <c r="A46" s="1589" t="s">
        <v>1485</v>
      </c>
      <c r="C46" s="1590">
        <f ca="1">C68-C40</f>
        <v>-80101</v>
      </c>
      <c r="D46" s="1591" t="str">
        <f>C2</f>
        <v>万元</v>
      </c>
      <c r="E46" s="1585"/>
      <c r="F46" s="1585"/>
      <c r="I46" s="1592" t="s">
        <v>1486</v>
      </c>
      <c r="J46" s="1593"/>
      <c r="K46" s="1594"/>
      <c r="L46" s="1595">
        <f ca="1">IF(M47="住宅",0,IF(L48&gt;J51,L60,J60))</f>
        <v>1237</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3279</v>
      </c>
      <c r="K47" s="1601" t="s">
        <v>1492</v>
      </c>
      <c r="L47" s="1602">
        <f ca="1">INDIRECT("'数据-取费表'!d"&amp;$G$1)</f>
        <v>40</v>
      </c>
      <c r="M47" s="1565" t="str">
        <f>IF(ISNUMBER(FIND("住宅",C1)),"住宅","非住宅")</f>
        <v>非住宅</v>
      </c>
      <c r="O47" s="1603" t="s">
        <v>1008</v>
      </c>
      <c r="P47" s="1604" t="s">
        <v>1493</v>
      </c>
      <c r="Q47" s="1605">
        <f ca="1">C40+J29</f>
        <v>31584</v>
      </c>
      <c r="R47" s="1605" t="s">
        <v>1494</v>
      </c>
    </row>
    <row r="48" spans="1:18" s="1569" customFormat="1" ht="28.5" thickBot="1">
      <c r="A48" s="1270" t="s">
        <v>1103</v>
      </c>
      <c r="B48" s="306" t="s">
        <v>1366</v>
      </c>
      <c r="C48" s="1544">
        <f ca="1">C49+C53+C55</f>
        <v>0</v>
      </c>
      <c r="D48" s="1272"/>
      <c r="E48" s="1273"/>
      <c r="F48" s="1093"/>
      <c r="G48" s="731"/>
      <c r="H48" s="732"/>
      <c r="I48" s="1606" t="s">
        <v>1495</v>
      </c>
      <c r="J48" s="1607" t="s">
        <v>3280</v>
      </c>
      <c r="K48" s="1608" t="s">
        <v>1496</v>
      </c>
      <c r="L48" s="1609">
        <f ca="1">INDIRECT("'数据-取费表'!f"&amp;$G$1)</f>
        <v>29.46</v>
      </c>
      <c r="O48" s="1603" t="s">
        <v>1009</v>
      </c>
      <c r="P48" s="1604" t="s">
        <v>1497</v>
      </c>
      <c r="Q48" s="1605">
        <f ca="1">J60</f>
        <v>1237</v>
      </c>
      <c r="R48" s="1605" t="s">
        <v>1498</v>
      </c>
    </row>
    <row r="49" spans="1:18" s="1569" customFormat="1" ht="13.5" thickBot="1">
      <c r="A49" s="1106" t="s">
        <v>1104</v>
      </c>
      <c r="B49" s="1556" t="s">
        <v>1455</v>
      </c>
      <c r="C49" s="1274">
        <f ca="1">ROUND(F49*F51*F50*(1-F52)/10000,0)</f>
        <v>0</v>
      </c>
      <c r="D49" s="1186" t="s">
        <v>2852</v>
      </c>
      <c r="E49" s="1557" t="s">
        <v>1456</v>
      </c>
      <c r="F49" s="1191"/>
      <c r="G49" s="1610"/>
      <c r="H49" s="732"/>
      <c r="I49" s="1606" t="s">
        <v>1499</v>
      </c>
      <c r="J49" s="1611">
        <v>2015</v>
      </c>
      <c r="K49" s="1608" t="s">
        <v>1500</v>
      </c>
      <c r="L49" s="1612"/>
      <c r="O49" s="1613" t="s">
        <v>1010</v>
      </c>
      <c r="P49" s="1604" t="s">
        <v>1501</v>
      </c>
      <c r="Q49" s="1605">
        <f ca="1">C29</f>
        <v>33461</v>
      </c>
      <c r="R49" s="1605" t="s">
        <v>1494</v>
      </c>
    </row>
    <row r="50" spans="1:18" s="1569" customFormat="1" ht="13.5" thickBot="1">
      <c r="A50" s="1107"/>
      <c r="B50" s="1110"/>
      <c r="C50" s="1278"/>
      <c r="D50" s="1084"/>
      <c r="E50" s="1187" t="s">
        <v>1371</v>
      </c>
      <c r="F50" s="1188">
        <f ca="1">F7</f>
        <v>44859.7</v>
      </c>
      <c r="H50" s="732"/>
      <c r="I50" s="1606" t="s">
        <v>1502</v>
      </c>
      <c r="J50" s="1614">
        <f>SUMPRODUCT((I63:I65=J47)*(J62:L62=J48)*(J63:L65))</f>
        <v>60</v>
      </c>
      <c r="K50" s="1608" t="s">
        <v>1503</v>
      </c>
      <c r="L50" s="1612"/>
      <c r="M50" s="1615"/>
      <c r="O50" s="1613" t="s">
        <v>1011</v>
      </c>
      <c r="P50" s="1604" t="s">
        <v>1504</v>
      </c>
      <c r="Q50" s="1616">
        <f ca="1">J58</f>
        <v>0.40899999999999997</v>
      </c>
      <c r="R50" s="1605"/>
    </row>
    <row r="51" spans="1:18" s="1569" customFormat="1" ht="13.5" thickBot="1">
      <c r="A51" s="1108"/>
      <c r="B51" s="1110"/>
      <c r="C51" s="1111"/>
      <c r="D51" s="1084"/>
      <c r="E51" s="1112" t="s">
        <v>1372</v>
      </c>
      <c r="F51" s="309">
        <f ca="1">F8</f>
        <v>365</v>
      </c>
      <c r="I51" s="1617" t="s">
        <v>1505</v>
      </c>
      <c r="J51" s="1618">
        <f>IF(J49="",J50,J49+J50-YEAR('数据-取费表'!B2))</f>
        <v>54</v>
      </c>
      <c r="K51" s="1619" t="s">
        <v>1506</v>
      </c>
      <c r="L51" s="1620">
        <f ca="1">ROUND(-PV(INDIRECT("'数据-取费表'!h"&amp;$G$1),J51,(C39-C13*C76),0),0)</f>
        <v>-18382</v>
      </c>
      <c r="M51" s="1621"/>
      <c r="O51" s="1613" t="s">
        <v>1012</v>
      </c>
      <c r="P51" s="1604" t="s">
        <v>1507</v>
      </c>
      <c r="Q51" s="1616">
        <f>J52</f>
        <v>8.5000000000000006E-2</v>
      </c>
      <c r="R51" s="1605"/>
    </row>
    <row r="52" spans="1:18" s="1569" customFormat="1" ht="13.5" thickBot="1">
      <c r="A52" s="1108"/>
      <c r="B52" s="1110"/>
      <c r="C52" s="1111"/>
      <c r="D52" s="1084"/>
      <c r="E52" s="1112" t="s">
        <v>1373</v>
      </c>
      <c r="F52" s="1185"/>
      <c r="I52" s="1622" t="s">
        <v>1508</v>
      </c>
      <c r="J52" s="1623">
        <v>8.5000000000000006E-2</v>
      </c>
      <c r="K52" s="1622" t="s">
        <v>1509</v>
      </c>
      <c r="L52" s="1623"/>
      <c r="O52" s="1613" t="s">
        <v>1013</v>
      </c>
      <c r="P52" s="1604" t="s">
        <v>1510</v>
      </c>
      <c r="Q52" s="1605">
        <f ca="1">J53</f>
        <v>29.46</v>
      </c>
      <c r="R52" s="1605" t="s">
        <v>1511</v>
      </c>
    </row>
    <row r="53" spans="1:18" s="1569" customFormat="1" ht="24.75" thickBot="1">
      <c r="A53" s="1314" t="s">
        <v>1105</v>
      </c>
      <c r="B53" s="1558" t="s">
        <v>1374</v>
      </c>
      <c r="C53" s="322">
        <f ca="1">ROUND(IF(F53="押一",C49/12*F11,IF(F53="押二",C49/12*2*F11,IF(F53="押三",C49/12*3*F11,C54*F11))),0)</f>
        <v>0</v>
      </c>
      <c r="D53" s="1551" t="s">
        <v>2858</v>
      </c>
      <c r="E53" s="319" t="s">
        <v>1375</v>
      </c>
      <c r="F53" s="1276"/>
      <c r="I53" s="1624" t="s">
        <v>1512</v>
      </c>
      <c r="J53" s="2386">
        <f ca="1">IF(M47="住宅",IF(D1="——",MAX(J51,L48),MAX(J51,L48-'数据-取费表'!B24)),IF(D1="——",MIN(J51,L48),MIN(J51,L48-'数据-取费表'!B24)))</f>
        <v>29.46</v>
      </c>
      <c r="K53" s="3473" t="s">
        <v>1513</v>
      </c>
      <c r="L53" s="3474"/>
      <c r="O53" s="1603" t="s">
        <v>1014</v>
      </c>
      <c r="P53" s="1604" t="s">
        <v>1514</v>
      </c>
      <c r="Q53" s="1605">
        <f ca="1">Q47+Q48</f>
        <v>32821</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f ca="1">ROUND(IF(J47="钢混",J57/J50,1-(1-2%)*(J50-J57)/J50),3)</f>
        <v>0.40899999999999997</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31119</v>
      </c>
      <c r="D56" s="1632"/>
      <c r="E56" s="1633"/>
      <c r="F56" s="1625"/>
      <c r="I56" s="1634" t="s">
        <v>1519</v>
      </c>
      <c r="J56" s="1635" t="s">
        <v>3531</v>
      </c>
      <c r="K56" s="1606" t="s">
        <v>1520</v>
      </c>
      <c r="L56" s="1609" t="str">
        <f ca="1">IF(L48&lt;J51,"——",L48-J53)</f>
        <v>——</v>
      </c>
      <c r="O56" s="1603" t="s">
        <v>1008</v>
      </c>
      <c r="P56" s="1604" t="s">
        <v>1493</v>
      </c>
      <c r="Q56" s="1605">
        <f ca="1">C40+J29</f>
        <v>31584</v>
      </c>
      <c r="R56" s="1605" t="s">
        <v>1494</v>
      </c>
    </row>
    <row r="57" spans="1:18" s="1569" customFormat="1" ht="24.75" thickBot="1">
      <c r="A57" s="1636"/>
      <c r="B57" s="1081" t="s">
        <v>1443</v>
      </c>
      <c r="C57" s="244">
        <f ca="1">C29</f>
        <v>33461</v>
      </c>
      <c r="D57" s="1637"/>
      <c r="E57" s="1638"/>
      <c r="F57" s="1639"/>
      <c r="I57" s="1640" t="s">
        <v>1521</v>
      </c>
      <c r="J57" s="1641">
        <f ca="1">IF(OR(M47="住宅",J51&lt;L48,J56="是"),"——",J51-L48)</f>
        <v>24.54</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3363</v>
      </c>
      <c r="D58" s="1091" t="s">
        <v>1390</v>
      </c>
      <c r="E58" s="1092"/>
      <c r="F58" s="1093"/>
      <c r="I58" s="1640" t="s">
        <v>1525</v>
      </c>
      <c r="J58" s="1642">
        <f ca="1">IF(J55&lt;0.4,0.4,J55)</f>
        <v>0.40899999999999997</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2814</v>
      </c>
      <c r="D59" s="1094" t="s">
        <v>1395</v>
      </c>
      <c r="E59" s="1095" t="s">
        <v>1396</v>
      </c>
      <c r="F59" s="2533" t="str">
        <f>IF(项目基本情况!B11="企业","——",IF('数据-取费表'!B10="住宅",IF(F49*F50*F51/12/(1+'数据-取费表'!F30)&gt;100000,4%,2.5%),IF(F49*F50*F51/12/(1+'数据-取费表'!F30)&gt;100000,12%,7%)))</f>
        <v>——</v>
      </c>
      <c r="I59" s="1640" t="s">
        <v>1528</v>
      </c>
      <c r="J59" s="1641">
        <f ca="1">IF(OR(M47="住宅",J51&lt;L48,J56="是"),"——",ROUND(C29*J58,0))</f>
        <v>13686</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f ca="1">IF(OR(M47="住宅",J51&lt;L48,J56="是"),"0",ROUND(J59/(1+J52)^J53,0))</f>
        <v>1237</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2810.72</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3.58</v>
      </c>
      <c r="D62" s="1096" t="s">
        <v>1462</v>
      </c>
      <c r="E62" s="1081" t="s">
        <v>1463</v>
      </c>
      <c r="F62" s="331">
        <f t="shared" si="0"/>
        <v>6</v>
      </c>
      <c r="I62" s="1647" t="s">
        <v>1535</v>
      </c>
      <c r="J62" s="1648" t="s">
        <v>1536</v>
      </c>
      <c r="K62" s="1648" t="s">
        <v>1537</v>
      </c>
      <c r="L62" s="1648" t="s">
        <v>1538</v>
      </c>
      <c r="M62" s="1649" t="s">
        <v>1539</v>
      </c>
      <c r="O62" s="1603" t="s">
        <v>1014</v>
      </c>
      <c r="P62" s="1604" t="s">
        <v>1540</v>
      </c>
      <c r="Q62" s="1605">
        <f ca="1">Q56+Q57</f>
        <v>31584</v>
      </c>
      <c r="R62" s="1605" t="s">
        <v>1015</v>
      </c>
    </row>
    <row r="63" spans="1:18" s="1569" customFormat="1" ht="13.5" thickBot="1">
      <c r="A63" s="332"/>
      <c r="B63" s="1087"/>
      <c r="C63" s="29"/>
      <c r="D63" s="1097"/>
      <c r="E63" s="1081" t="s">
        <v>1464</v>
      </c>
      <c r="F63" s="309">
        <f t="shared" ca="1" si="0"/>
        <v>5974.5</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501.9</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46.7</v>
      </c>
      <c r="D65" s="1095" t="s">
        <v>1419</v>
      </c>
      <c r="E65" s="1081" t="s">
        <v>1420</v>
      </c>
      <c r="F65" s="336">
        <f t="shared" ca="1" si="0"/>
        <v>1.5E-3</v>
      </c>
      <c r="I65" s="1647" t="s">
        <v>1544</v>
      </c>
      <c r="J65" s="1648">
        <v>40</v>
      </c>
      <c r="K65" s="1648">
        <v>30</v>
      </c>
      <c r="L65" s="1648">
        <v>50</v>
      </c>
      <c r="M65" s="1650">
        <v>0.02</v>
      </c>
      <c r="O65" s="1603" t="s">
        <v>1008</v>
      </c>
      <c r="P65" s="1604" t="s">
        <v>1545</v>
      </c>
      <c r="Q65" s="1605">
        <f ca="1">C40+J29</f>
        <v>31584</v>
      </c>
      <c r="R65" s="1605" t="s">
        <v>1494</v>
      </c>
    </row>
    <row r="66" spans="1:18" s="1569" customFormat="1" ht="16.5" thickBot="1">
      <c r="A66" s="1113" t="s">
        <v>1469</v>
      </c>
      <c r="B66" s="1081" t="s">
        <v>1404</v>
      </c>
      <c r="C66" s="24">
        <f ca="1">ROUND(C48*F66,1)</f>
        <v>0</v>
      </c>
      <c r="D66" s="1095" t="s">
        <v>1470</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-3363</v>
      </c>
      <c r="D67" s="1094" t="s">
        <v>1429</v>
      </c>
      <c r="E67" s="1099"/>
      <c r="F67" s="1100"/>
      <c r="O67" s="1613" t="s">
        <v>1010</v>
      </c>
      <c r="P67" s="1604" t="s">
        <v>1527</v>
      </c>
      <c r="Q67" s="1651">
        <f ca="1">L51</f>
        <v>-18382</v>
      </c>
      <c r="R67" s="1605" t="s">
        <v>1547</v>
      </c>
    </row>
    <row r="68" spans="1:18" s="1569" customFormat="1" ht="16.5" thickBot="1">
      <c r="A68" s="1078" t="s">
        <v>1000</v>
      </c>
      <c r="B68" s="1079" t="s">
        <v>1450</v>
      </c>
      <c r="C68" s="307">
        <f ca="1">ROUND(C67*(1-((1+F70)/(1+F68))^F69)/(F68-F70),0)</f>
        <v>-48517</v>
      </c>
      <c r="D68" s="1096" t="s">
        <v>1434</v>
      </c>
      <c r="E68" s="1081" t="s">
        <v>1435</v>
      </c>
      <c r="F68" s="318">
        <f ca="1">F40</f>
        <v>5.5E-2</v>
      </c>
      <c r="O68" s="1613" t="s">
        <v>1011</v>
      </c>
      <c r="P68" s="1652" t="s">
        <v>1548</v>
      </c>
      <c r="Q68" s="1605">
        <f ca="1">ROUND(Q69-Q70*Q71,0)</f>
        <v>-990</v>
      </c>
      <c r="R68" s="1605" t="s">
        <v>1019</v>
      </c>
    </row>
    <row r="69" spans="1:18" s="1569" customFormat="1" ht="13.5" thickBot="1">
      <c r="A69" s="1082"/>
      <c r="B69" s="1083"/>
      <c r="C69" s="312"/>
      <c r="D69" s="1101" t="s">
        <v>1438</v>
      </c>
      <c r="E69" s="1081" t="s">
        <v>1439</v>
      </c>
      <c r="F69" s="339">
        <f ca="1">F41</f>
        <v>29.46</v>
      </c>
      <c r="O69" s="1613" t="s">
        <v>1016</v>
      </c>
      <c r="P69" s="1652" t="s">
        <v>1549</v>
      </c>
      <c r="Q69" s="1605">
        <f ca="1">C39</f>
        <v>1655</v>
      </c>
      <c r="R69" s="1605" t="s">
        <v>1494</v>
      </c>
    </row>
    <row r="70" spans="1:18" s="1569" customFormat="1" ht="13.5" thickBot="1">
      <c r="A70" s="1085"/>
      <c r="B70" s="1086"/>
      <c r="C70" s="316"/>
      <c r="D70" s="1097"/>
      <c r="E70" s="1081" t="s">
        <v>1442</v>
      </c>
      <c r="F70" s="1185"/>
      <c r="O70" s="1613" t="s">
        <v>1017</v>
      </c>
      <c r="P70" s="1652" t="s">
        <v>1550</v>
      </c>
      <c r="Q70" s="1605">
        <f ca="1">C13</f>
        <v>31119</v>
      </c>
      <c r="R70" s="1605" t="s">
        <v>1494</v>
      </c>
    </row>
    <row r="71" spans="1:18" s="1569" customFormat="1" ht="13.5" thickBot="1">
      <c r="A71" s="1102" t="s">
        <v>1001</v>
      </c>
      <c r="B71" s="1103" t="s">
        <v>1452</v>
      </c>
      <c r="C71" s="342">
        <f ca="1">ROUND(C68*10000/F71,0)</f>
        <v>-10815</v>
      </c>
      <c r="D71" s="1104" t="s">
        <v>1453</v>
      </c>
      <c r="E71" s="1105" t="s">
        <v>1454</v>
      </c>
      <c r="F71" s="345">
        <f ca="1">F43</f>
        <v>44859.7</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2645</v>
      </c>
      <c r="D75" s="1569"/>
      <c r="E75" s="1569"/>
      <c r="F75" s="1569"/>
      <c r="K75" s="1587"/>
      <c r="L75" s="1569"/>
      <c r="O75" s="1603" t="s">
        <v>1014</v>
      </c>
      <c r="P75" s="1604" t="s">
        <v>1514</v>
      </c>
      <c r="Q75" s="1605">
        <f ca="1">Q65+Q66</f>
        <v>31584</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-0.59800000000000009</v>
      </c>
    </row>
    <row r="80" spans="1:18">
      <c r="B80" s="346" t="s">
        <v>1476</v>
      </c>
      <c r="C80" s="280">
        <f ca="1">ROUND(C75/C39,3)</f>
        <v>1.5980000000000001</v>
      </c>
    </row>
    <row r="81" spans="2:3">
      <c r="B81" s="276" t="s">
        <v>1477</v>
      </c>
      <c r="C81" s="244"/>
    </row>
    <row r="82" spans="2:3">
      <c r="B82" s="279" t="s">
        <v>1478</v>
      </c>
      <c r="C82" s="281">
        <f ca="1">1-C83</f>
        <v>1.5000000000000013E-2</v>
      </c>
    </row>
    <row r="83" spans="2:3">
      <c r="B83" s="279" t="s">
        <v>1479</v>
      </c>
      <c r="C83" s="280">
        <f ca="1">ROUND(C13/C40,3)</f>
        <v>0.98499999999999999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16"/>
      <c r="I1" s="2917"/>
      <c r="J1" s="2917"/>
      <c r="K1" s="2918"/>
      <c r="L1" s="2917"/>
      <c r="M1" s="291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0"/>
      <c r="H2" s="2919"/>
      <c r="I2" s="2919"/>
      <c r="J2" s="2919"/>
      <c r="K2" s="2920"/>
      <c r="L2" s="2919"/>
      <c r="M2" s="2919"/>
    </row>
    <row r="3" spans="1:37" ht="18" customHeight="1" thickBot="1">
      <c r="A3" s="1575" t="s">
        <v>1558</v>
      </c>
      <c r="B3" s="1576">
        <f ca="1">IF(ISERROR(D2/F43),0,ROUND(D2/F43,0))</f>
        <v>0</v>
      </c>
      <c r="C3" s="1572" t="s">
        <v>1559</v>
      </c>
      <c r="D3" s="1572"/>
      <c r="E3" s="1573"/>
      <c r="F3" s="1574"/>
      <c r="G3" s="2930"/>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475" t="s">
        <v>1368</v>
      </c>
      <c r="C6" s="1206">
        <f ca="1">ROUND(F6*F8*F7*(1-F9),0)</f>
        <v>0</v>
      </c>
      <c r="D6" s="160" t="s">
        <v>2848</v>
      </c>
      <c r="E6" s="308" t="s">
        <v>1370</v>
      </c>
      <c r="F6" s="309">
        <f ca="1">INDIRECT("'数据-取费表'!u"&amp;$G$1)</f>
        <v>0</v>
      </c>
      <c r="G6" s="1569"/>
      <c r="H6" s="1201" t="s">
        <v>1003</v>
      </c>
      <c r="I6" s="3475" t="s">
        <v>1368</v>
      </c>
      <c r="J6" s="307">
        <f ca="1">ROUND(M6*M8*M7*(1-M9),0)</f>
        <v>0</v>
      </c>
      <c r="K6" s="1561" t="s">
        <v>2849</v>
      </c>
      <c r="L6" s="308" t="s">
        <v>1370</v>
      </c>
      <c r="M6" s="309">
        <f ca="1">INDIRECT("'数据-取费表'!z"&amp;$G$1)</f>
        <v>0</v>
      </c>
    </row>
    <row r="7" spans="1:37" ht="18" customHeight="1">
      <c r="A7" s="1205"/>
      <c r="B7" s="3476"/>
      <c r="C7" s="1207"/>
      <c r="D7" s="313"/>
      <c r="E7" s="1208" t="s">
        <v>1371</v>
      </c>
      <c r="F7" s="309">
        <f ca="1">IF(INDIRECT("'数据-取费表'!ah"&amp;$G$1)="",INDIRECT("'数据-取费表'!k"&amp;$G$1),INDIRECT("'数据-取费表'!ah"&amp;$G$1))</f>
        <v>0</v>
      </c>
      <c r="G7" s="1569"/>
      <c r="H7" s="310"/>
      <c r="I7" s="3476"/>
      <c r="J7" s="312"/>
      <c r="K7" s="313"/>
      <c r="L7" s="308" t="s">
        <v>1371</v>
      </c>
      <c r="M7" s="309">
        <f ca="1">F7</f>
        <v>0</v>
      </c>
    </row>
    <row r="8" spans="1:37" ht="18" customHeight="1">
      <c r="A8" s="310"/>
      <c r="B8" s="3476"/>
      <c r="C8" s="312"/>
      <c r="D8" s="313"/>
      <c r="E8" s="308" t="s">
        <v>1372</v>
      </c>
      <c r="F8" s="309">
        <f ca="1">INDIRECT("'数据-取费表'!ai"&amp;$G$1)</f>
        <v>0</v>
      </c>
      <c r="G8" s="1569"/>
      <c r="H8" s="310"/>
      <c r="I8" s="3476"/>
      <c r="J8" s="312"/>
      <c r="K8" s="313"/>
      <c r="L8" s="308" t="s">
        <v>1372</v>
      </c>
      <c r="M8" s="309">
        <f ca="1">INDIRECT("'数据-取费表'!ai"&amp;$G$1)</f>
        <v>0</v>
      </c>
    </row>
    <row r="9" spans="1:37" ht="18" customHeight="1">
      <c r="A9" s="310"/>
      <c r="B9" s="3477"/>
      <c r="C9" s="312"/>
      <c r="D9" s="313"/>
      <c r="E9" s="308" t="s">
        <v>1373</v>
      </c>
      <c r="F9" s="318">
        <f ca="1">INDIRECT("'数据-取费表'!w"&amp;$G$1)</f>
        <v>0</v>
      </c>
      <c r="G9" s="1569"/>
      <c r="H9" s="310"/>
      <c r="I9" s="3477"/>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2858</v>
      </c>
      <c r="E10" s="319" t="s">
        <v>1375</v>
      </c>
      <c r="F10" s="1276"/>
      <c r="G10" s="1569"/>
      <c r="H10" s="1201" t="s">
        <v>1007</v>
      </c>
      <c r="I10" s="1550" t="s">
        <v>1374</v>
      </c>
      <c r="J10" s="307">
        <f ca="1">ROUND(IF(M10="押一",J6/12*M11,IF(M10="押二",J6/12*2*M11,IF(M10="押三",J6/12*3*M11,J11*M11))),0)</f>
        <v>0</v>
      </c>
      <c r="K10" s="1562" t="s">
        <v>2860</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0.05</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4">
        <f ca="1">ROUND(IF(AND(项目基本情况!B11="自然人",项目基本情况!B10="北京市"),J6*M17/(1+'数据-取费表'!C42),J18+J19+J20),0)</f>
        <v>0</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0.03</v>
      </c>
      <c r="G20" s="1581"/>
      <c r="H20" s="1113" t="s">
        <v>1354</v>
      </c>
      <c r="I20" s="160" t="s">
        <v>1406</v>
      </c>
      <c r="J20" s="25">
        <f ca="1">ROUND(M20*M21,0)</f>
        <v>0</v>
      </c>
      <c r="K20" s="330" t="s">
        <v>1407</v>
      </c>
      <c r="L20" s="308" t="s">
        <v>1408</v>
      </c>
      <c r="M20" s="331">
        <f>'数据-取费表'!B52</f>
        <v>6</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0.03</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1"/>
      <c r="I30" s="1583"/>
      <c r="J30" s="1584"/>
      <c r="K30" s="2698"/>
      <c r="L30" s="2922"/>
      <c r="M30" s="2923"/>
    </row>
    <row r="31" spans="1:37" ht="18" customHeight="1">
      <c r="A31" s="1113" t="s">
        <v>1003</v>
      </c>
      <c r="B31" s="308" t="s">
        <v>1394</v>
      </c>
      <c r="C31" s="2534">
        <f ca="1">ROUND(IF(AND(项目基本情况!B11="自然人",项目基本情况!B10="北京市"),C6*F31/(1+'数据-取费表'!C42),C32+C33+C34),0)</f>
        <v>0</v>
      </c>
      <c r="D31" s="1530" t="s">
        <v>1395</v>
      </c>
      <c r="E31" s="1529" t="s">
        <v>1446</v>
      </c>
      <c r="F31" s="2533" t="str">
        <f>IF(项目基本情况!B11="企业","——",IF('数据-取费表'!B10="住宅",IF(F6*F7*F8/12/(1+'数据-取费表'!F30)&gt;100000,4%,2.5%),IF(F6*F7*F8/12/(1+'数据-取费表'!F30)&gt;100000,12%,7%)))</f>
        <v>——</v>
      </c>
      <c r="G31" s="1569"/>
      <c r="H31" s="3034" t="s">
        <v>3054</v>
      </c>
      <c r="I31" s="1583"/>
      <c r="J31" s="1584"/>
      <c r="K31" s="2698"/>
      <c r="L31" s="2922"/>
      <c r="M31" s="2923"/>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1"/>
      <c r="I32" s="1583"/>
      <c r="J32" s="1584"/>
      <c r="K32" s="2698"/>
      <c r="L32" s="2922"/>
      <c r="M32" s="2923"/>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4"/>
      <c r="I33" s="1583"/>
      <c r="J33" s="1584"/>
      <c r="K33" s="2925"/>
      <c r="L33" s="2924"/>
      <c r="M33" s="2924"/>
    </row>
    <row r="34" spans="1:18" ht="18" customHeight="1">
      <c r="A34" s="1201" t="s">
        <v>1354</v>
      </c>
      <c r="B34" s="160" t="s">
        <v>1406</v>
      </c>
      <c r="C34" s="25">
        <f ca="1">IF(项目基本情况!B11="自然人","——",ROUND(F34*F35,))</f>
        <v>0</v>
      </c>
      <c r="D34" s="330" t="s">
        <v>1407</v>
      </c>
      <c r="E34" s="308" t="s">
        <v>1408</v>
      </c>
      <c r="F34" s="331">
        <f>'数据-取费表'!B52</f>
        <v>6</v>
      </c>
      <c r="G34" s="1569"/>
      <c r="H34" s="2921"/>
      <c r="I34" s="1583"/>
      <c r="J34" s="1584"/>
      <c r="K34" s="2926"/>
      <c r="L34" s="2927"/>
      <c r="M34" s="2927"/>
    </row>
    <row r="35" spans="1:18" ht="18" customHeight="1">
      <c r="A35" s="1263"/>
      <c r="B35" s="1261"/>
      <c r="C35" s="29"/>
      <c r="D35" s="333"/>
      <c r="E35" s="308" t="s">
        <v>1412</v>
      </c>
      <c r="F35" s="309">
        <f ca="1">INDIRECT("'数据-取费表'!r"&amp;$G$1)</f>
        <v>0</v>
      </c>
      <c r="G35" s="1569"/>
      <c r="H35" s="2921"/>
      <c r="I35" s="1583"/>
      <c r="J35" s="1584"/>
      <c r="K35" s="2925"/>
      <c r="L35" s="2924"/>
      <c r="M35" s="2924"/>
    </row>
    <row r="36" spans="1:18" ht="18" customHeight="1">
      <c r="A36" s="1262" t="s">
        <v>1007</v>
      </c>
      <c r="B36" s="308" t="s">
        <v>1414</v>
      </c>
      <c r="C36" s="24">
        <f ca="1">ROUND(C29*F36,0)</f>
        <v>0</v>
      </c>
      <c r="D36" s="1529" t="s">
        <v>1447</v>
      </c>
      <c r="E36" s="308" t="s">
        <v>1387</v>
      </c>
      <c r="F36" s="334">
        <f ca="1">INDIRECT("'数据-取费表'!Ak"&amp;$G$1)</f>
        <v>0</v>
      </c>
      <c r="G36" s="1569"/>
      <c r="H36" s="2924"/>
      <c r="I36" s="1583"/>
      <c r="J36" s="1584"/>
      <c r="K36" s="2766"/>
      <c r="L36" s="2924"/>
      <c r="M36" s="2924"/>
    </row>
    <row r="37" spans="1:18" ht="18" customHeight="1">
      <c r="A37" s="1113" t="s">
        <v>1043</v>
      </c>
      <c r="B37" s="308" t="s">
        <v>1418</v>
      </c>
      <c r="C37" s="24">
        <f ca="1">ROUND(C13*F37,0)</f>
        <v>0</v>
      </c>
      <c r="D37" s="1529" t="s">
        <v>1419</v>
      </c>
      <c r="E37" s="308" t="s">
        <v>1420</v>
      </c>
      <c r="F37" s="336">
        <f ca="1">INDIRECT("'数据-取费表'!Al"&amp;$G$1)</f>
        <v>0</v>
      </c>
      <c r="G37" s="1569"/>
      <c r="H37" s="2924"/>
      <c r="I37" s="1583"/>
      <c r="J37" s="1584"/>
      <c r="K37" s="2766"/>
      <c r="L37" s="2924"/>
      <c r="M37" s="2924"/>
    </row>
    <row r="38" spans="1:18" ht="18" customHeight="1" thickBot="1">
      <c r="A38" s="1249" t="s">
        <v>1358</v>
      </c>
      <c r="B38" s="1250" t="s">
        <v>1404</v>
      </c>
      <c r="C38" s="1251">
        <f ca="1">ROUND(C5*F38,1)</f>
        <v>0</v>
      </c>
      <c r="D38" s="1252" t="s">
        <v>1424</v>
      </c>
      <c r="E38" s="1250" t="s">
        <v>1420</v>
      </c>
      <c r="F38" s="1246">
        <f ca="1">INDIRECT("'数据-取费表'!Am"&amp;$G$1)</f>
        <v>0</v>
      </c>
      <c r="G38" s="1569"/>
      <c r="H38" s="2924"/>
      <c r="I38" s="1583"/>
      <c r="J38" s="1584"/>
      <c r="K38" s="2928"/>
      <c r="L38" s="2924"/>
      <c r="M38" s="2924"/>
    </row>
    <row r="39" spans="1:18" ht="24.6" customHeight="1" thickTop="1">
      <c r="A39" s="1239" t="s">
        <v>999</v>
      </c>
      <c r="B39" s="1254" t="s">
        <v>1448</v>
      </c>
      <c r="C39" s="316">
        <f ca="1">C5-C30</f>
        <v>0</v>
      </c>
      <c r="D39" s="1255" t="s">
        <v>1449</v>
      </c>
      <c r="E39" s="1256"/>
      <c r="F39" s="1257"/>
      <c r="G39" s="1569"/>
      <c r="H39" s="2924"/>
      <c r="I39" s="1583"/>
      <c r="J39" s="1584"/>
      <c r="K39" s="2928"/>
      <c r="L39" s="2924"/>
      <c r="M39" s="2924"/>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28"/>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66"/>
      <c r="L41" s="1353"/>
      <c r="M41" s="1353"/>
    </row>
    <row r="42" spans="1:18" ht="18" customHeight="1">
      <c r="A42" s="314"/>
      <c r="B42" s="315"/>
      <c r="C42" s="316"/>
      <c r="D42" s="333"/>
      <c r="E42" s="308" t="s">
        <v>1442</v>
      </c>
      <c r="F42" s="318">
        <f ca="1">INDIRECT("'数据-取费表'!v"&amp;$G$1)</f>
        <v>0</v>
      </c>
      <c r="G42" s="1569"/>
      <c r="H42" s="1353"/>
      <c r="I42" s="1583"/>
      <c r="J42" s="1584"/>
      <c r="K42" s="2766"/>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66"/>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2861</v>
      </c>
      <c r="E53" s="319" t="s">
        <v>1375</v>
      </c>
      <c r="F53" s="1276"/>
      <c r="I53" s="1624" t="s">
        <v>1512</v>
      </c>
      <c r="J53" s="2386">
        <f ca="1">IF(M47="住宅",IF(D1="——",MAX(J51,L48),MAX(J51,L48-'数据-取费表'!B24)),IF(D1="——",MIN(J51,L48),MIN(J51,L48-'数据-取费表'!B24)))</f>
        <v>0</v>
      </c>
      <c r="K53" s="3473" t="s">
        <v>1513</v>
      </c>
      <c r="L53" s="3474"/>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6</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3" t="s">
        <v>2347</v>
      </c>
      <c r="B1" s="2054"/>
      <c r="C1" s="2054"/>
      <c r="D1" s="2054"/>
      <c r="E1" s="2055"/>
      <c r="F1" s="2931"/>
      <c r="G1" s="1675"/>
      <c r="H1" s="1675"/>
      <c r="I1" s="1675"/>
      <c r="J1" s="1675"/>
      <c r="K1" s="1675"/>
      <c r="L1" s="1675"/>
      <c r="M1" s="1675"/>
      <c r="N1" s="1675"/>
      <c r="O1" s="1675"/>
      <c r="P1" s="1675"/>
      <c r="Q1" s="1675"/>
      <c r="R1" s="1675"/>
      <c r="S1" s="1675"/>
    </row>
    <row r="2" spans="1:22" ht="15.75">
      <c r="A2" s="2056" t="s">
        <v>2148</v>
      </c>
      <c r="B2" s="2057">
        <f ca="1">SUMIF(B6:B13,"&lt;&gt;#ref!",B6:B13)</f>
        <v>32821</v>
      </c>
      <c r="C2" s="2058" t="s">
        <v>2340</v>
      </c>
      <c r="D2" s="2059" t="s">
        <v>2341</v>
      </c>
      <c r="E2" s="2829">
        <f>SUM(E6:E13)</f>
        <v>44859.7</v>
      </c>
      <c r="F2" s="2931"/>
      <c r="G2" s="1675"/>
      <c r="H2" s="1675"/>
      <c r="I2" s="1675"/>
      <c r="J2" s="1675"/>
      <c r="K2" s="1675"/>
      <c r="L2" s="1675"/>
      <c r="M2" s="1675"/>
      <c r="N2" s="1675"/>
      <c r="O2" s="1675"/>
      <c r="P2" s="1675"/>
      <c r="Q2" s="1675"/>
      <c r="R2" s="1675"/>
      <c r="S2" s="1675"/>
    </row>
    <row r="3" spans="1:22" ht="15.75">
      <c r="A3" s="2056" t="s">
        <v>1360</v>
      </c>
      <c r="B3" s="2823">
        <f ca="1">ROUND(B2*10000/E2,0)</f>
        <v>7316</v>
      </c>
      <c r="C3" s="2058" t="s">
        <v>2348</v>
      </c>
      <c r="D3" s="2933"/>
      <c r="E3" s="2935"/>
      <c r="F3" s="2931"/>
      <c r="G3" s="1675"/>
      <c r="H3" s="1675"/>
      <c r="I3" s="1675"/>
      <c r="J3" s="1675"/>
      <c r="K3" s="1675"/>
      <c r="L3" s="1675"/>
      <c r="M3" s="1675"/>
      <c r="N3" s="1675"/>
      <c r="O3" s="1675"/>
      <c r="P3" s="1675"/>
      <c r="Q3" s="1675"/>
      <c r="R3" s="1675"/>
      <c r="S3" s="1675"/>
    </row>
    <row r="4" spans="1:22" ht="15.75">
      <c r="A4" s="2936"/>
      <c r="B4" s="2933"/>
      <c r="C4" s="2933"/>
      <c r="D4" s="2933"/>
      <c r="E4" s="2935"/>
      <c r="F4" s="2931"/>
      <c r="G4" s="1675"/>
      <c r="H4" s="1675"/>
      <c r="I4" s="1675"/>
      <c r="J4" s="1675"/>
      <c r="K4" s="1675"/>
      <c r="L4" s="1675"/>
      <c r="M4" s="1675"/>
      <c r="N4" s="1675"/>
      <c r="O4" s="1675"/>
      <c r="P4" s="1675"/>
      <c r="Q4" s="1675"/>
      <c r="R4" s="1675"/>
      <c r="S4" s="1675"/>
    </row>
    <row r="5" spans="1:22" ht="15">
      <c r="A5" s="2825" t="s">
        <v>2342</v>
      </c>
      <c r="B5" s="3478" t="s">
        <v>2343</v>
      </c>
      <c r="C5" s="3479"/>
      <c r="D5" s="2932"/>
      <c r="E5" s="2060" t="s">
        <v>2344</v>
      </c>
      <c r="F5" s="2061" t="s">
        <v>2345</v>
      </c>
      <c r="G5" s="1675"/>
      <c r="H5" s="1675"/>
      <c r="I5" s="1675"/>
      <c r="J5" s="1675"/>
      <c r="K5" s="1675"/>
      <c r="L5" s="1675"/>
      <c r="M5" s="1675"/>
      <c r="N5" s="1675"/>
      <c r="O5" s="1675"/>
      <c r="P5" s="1675"/>
      <c r="Q5" s="1675"/>
      <c r="R5" s="1675"/>
      <c r="S5" s="1675"/>
    </row>
    <row r="6" spans="1:22">
      <c r="A6" s="2826" t="str">
        <f>'数据-取费表'!AN6</f>
        <v>收益法</v>
      </c>
      <c r="B6" s="2824">
        <f ca="1">IF(F6="是",'数据-取费表'!AO6,0)</f>
        <v>32821</v>
      </c>
      <c r="C6" s="2058" t="s">
        <v>2340</v>
      </c>
      <c r="D6" s="2933"/>
      <c r="E6" s="2828">
        <f>IF(OR(A6=0,F6="否"),0,'数据-取费表'!K6+'数据-取费表'!S6)</f>
        <v>44859.7</v>
      </c>
      <c r="F6" s="2062" t="s">
        <v>2346</v>
      </c>
      <c r="G6" s="1675"/>
      <c r="H6" s="1675"/>
      <c r="I6" s="1675"/>
      <c r="J6" s="1675"/>
      <c r="K6" s="1675"/>
      <c r="L6" s="1675"/>
      <c r="M6" s="1675"/>
      <c r="N6" s="1675"/>
      <c r="O6" s="1675"/>
      <c r="P6" s="1675"/>
      <c r="Q6" s="1675"/>
      <c r="R6" s="1675"/>
      <c r="S6" s="1675"/>
    </row>
    <row r="7" spans="1:22">
      <c r="A7" s="2826">
        <f>'数据-取费表'!AN7</f>
        <v>0</v>
      </c>
      <c r="B7" s="2824" t="e">
        <f ca="1">IF(F7="是",'数据-取费表'!AO7,0)</f>
        <v>#REF!</v>
      </c>
      <c r="C7" s="2058" t="s">
        <v>2340</v>
      </c>
      <c r="D7" s="2933"/>
      <c r="E7" s="2828">
        <f>IF(OR(A7=0,F7="否"),0,'数据-取费表'!K7+'数据-取费表'!S7)</f>
        <v>0</v>
      </c>
      <c r="F7" s="2062" t="s">
        <v>2346</v>
      </c>
      <c r="G7" s="1675"/>
      <c r="H7" s="1675"/>
      <c r="I7" s="1675"/>
      <c r="J7" s="1675"/>
      <c r="K7" s="1675"/>
      <c r="L7" s="1675"/>
      <c r="M7" s="1675"/>
      <c r="N7" s="1675"/>
      <c r="O7" s="1675"/>
      <c r="P7" s="1675"/>
      <c r="Q7" s="1675"/>
      <c r="R7" s="1675"/>
      <c r="S7" s="1675"/>
    </row>
    <row r="8" spans="1:22">
      <c r="A8" s="2826">
        <f>'数据-取费表'!AN8</f>
        <v>0</v>
      </c>
      <c r="B8" s="2824" t="e">
        <f ca="1">IF(F8="是",'数据-取费表'!AO8,0)</f>
        <v>#REF!</v>
      </c>
      <c r="C8" s="2058" t="s">
        <v>2340</v>
      </c>
      <c r="D8" s="2933"/>
      <c r="E8" s="2828">
        <f>IF(OR(A8=0,F8="否"),0,'数据-取费表'!K8+'数据-取费表'!S8)</f>
        <v>0</v>
      </c>
      <c r="F8" s="2062" t="s">
        <v>2346</v>
      </c>
      <c r="G8" s="1675"/>
      <c r="H8" s="1675"/>
      <c r="I8" s="1675"/>
      <c r="J8" s="1675"/>
      <c r="K8" s="1675"/>
      <c r="L8" s="1675"/>
      <c r="M8" s="1675"/>
      <c r="N8" s="1675"/>
      <c r="O8" s="1675"/>
      <c r="P8" s="1675"/>
      <c r="Q8" s="1675"/>
      <c r="R8" s="1675"/>
      <c r="S8" s="1675"/>
    </row>
    <row r="9" spans="1:22">
      <c r="A9" s="2826">
        <f>'数据-取费表'!AN9</f>
        <v>0</v>
      </c>
      <c r="B9" s="2824" t="e">
        <f ca="1">IF(F9="是",'数据-取费表'!AO9,0)</f>
        <v>#REF!</v>
      </c>
      <c r="C9" s="2058" t="s">
        <v>2340</v>
      </c>
      <c r="D9" s="2933"/>
      <c r="E9" s="2828">
        <f>IF(OR(A9=0,F9="否"),0,'数据-取费表'!K9+'数据-取费表'!S9)</f>
        <v>0</v>
      </c>
      <c r="F9" s="2062" t="s">
        <v>2346</v>
      </c>
      <c r="G9" s="1675"/>
      <c r="H9" s="1675"/>
      <c r="I9" s="1675"/>
      <c r="J9" s="1675"/>
      <c r="K9" s="1675"/>
      <c r="L9" s="1675"/>
      <c r="M9" s="1675"/>
      <c r="N9" s="1675"/>
      <c r="O9" s="1675"/>
      <c r="P9" s="1675"/>
      <c r="Q9" s="1675"/>
      <c r="R9" s="1675"/>
      <c r="S9" s="1675"/>
    </row>
    <row r="10" spans="1:22">
      <c r="A10" s="2826">
        <f>'数据-取费表'!AN10</f>
        <v>0</v>
      </c>
      <c r="B10" s="2824" t="e">
        <f ca="1">IF(F10="是",'数据-取费表'!AO10,0)</f>
        <v>#REF!</v>
      </c>
      <c r="C10" s="2058" t="s">
        <v>2340</v>
      </c>
      <c r="D10" s="2933"/>
      <c r="E10" s="2828">
        <f>IF(OR(A10=0,F10="否"),0,'数据-取费表'!K10+'数据-取费表'!S10)</f>
        <v>0</v>
      </c>
      <c r="F10" s="2062" t="s">
        <v>2346</v>
      </c>
      <c r="G10" s="1675"/>
      <c r="H10" s="1675"/>
      <c r="I10" s="1675"/>
      <c r="J10" s="1675"/>
      <c r="K10" s="1675"/>
      <c r="L10" s="1675"/>
      <c r="M10" s="1675"/>
      <c r="N10" s="1675"/>
      <c r="O10" s="1675"/>
      <c r="P10" s="1675"/>
      <c r="Q10" s="1675"/>
      <c r="R10" s="1675"/>
      <c r="S10" s="1675"/>
    </row>
    <row r="11" spans="1:22">
      <c r="A11" s="2826">
        <f>'数据-取费表'!AN11</f>
        <v>0</v>
      </c>
      <c r="B11" s="2824" t="e">
        <f ca="1">IF(F11="是",'数据-取费表'!AO11,0)</f>
        <v>#REF!</v>
      </c>
      <c r="C11" s="2058" t="s">
        <v>2340</v>
      </c>
      <c r="D11" s="2933"/>
      <c r="E11" s="2828">
        <f>IF(OR(A11=0,F11="否"),0,'数据-取费表'!K11+'数据-取费表'!S11)</f>
        <v>0</v>
      </c>
      <c r="F11" s="2062" t="s">
        <v>2346</v>
      </c>
      <c r="G11" s="1675"/>
      <c r="H11" s="1675"/>
      <c r="I11" s="1675"/>
      <c r="J11" s="1675"/>
      <c r="K11" s="1675"/>
      <c r="L11" s="1675"/>
      <c r="M11" s="1675"/>
      <c r="N11" s="1675"/>
      <c r="O11" s="1675"/>
      <c r="P11" s="1675"/>
      <c r="Q11" s="1675"/>
      <c r="R11" s="1675"/>
      <c r="S11" s="1675"/>
    </row>
    <row r="12" spans="1:22">
      <c r="A12" s="2826">
        <f>'数据-取费表'!AN12</f>
        <v>0</v>
      </c>
      <c r="B12" s="2824" t="e">
        <f ca="1">IF(F12="是",'数据-取费表'!AO12,0)</f>
        <v>#REF!</v>
      </c>
      <c r="C12" s="2058" t="s">
        <v>2340</v>
      </c>
      <c r="D12" s="2933"/>
      <c r="E12" s="2828">
        <f>IF(OR(A12=0,F12="否"),0,'数据-取费表'!K12+'数据-取费表'!S12)</f>
        <v>0</v>
      </c>
      <c r="F12" s="2062" t="s">
        <v>2346</v>
      </c>
      <c r="G12" s="1675"/>
      <c r="H12" s="1675"/>
      <c r="I12" s="1675"/>
      <c r="J12" s="1675"/>
      <c r="K12" s="1675"/>
      <c r="L12" s="1675"/>
      <c r="M12" s="1675"/>
      <c r="N12" s="1675"/>
      <c r="O12" s="1675"/>
      <c r="P12" s="1675"/>
      <c r="Q12" s="1675"/>
      <c r="R12" s="1675"/>
      <c r="S12" s="1675"/>
    </row>
    <row r="13" spans="1:22" ht="15" thickBot="1">
      <c r="A13" s="2827">
        <f>'数据-取费表'!AN13</f>
        <v>0</v>
      </c>
      <c r="B13" s="2824" t="e">
        <f ca="1">IF(F13="是",'数据-取费表'!AO13,0)</f>
        <v>#REF!</v>
      </c>
      <c r="C13" s="2063" t="s">
        <v>2340</v>
      </c>
      <c r="D13" s="2934"/>
      <c r="E13" s="2828">
        <f>IF(OR(A13=0,F13="否"),0,'数据-取费表'!K13+'数据-取费表'!S13)</f>
        <v>0</v>
      </c>
      <c r="F13" s="2062"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0" zoomScaleNormal="70" zoomScaleSheetLayoutView="80" workbookViewId="0">
      <selection activeCell="I27" sqref="I2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3069</v>
      </c>
      <c r="D1" s="1547" t="s">
        <v>70</v>
      </c>
      <c r="E1" s="1548" t="s">
        <v>1352</v>
      </c>
      <c r="F1" s="1193">
        <f ca="1">J53</f>
        <v>29.46</v>
      </c>
      <c r="G1" s="1563">
        <f>MATCH(C1,'数据-取费表'!A6:A16,0)+5</f>
        <v>6</v>
      </c>
      <c r="H1" s="2916"/>
      <c r="I1" s="2917"/>
      <c r="J1" s="2917"/>
      <c r="K1" s="2918"/>
      <c r="L1" s="2917"/>
      <c r="M1" s="291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31584</v>
      </c>
      <c r="C2" s="1572" t="s">
        <v>1481</v>
      </c>
      <c r="D2" s="1572"/>
      <c r="E2" s="1573"/>
      <c r="F2" s="1574"/>
      <c r="G2" s="2930"/>
      <c r="H2" s="2919"/>
      <c r="I2" s="2919"/>
      <c r="J2" s="2919"/>
      <c r="K2" s="2920"/>
      <c r="L2" s="2919"/>
      <c r="M2" s="2919"/>
    </row>
    <row r="3" spans="1:37" ht="18" customHeight="1" thickBot="1">
      <c r="A3" s="1575" t="s">
        <v>1482</v>
      </c>
      <c r="B3" s="1576">
        <f ca="1">IF(ISERROR(B2*10000/F43),0,ROUND(B2*10000/F43,0))</f>
        <v>7041</v>
      </c>
      <c r="C3" s="1572" t="s">
        <v>1483</v>
      </c>
      <c r="D3" s="1572"/>
      <c r="E3" s="1573"/>
      <c r="F3" s="1574"/>
      <c r="G3" s="2930"/>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2717</v>
      </c>
      <c r="D5" s="1549" t="s">
        <v>1367</v>
      </c>
      <c r="E5" s="1203"/>
      <c r="F5" s="1204"/>
      <c r="G5" s="1569"/>
      <c r="H5" s="305">
        <v>1</v>
      </c>
      <c r="I5" s="306" t="s">
        <v>1366</v>
      </c>
      <c r="J5" s="1202">
        <f ca="1">J6+J10+J12</f>
        <v>0</v>
      </c>
      <c r="K5" s="1549" t="s">
        <v>1367</v>
      </c>
      <c r="L5" s="1203"/>
      <c r="M5" s="1204"/>
    </row>
    <row r="6" spans="1:37" ht="18" customHeight="1">
      <c r="A6" s="1201" t="s">
        <v>1003</v>
      </c>
      <c r="B6" s="3475" t="s">
        <v>1368</v>
      </c>
      <c r="C6" s="1206">
        <f ca="1">ROUND(F6*F8*F7*(1-F9)/10000,0)</f>
        <v>2714</v>
      </c>
      <c r="D6" s="160" t="s">
        <v>2851</v>
      </c>
      <c r="E6" s="308" t="s">
        <v>1370</v>
      </c>
      <c r="F6" s="309">
        <f ca="1">INDIRECT("'数据-取费表'!u"&amp;$G$1)</f>
        <v>1.95</v>
      </c>
      <c r="G6" s="1569"/>
      <c r="H6" s="1201" t="s">
        <v>1003</v>
      </c>
      <c r="I6" s="3475" t="s">
        <v>1368</v>
      </c>
      <c r="J6" s="307">
        <f ca="1">ROUND(M6*M8*M7*(1-M9)/10000,0)</f>
        <v>0</v>
      </c>
      <c r="K6" s="160" t="s">
        <v>2850</v>
      </c>
      <c r="L6" s="308" t="s">
        <v>1370</v>
      </c>
      <c r="M6" s="309">
        <f ca="1">INDIRECT("'数据-取费表'!z"&amp;$G$1)</f>
        <v>0</v>
      </c>
    </row>
    <row r="7" spans="1:37" ht="18" customHeight="1">
      <c r="A7" s="1205"/>
      <c r="B7" s="3476"/>
      <c r="C7" s="1207"/>
      <c r="D7" s="313"/>
      <c r="E7" s="3186" t="s">
        <v>1371</v>
      </c>
      <c r="F7" s="309">
        <f ca="1">IF(INDIRECT("'数据-取费表'!ah"&amp;$G$1)="",INDIRECT("'数据-取费表'!k"&amp;$G$1),INDIRECT("'数据-取费表'!ah"&amp;$G$1))</f>
        <v>44859.7</v>
      </c>
      <c r="G7" s="1569"/>
      <c r="H7" s="310"/>
      <c r="I7" s="3476"/>
      <c r="J7" s="312"/>
      <c r="K7" s="313"/>
      <c r="L7" s="308" t="s">
        <v>1371</v>
      </c>
      <c r="M7" s="309">
        <f ca="1">F7</f>
        <v>44859.7</v>
      </c>
    </row>
    <row r="8" spans="1:37" ht="18" customHeight="1">
      <c r="A8" s="310"/>
      <c r="B8" s="3476"/>
      <c r="C8" s="312"/>
      <c r="D8" s="313"/>
      <c r="E8" s="308" t="s">
        <v>1372</v>
      </c>
      <c r="F8" s="309">
        <f ca="1">INDIRECT("'数据-取费表'!ai"&amp;$G$1)</f>
        <v>365</v>
      </c>
      <c r="G8" s="1569"/>
      <c r="H8" s="310"/>
      <c r="I8" s="3476"/>
      <c r="J8" s="312"/>
      <c r="K8" s="313"/>
      <c r="L8" s="308" t="s">
        <v>1372</v>
      </c>
      <c r="M8" s="309">
        <f ca="1">INDIRECT("'数据-取费表'!ai"&amp;$G$1)</f>
        <v>365</v>
      </c>
    </row>
    <row r="9" spans="1:37" ht="18" customHeight="1">
      <c r="A9" s="310"/>
      <c r="B9" s="3477"/>
      <c r="C9" s="312"/>
      <c r="D9" s="313"/>
      <c r="E9" s="308" t="s">
        <v>1373</v>
      </c>
      <c r="F9" s="318">
        <f ca="1">INDIRECT("'数据-取费表'!w"&amp;$G$1)</f>
        <v>0.15</v>
      </c>
      <c r="G9" s="1569"/>
      <c r="H9" s="310"/>
      <c r="I9" s="3477"/>
      <c r="J9" s="312"/>
      <c r="K9" s="313"/>
      <c r="L9" s="319" t="s">
        <v>1373</v>
      </c>
      <c r="M9" s="320">
        <f ca="1">INDIRECT("'数据-取费表'!ab"&amp;$G$1)</f>
        <v>0</v>
      </c>
    </row>
    <row r="10" spans="1:37" ht="18" customHeight="1">
      <c r="A10" s="1201" t="s">
        <v>1007</v>
      </c>
      <c r="B10" s="1550" t="s">
        <v>1374</v>
      </c>
      <c r="C10" s="322">
        <f ca="1">ROUND(IF(F10="押一",C6/12*F11,IF(F10="押二",C6/12*2*F11,IF(F10="押三",C6/12*3*F11,C11*F11))),0)</f>
        <v>3</v>
      </c>
      <c r="D10" s="1551" t="s">
        <v>2858</v>
      </c>
      <c r="E10" s="319" t="s">
        <v>1375</v>
      </c>
      <c r="F10" s="1276" t="s">
        <v>3455</v>
      </c>
      <c r="G10" s="1569"/>
      <c r="H10" s="1201" t="s">
        <v>1007</v>
      </c>
      <c r="I10" s="1550" t="s">
        <v>1374</v>
      </c>
      <c r="J10" s="307">
        <f ca="1">ROUND(IF(M10="押一",J6/12*M11,IF(M10="押二",J6/12*2*M11,IF(M10="押三",J6/12*3*M11,J11*M11))),0)</f>
        <v>0</v>
      </c>
      <c r="K10" s="1551" t="s">
        <v>2858</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31119</v>
      </c>
      <c r="D13" s="3178" t="s">
        <v>1380</v>
      </c>
      <c r="E13" s="3178" t="s">
        <v>1381</v>
      </c>
      <c r="F13" s="1242">
        <f ca="1">INDIRECT("'数据-取费表'!y"&amp;$G$1)</f>
        <v>0.93</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20187</v>
      </c>
      <c r="D14" s="3182" t="s">
        <v>1383</v>
      </c>
      <c r="E14" s="3180"/>
      <c r="F14" s="325"/>
      <c r="G14" s="1569"/>
      <c r="H14" s="1113" t="s">
        <v>1003</v>
      </c>
      <c r="I14" s="308" t="s">
        <v>1384</v>
      </c>
      <c r="J14" s="24">
        <f ca="1">C29</f>
        <v>33461</v>
      </c>
      <c r="K14" s="3185"/>
      <c r="L14" s="916"/>
      <c r="M14" s="917"/>
    </row>
    <row r="15" spans="1:37" s="1582" customFormat="1" ht="18" customHeight="1" thickBot="1">
      <c r="A15" s="1113" t="s">
        <v>1004</v>
      </c>
      <c r="B15" s="308" t="s">
        <v>1385</v>
      </c>
      <c r="C15" s="24">
        <f ca="1">ROUND(C14*F15,0)</f>
        <v>1009</v>
      </c>
      <c r="D15" s="3179" t="s">
        <v>1386</v>
      </c>
      <c r="E15" s="3179" t="s">
        <v>1387</v>
      </c>
      <c r="F15" s="327">
        <f>'数据-取费表'!B33</f>
        <v>0.05</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787</v>
      </c>
      <c r="K16" s="1247" t="s">
        <v>1390</v>
      </c>
      <c r="L16" s="3183"/>
      <c r="M16" s="1204"/>
    </row>
    <row r="17" spans="1:37" s="1582" customFormat="1" ht="18" customHeight="1">
      <c r="A17" s="1113" t="s">
        <v>1355</v>
      </c>
      <c r="B17" s="308" t="s">
        <v>1391</v>
      </c>
      <c r="C17" s="24">
        <f ca="1">ROUND(F17*(F43+INDIRECT("'数据-取费表'!S"&amp;$G$1))/10000,0)</f>
        <v>897</v>
      </c>
      <c r="D17" s="308" t="s">
        <v>1392</v>
      </c>
      <c r="E17" s="308" t="s">
        <v>1393</v>
      </c>
      <c r="F17" s="26">
        <f>'数据-取费表'!B35</f>
        <v>200</v>
      </c>
      <c r="G17" s="1581"/>
      <c r="H17" s="1113" t="s">
        <v>1003</v>
      </c>
      <c r="I17" s="308" t="s">
        <v>1394</v>
      </c>
      <c r="J17" s="2534">
        <f ca="1">ROUND(IF(AND(项目基本情况!B11="自然人",项目基本情况!B10="北京市"),J6*M17/(1+'数据-取费表'!C42),J18+J19+J20),0)</f>
        <v>285</v>
      </c>
      <c r="K17" s="3182" t="s">
        <v>1395</v>
      </c>
      <c r="L17" s="3181"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303</v>
      </c>
      <c r="D18" s="308" t="s">
        <v>1386</v>
      </c>
      <c r="E18" s="308" t="s">
        <v>1387</v>
      </c>
      <c r="F18" s="328">
        <f>'数据-取费表'!B36</f>
        <v>1.4999999999999999E-2</v>
      </c>
      <c r="G18" s="1581"/>
      <c r="H18" s="1113" t="s">
        <v>1002</v>
      </c>
      <c r="I18" s="308" t="s">
        <v>1398</v>
      </c>
      <c r="J18" s="24">
        <f ca="1">ROUND(J6*M18/(1+'数据-取费表'!C42),2)</f>
        <v>0</v>
      </c>
      <c r="K18" s="3181"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22396</v>
      </c>
      <c r="D19" s="136" t="s">
        <v>1401</v>
      </c>
      <c r="E19" s="3188"/>
      <c r="F19" s="26"/>
      <c r="G19" s="1569"/>
      <c r="H19" s="1113" t="s">
        <v>1004</v>
      </c>
      <c r="I19" s="308" t="s">
        <v>1402</v>
      </c>
      <c r="J19" s="24">
        <f ca="1">IF(K19="按租金收入计税",ROUND(J6*M19/(1+'数据-取费表'!C42),2),ROUND(C29*M19*0.7,2))</f>
        <v>281.07</v>
      </c>
      <c r="K19" s="1555" t="s">
        <v>1403</v>
      </c>
      <c r="L19" s="308" t="s">
        <v>1387</v>
      </c>
      <c r="M19" s="328">
        <f>IF(K19="按租金收入计税",'数据-取费表'!B51,'数据-取费表'!B50)</f>
        <v>1.2E-2</v>
      </c>
    </row>
    <row r="20" spans="1:37" s="1582" customFormat="1" ht="18" customHeight="1">
      <c r="A20" s="1113" t="s">
        <v>1007</v>
      </c>
      <c r="B20" s="308" t="s">
        <v>1404</v>
      </c>
      <c r="C20" s="24">
        <f ca="1">ROUND(C19*F20,0)</f>
        <v>672</v>
      </c>
      <c r="D20" s="329" t="s">
        <v>1405</v>
      </c>
      <c r="E20" s="308" t="s">
        <v>1387</v>
      </c>
      <c r="F20" s="328">
        <f>'数据-取费表'!B37</f>
        <v>0.03</v>
      </c>
      <c r="G20" s="1581"/>
      <c r="H20" s="1113" t="s">
        <v>1354</v>
      </c>
      <c r="I20" s="160" t="s">
        <v>1406</v>
      </c>
      <c r="J20" s="25">
        <f ca="1">ROUND(M20*M21/10000,2)</f>
        <v>3.58</v>
      </c>
      <c r="K20" s="330" t="s">
        <v>1407</v>
      </c>
      <c r="L20" s="308" t="s">
        <v>1408</v>
      </c>
      <c r="M20" s="331">
        <f>'数据-取费表'!B52</f>
        <v>6</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0.03</v>
      </c>
      <c r="G21" s="1581"/>
      <c r="H21" s="332"/>
      <c r="I21" s="317"/>
      <c r="J21" s="29"/>
      <c r="K21" s="333"/>
      <c r="L21" s="308" t="s">
        <v>1412</v>
      </c>
      <c r="M21" s="309">
        <f ca="1">INDIRECT("'数据-取费表'!r"&amp;$G$1)</f>
        <v>5974.5</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188"/>
      <c r="F22" s="26"/>
      <c r="G22" s="1569"/>
      <c r="H22" s="1113" t="s">
        <v>1007</v>
      </c>
      <c r="I22" s="308" t="s">
        <v>1414</v>
      </c>
      <c r="J22" s="24">
        <f ca="1">ROUND(J14*M22,1)</f>
        <v>501.9</v>
      </c>
      <c r="K22" s="3181"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1521</v>
      </c>
      <c r="D23" s="335" t="str">
        <f>IF(F23&lt;=1,"(建造成本+管理费用)×利率×(建设周期÷2)","(建造成本+管理费用)×((1+利率)^(建设周期÷2)-1)")</f>
        <v>(建造成本+管理费用)×((1+利率)^(建设周期÷2)-1)</v>
      </c>
      <c r="E23" s="308" t="s">
        <v>1417</v>
      </c>
      <c r="F23" s="331">
        <f>'数据-取费表'!B20</f>
        <v>3</v>
      </c>
      <c r="G23" s="1581"/>
      <c r="H23" s="1113" t="s">
        <v>1043</v>
      </c>
      <c r="I23" s="308" t="s">
        <v>1418</v>
      </c>
      <c r="J23" s="24">
        <f ca="1">ROUND(J13*M23,1)</f>
        <v>0</v>
      </c>
      <c r="K23" s="3181" t="s">
        <v>1419</v>
      </c>
      <c r="L23" s="308" t="s">
        <v>1387</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2E-3</v>
      </c>
      <c r="D24" s="335" t="str">
        <f>IF(F23&lt;=1,"销售费用×利率×(建设周期÷2)","销售费用×((1+利率)^(建设周期÷2)-1)")</f>
        <v>销售费用×((1+利率)^(建设周期÷2)-1)</v>
      </c>
      <c r="E24" s="308" t="s">
        <v>1423</v>
      </c>
      <c r="F24" s="337">
        <f ca="1">'数据-取费表'!B40</f>
        <v>4.3499999999999997E-2</v>
      </c>
      <c r="G24" s="1581"/>
      <c r="H24" s="1249" t="s">
        <v>1357</v>
      </c>
      <c r="I24" s="1250" t="s">
        <v>1404</v>
      </c>
      <c r="J24" s="1251">
        <f ca="1">ROUND(J5*M24,1)</f>
        <v>0</v>
      </c>
      <c r="K24" s="1252" t="s">
        <v>1424</v>
      </c>
      <c r="L24" s="1250" t="s">
        <v>1387</v>
      </c>
      <c r="M24" s="1246">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3188"/>
      <c r="F25" s="26"/>
      <c r="G25" s="1569"/>
      <c r="H25" s="1239" t="s">
        <v>999</v>
      </c>
      <c r="I25" s="1254" t="s">
        <v>1428</v>
      </c>
      <c r="J25" s="316">
        <f ca="1">J5-J16</f>
        <v>-787</v>
      </c>
      <c r="K25" s="1255" t="s">
        <v>1429</v>
      </c>
      <c r="L25" s="1256"/>
      <c r="M25" s="1257"/>
    </row>
    <row r="26" spans="1:37">
      <c r="A26" s="1113" t="s">
        <v>1002</v>
      </c>
      <c r="B26" s="308" t="s">
        <v>1430</v>
      </c>
      <c r="C26" s="24">
        <f ca="1">ROUND((C19+C20)*F26,0)</f>
        <v>5767</v>
      </c>
      <c r="D26" s="329" t="s">
        <v>1431</v>
      </c>
      <c r="E26" s="319" t="s">
        <v>1432</v>
      </c>
      <c r="F26" s="318">
        <f ca="1">INDIRECT("'数据-取费表'!q"&amp;$G$1)</f>
        <v>0.25</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7.4999999999999997E-3</v>
      </c>
      <c r="D27" s="329" t="s">
        <v>1437</v>
      </c>
      <c r="E27" s="3179"/>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33461</v>
      </c>
      <c r="D29" s="1252"/>
      <c r="E29" s="1250"/>
      <c r="F29" s="1253"/>
      <c r="G29" s="1581"/>
      <c r="H29" s="340" t="s">
        <v>1001</v>
      </c>
      <c r="I29" s="341" t="s">
        <v>1444</v>
      </c>
      <c r="J29" s="342">
        <f ca="1">ROUND(J26/(1+F40)^F41,0)</f>
        <v>0</v>
      </c>
      <c r="K29" s="343" t="s">
        <v>1445</v>
      </c>
      <c r="L29" s="344"/>
      <c r="M29" s="345">
        <f ca="1">INDIRECT("'数据-取费表'!k"&amp;$G$1)</f>
        <v>44859.7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1062</v>
      </c>
      <c r="D30" s="1247" t="s">
        <v>1390</v>
      </c>
      <c r="E30" s="3183"/>
      <c r="F30" s="1204"/>
      <c r="G30" s="1569"/>
      <c r="H30" s="2921"/>
      <c r="I30" s="1583"/>
      <c r="J30" s="1584"/>
      <c r="K30" s="2698"/>
      <c r="L30" s="2922"/>
      <c r="M30" s="2923"/>
    </row>
    <row r="31" spans="1:37" ht="18" customHeight="1">
      <c r="A31" s="1113" t="s">
        <v>1003</v>
      </c>
      <c r="B31" s="308" t="s">
        <v>1394</v>
      </c>
      <c r="C31" s="2534">
        <f ca="1">ROUND(IF(AND(项目基本情况!B11="自然人",项目基本情况!B10="北京市"),C6*F31/(1+'数据-取费表'!C42),C32+C33+C34),0)</f>
        <v>459</v>
      </c>
      <c r="D31" s="3182" t="s">
        <v>1395</v>
      </c>
      <c r="E31" s="3181" t="s">
        <v>1446</v>
      </c>
      <c r="F31" s="2533" t="str">
        <f>IF(项目基本情况!B11="企业","——",IF('数据-取费表'!B10="住宅",IF(F6*F7*F8/12/(1+'数据-取费表'!F30)&gt;100000,4%,2.5%),IF(F6*F7*F8/12/(1+'数据-取费表'!F30)&gt;100000,12%,7%)))</f>
        <v>——</v>
      </c>
      <c r="G31" s="1569"/>
      <c r="H31" s="3034" t="s">
        <v>3054</v>
      </c>
      <c r="I31" s="1583"/>
      <c r="J31" s="1584"/>
      <c r="K31" s="2698"/>
      <c r="L31" s="2922"/>
      <c r="M31" s="2923"/>
    </row>
    <row r="32" spans="1:37" ht="18" customHeight="1">
      <c r="A32" s="1113" t="s">
        <v>1002</v>
      </c>
      <c r="B32" s="308" t="s">
        <v>1398</v>
      </c>
      <c r="C32" s="24">
        <f ca="1">IF(项目基本情况!B11="自然人","——",ROUND(C6*F32/(1+'数据-取费表'!C42),2))</f>
        <v>144.75</v>
      </c>
      <c r="D32" s="3181" t="s">
        <v>1399</v>
      </c>
      <c r="E32" s="308" t="s">
        <v>1387</v>
      </c>
      <c r="F32" s="337">
        <f>'数据-取费表'!B41</f>
        <v>5.6000000000000001E-2</v>
      </c>
      <c r="G32" s="1569"/>
      <c r="H32" s="2921"/>
      <c r="I32" s="1583"/>
      <c r="J32" s="1584"/>
      <c r="K32" s="2698"/>
      <c r="L32" s="2922"/>
      <c r="M32" s="2923"/>
    </row>
    <row r="33" spans="1:18" ht="18" customHeight="1">
      <c r="A33" s="1113" t="s">
        <v>1004</v>
      </c>
      <c r="B33" s="308" t="s">
        <v>1402</v>
      </c>
      <c r="C33" s="24">
        <f ca="1">IF(项目基本情况!B11="自然人","——",IF(D33="按租金收入计税",ROUND(C6*F33/(1+'数据-取费表'!C42),2),IF(D33="按房产原值计税",ROUND(C29*F33*0.7,2),INDIRECT("'数据-取费表'!Aj"&amp;$G$1))))</f>
        <v>310.17</v>
      </c>
      <c r="D33" s="1555" t="s">
        <v>3278</v>
      </c>
      <c r="E33" s="308" t="s">
        <v>1387</v>
      </c>
      <c r="F33" s="328">
        <f>IF(D33="按票据","——",IF(D33="按租金收入计税",'数据-取费表'!B51,'数据-取费表'!B50))</f>
        <v>0.12</v>
      </c>
      <c r="G33" s="1569"/>
      <c r="H33" s="2924"/>
      <c r="I33" s="1583"/>
      <c r="J33" s="1584"/>
      <c r="K33" s="2925"/>
      <c r="L33" s="2924"/>
      <c r="M33" s="2924"/>
    </row>
    <row r="34" spans="1:18" ht="18" customHeight="1">
      <c r="A34" s="1201" t="s">
        <v>1354</v>
      </c>
      <c r="B34" s="160" t="s">
        <v>1406</v>
      </c>
      <c r="C34" s="25">
        <f ca="1">IF(项目基本情况!B11="自然人","——",ROUND(F34*F35/10000,2))</f>
        <v>3.58</v>
      </c>
      <c r="D34" s="330" t="s">
        <v>1407</v>
      </c>
      <c r="E34" s="308" t="s">
        <v>1408</v>
      </c>
      <c r="F34" s="331">
        <f>'数据-取费表'!B52</f>
        <v>6</v>
      </c>
      <c r="G34" s="1569"/>
      <c r="H34" s="2921"/>
      <c r="I34" s="1583"/>
      <c r="J34" s="1584"/>
      <c r="K34" s="2926"/>
      <c r="L34" s="2927"/>
      <c r="M34" s="2927"/>
    </row>
    <row r="35" spans="1:18" ht="18" customHeight="1">
      <c r="A35" s="1263"/>
      <c r="B35" s="1261"/>
      <c r="C35" s="29"/>
      <c r="D35" s="333"/>
      <c r="E35" s="308" t="s">
        <v>1412</v>
      </c>
      <c r="F35" s="309">
        <f ca="1">INDIRECT("'数据-取费表'!r"&amp;$G$1)</f>
        <v>5974.5</v>
      </c>
      <c r="G35" s="1569"/>
      <c r="H35" s="2921"/>
      <c r="I35" s="1583"/>
      <c r="J35" s="1584"/>
      <c r="K35" s="2925"/>
      <c r="L35" s="2924"/>
      <c r="M35" s="2924"/>
    </row>
    <row r="36" spans="1:18" ht="18" customHeight="1">
      <c r="A36" s="1262" t="s">
        <v>1007</v>
      </c>
      <c r="B36" s="308" t="s">
        <v>1414</v>
      </c>
      <c r="C36" s="24">
        <f ca="1">ROUND(C29*F36,1)</f>
        <v>501.9</v>
      </c>
      <c r="D36" s="3181" t="s">
        <v>1447</v>
      </c>
      <c r="E36" s="308" t="s">
        <v>1387</v>
      </c>
      <c r="F36" s="334">
        <f ca="1">INDIRECT("'数据-取费表'!Ak"&amp;$G$1)</f>
        <v>1.4999999999999999E-2</v>
      </c>
      <c r="G36" s="1569"/>
      <c r="H36" s="2924"/>
      <c r="I36" s="1583"/>
      <c r="J36" s="1584"/>
      <c r="K36" s="2766"/>
      <c r="L36" s="2924"/>
      <c r="M36" s="2924"/>
    </row>
    <row r="37" spans="1:18" ht="18" customHeight="1">
      <c r="A37" s="1113" t="s">
        <v>1043</v>
      </c>
      <c r="B37" s="308" t="s">
        <v>1418</v>
      </c>
      <c r="C37" s="24">
        <f ca="1">ROUND(C13*F37,1)</f>
        <v>46.7</v>
      </c>
      <c r="D37" s="3181" t="s">
        <v>1419</v>
      </c>
      <c r="E37" s="308" t="s">
        <v>1387</v>
      </c>
      <c r="F37" s="336">
        <f ca="1">INDIRECT("'数据-取费表'!Al"&amp;$G$1)</f>
        <v>1.5E-3</v>
      </c>
      <c r="G37" s="1569"/>
      <c r="H37" s="2924"/>
      <c r="I37" s="1583"/>
      <c r="J37" s="1584"/>
      <c r="K37" s="2766"/>
      <c r="L37" s="2924"/>
      <c r="M37" s="2924"/>
    </row>
    <row r="38" spans="1:18" ht="18" customHeight="1" thickBot="1">
      <c r="A38" s="1249" t="s">
        <v>1357</v>
      </c>
      <c r="B38" s="1250" t="s">
        <v>1404</v>
      </c>
      <c r="C38" s="1251">
        <f ca="1">ROUND(C5*F38,1)</f>
        <v>54.3</v>
      </c>
      <c r="D38" s="1252" t="s">
        <v>1424</v>
      </c>
      <c r="E38" s="1250" t="s">
        <v>1387</v>
      </c>
      <c r="F38" s="1246">
        <f ca="1">INDIRECT("'数据-取费表'!Am"&amp;$G$1)</f>
        <v>0.02</v>
      </c>
      <c r="G38" s="1569"/>
      <c r="H38" s="2924"/>
      <c r="I38" s="1583"/>
      <c r="J38" s="1584"/>
      <c r="K38" s="2928"/>
      <c r="L38" s="2924"/>
      <c r="M38" s="2924"/>
    </row>
    <row r="39" spans="1:18" ht="24.6" customHeight="1" thickTop="1">
      <c r="A39" s="1239" t="s">
        <v>999</v>
      </c>
      <c r="B39" s="1254" t="s">
        <v>1448</v>
      </c>
      <c r="C39" s="316">
        <f ca="1">C5-C30</f>
        <v>1655</v>
      </c>
      <c r="D39" s="1255" t="s">
        <v>1429</v>
      </c>
      <c r="E39" s="1256"/>
      <c r="F39" s="1257"/>
      <c r="G39" s="1569"/>
      <c r="H39" s="2924"/>
      <c r="I39" s="1583"/>
      <c r="J39" s="1584"/>
      <c r="K39" s="2928"/>
      <c r="L39" s="2924"/>
      <c r="M39" s="2924"/>
    </row>
    <row r="40" spans="1:18" ht="18" customHeight="1">
      <c r="A40" s="305" t="s">
        <v>1000</v>
      </c>
      <c r="B40" s="306" t="s">
        <v>1450</v>
      </c>
      <c r="C40" s="307">
        <f ca="1">ROUND(C39*(1-((1+F42)/(1+F40))^F41)/(F40-F42),0)</f>
        <v>31584</v>
      </c>
      <c r="D40" s="330" t="s">
        <v>1434</v>
      </c>
      <c r="E40" s="308" t="s">
        <v>1435</v>
      </c>
      <c r="F40" s="318">
        <f ca="1">INDIRECT("'数据-取费表'!I"&amp;$G$1)</f>
        <v>5.5E-2</v>
      </c>
      <c r="G40" s="1569"/>
      <c r="H40" s="1646"/>
      <c r="I40" s="1583"/>
      <c r="J40" s="1584"/>
      <c r="K40" s="2928"/>
      <c r="L40" s="1646"/>
      <c r="M40" s="1646"/>
    </row>
    <row r="41" spans="1:18" ht="18" customHeight="1">
      <c r="A41" s="310"/>
      <c r="B41" s="311"/>
      <c r="C41" s="312"/>
      <c r="D41" s="338" t="s">
        <v>1451</v>
      </c>
      <c r="E41" s="308" t="s">
        <v>1439</v>
      </c>
      <c r="F41" s="339">
        <f ca="1">IF(INDIRECT("'数据-取费表'!af"&amp;$G$1)=0,INDIRECT("'数据-取费表'!ae"&amp;$G$1),INDIRECT("'数据-取费表'!af"&amp;$G$1))</f>
        <v>29.46</v>
      </c>
      <c r="G41" s="1569"/>
      <c r="H41" s="1353"/>
      <c r="I41" s="1583"/>
      <c r="J41" s="1584"/>
      <c r="K41" s="2766"/>
      <c r="L41" s="1353"/>
      <c r="M41" s="1353"/>
    </row>
    <row r="42" spans="1:18" ht="18" customHeight="1">
      <c r="A42" s="314"/>
      <c r="B42" s="315"/>
      <c r="C42" s="316"/>
      <c r="D42" s="333"/>
      <c r="E42" s="308" t="s">
        <v>1442</v>
      </c>
      <c r="F42" s="318">
        <f ca="1">INDIRECT("'数据-取费表'!v"&amp;$G$1)</f>
        <v>2.5000000000000001E-2</v>
      </c>
      <c r="G42" s="1569"/>
      <c r="H42" s="1353"/>
      <c r="I42" s="1583"/>
      <c r="J42" s="1584"/>
      <c r="K42" s="2766"/>
      <c r="L42" s="1353"/>
      <c r="M42" s="1353"/>
    </row>
    <row r="43" spans="1:18" ht="18" customHeight="1" thickBot="1">
      <c r="A43" s="340" t="s">
        <v>1001</v>
      </c>
      <c r="B43" s="341" t="s">
        <v>1452</v>
      </c>
      <c r="C43" s="342">
        <f ca="1">ROUND(C40*10000/F43,0)</f>
        <v>7041</v>
      </c>
      <c r="D43" s="343" t="s">
        <v>1453</v>
      </c>
      <c r="E43" s="344" t="s">
        <v>1454</v>
      </c>
      <c r="F43" s="345">
        <f ca="1">INDIRECT("'数据-取费表'!k"&amp;$G$1)</f>
        <v>44859.7</v>
      </c>
      <c r="G43" s="1569"/>
      <c r="H43" s="1353"/>
      <c r="I43" s="1353"/>
      <c r="J43" s="1353"/>
      <c r="K43" s="2766"/>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29" t="s">
        <v>1484</v>
      </c>
      <c r="P45" s="1646"/>
      <c r="Q45" s="1646"/>
      <c r="R45" s="1646"/>
    </row>
    <row r="46" spans="1:18" s="1569" customFormat="1" ht="13.5" thickBot="1">
      <c r="A46" s="1589" t="s">
        <v>1485</v>
      </c>
      <c r="C46" s="1590">
        <f ca="1">C68-C40</f>
        <v>-80101</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3279</v>
      </c>
      <c r="K47" s="1601" t="s">
        <v>1492</v>
      </c>
      <c r="L47" s="1602">
        <f ca="1">INDIRECT("'数据-取费表'!d"&amp;$G$1)</f>
        <v>40</v>
      </c>
      <c r="M47" s="1565" t="str">
        <f>IF(ISNUMBER(FIND("住宅",C1)),"住宅","非住宅")</f>
        <v>非住宅</v>
      </c>
      <c r="O47" s="1603" t="s">
        <v>1008</v>
      </c>
      <c r="P47" s="1604" t="s">
        <v>1493</v>
      </c>
      <c r="Q47" s="1605">
        <f ca="1">C40+J29</f>
        <v>31584</v>
      </c>
      <c r="R47" s="1605" t="s">
        <v>1494</v>
      </c>
    </row>
    <row r="48" spans="1:18" s="1569" customFormat="1" ht="28.5" thickBot="1">
      <c r="A48" s="1270" t="s">
        <v>1103</v>
      </c>
      <c r="B48" s="306" t="s">
        <v>1366</v>
      </c>
      <c r="C48" s="3187">
        <f ca="1">C49+C53+C55</f>
        <v>0</v>
      </c>
      <c r="D48" s="1272"/>
      <c r="E48" s="1273"/>
      <c r="F48" s="1093"/>
      <c r="G48" s="731"/>
      <c r="H48" s="732"/>
      <c r="I48" s="1606" t="s">
        <v>1495</v>
      </c>
      <c r="J48" s="1607" t="s">
        <v>3280</v>
      </c>
      <c r="K48" s="1608" t="s">
        <v>1496</v>
      </c>
      <c r="L48" s="1609">
        <f ca="1">INDIRECT("'数据-取费表'!f"&amp;$G$1)</f>
        <v>29.46</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2850</v>
      </c>
      <c r="E49" s="1557" t="s">
        <v>1456</v>
      </c>
      <c r="F49" s="1191"/>
      <c r="G49" s="1610"/>
      <c r="H49" s="732"/>
      <c r="I49" s="1606" t="s">
        <v>1499</v>
      </c>
      <c r="J49" s="1611">
        <v>2015</v>
      </c>
      <c r="K49" s="1608" t="s">
        <v>1500</v>
      </c>
      <c r="L49" s="1612"/>
      <c r="O49" s="1613" t="s">
        <v>1010</v>
      </c>
      <c r="P49" s="1604" t="s">
        <v>1501</v>
      </c>
      <c r="Q49" s="1605">
        <f ca="1">C29</f>
        <v>33461</v>
      </c>
      <c r="R49" s="1605" t="s">
        <v>1494</v>
      </c>
    </row>
    <row r="50" spans="1:18" s="1569" customFormat="1" ht="13.5" thickBot="1">
      <c r="A50" s="1107"/>
      <c r="B50" s="1110"/>
      <c r="C50" s="1278"/>
      <c r="D50" s="1084"/>
      <c r="E50" s="1187" t="s">
        <v>1371</v>
      </c>
      <c r="F50" s="1188">
        <f ca="1">F7</f>
        <v>44859.7</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54</v>
      </c>
      <c r="K51" s="1619" t="s">
        <v>1506</v>
      </c>
      <c r="L51" s="1620">
        <f ca="1">ROUND(-PV(INDIRECT("'数据-取费表'!h"&amp;$G$1),J51,(C39-C13*C76),0),0)</f>
        <v>-18382</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29.46</v>
      </c>
      <c r="R52" s="1605" t="s">
        <v>1511</v>
      </c>
    </row>
    <row r="53" spans="1:18" s="1569" customFormat="1" ht="24.75" thickBot="1">
      <c r="A53" s="1314" t="s">
        <v>1105</v>
      </c>
      <c r="B53" s="1558" t="s">
        <v>1374</v>
      </c>
      <c r="C53" s="322">
        <f ca="1">ROUND(IF(F53="押一",C49/12*F11,IF(F53="押二",C49/12*2*F11,IF(F53="押三",C49/12*3*F11,C54*F11))),0)</f>
        <v>0</v>
      </c>
      <c r="D53" s="1551" t="s">
        <v>2858</v>
      </c>
      <c r="E53" s="319" t="s">
        <v>1375</v>
      </c>
      <c r="F53" s="1276"/>
      <c r="I53" s="1624" t="s">
        <v>1512</v>
      </c>
      <c r="J53" s="2386">
        <f ca="1">IF(M47="住宅",IF(D1="——",MAX(J51,L48),MAX(J51,L48-'数据-取费表'!B24)),IF(D1="——",MIN(J51,L48),MIN(J51,L48-'数据-取费表'!B24)))</f>
        <v>29.46</v>
      </c>
      <c r="K53" s="3473" t="s">
        <v>1513</v>
      </c>
      <c r="L53" s="3474"/>
      <c r="O53" s="1603" t="s">
        <v>1014</v>
      </c>
      <c r="P53" s="1604" t="s">
        <v>1514</v>
      </c>
      <c r="Q53" s="1605">
        <f ca="1">Q47+Q48</f>
        <v>31584</v>
      </c>
      <c r="R53" s="1605" t="s">
        <v>1015</v>
      </c>
    </row>
    <row r="54" spans="1:18" s="1569" customFormat="1" ht="13.5" thickBot="1">
      <c r="A54" s="1315"/>
      <c r="B54" s="1552" t="s">
        <v>1353</v>
      </c>
      <c r="C54" s="1090"/>
      <c r="D54" s="1551"/>
      <c r="E54" s="3184"/>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3184"/>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31119</v>
      </c>
      <c r="D56" s="1632"/>
      <c r="E56" s="1633"/>
      <c r="F56" s="1625"/>
      <c r="I56" s="1634" t="s">
        <v>1519</v>
      </c>
      <c r="J56" s="1635" t="s">
        <v>3068</v>
      </c>
      <c r="K56" s="1606" t="s">
        <v>1520</v>
      </c>
      <c r="L56" s="1609" t="str">
        <f ca="1">IF(L48&lt;J51,"——",L48-J53)</f>
        <v>——</v>
      </c>
      <c r="O56" s="1603" t="s">
        <v>1008</v>
      </c>
      <c r="P56" s="1604" t="s">
        <v>1493</v>
      </c>
      <c r="Q56" s="1605">
        <f ca="1">C40+J29</f>
        <v>31584</v>
      </c>
      <c r="R56" s="1605" t="s">
        <v>1494</v>
      </c>
    </row>
    <row r="57" spans="1:18" s="1569" customFormat="1" ht="24.75" thickBot="1">
      <c r="A57" s="1636"/>
      <c r="B57" s="1081" t="s">
        <v>1443</v>
      </c>
      <c r="C57" s="244">
        <f ca="1">C29</f>
        <v>33461</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3363</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2814</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2810.72</v>
      </c>
      <c r="D61" s="1555" t="s">
        <v>1403</v>
      </c>
      <c r="E61" s="1081" t="s">
        <v>1387</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3.58</v>
      </c>
      <c r="D62" s="1096" t="s">
        <v>1462</v>
      </c>
      <c r="E62" s="1081" t="s">
        <v>1463</v>
      </c>
      <c r="F62" s="331">
        <f t="shared" si="0"/>
        <v>6</v>
      </c>
      <c r="I62" s="1647" t="s">
        <v>1535</v>
      </c>
      <c r="J62" s="1648" t="s">
        <v>1536</v>
      </c>
      <c r="K62" s="1648" t="s">
        <v>1537</v>
      </c>
      <c r="L62" s="1648" t="s">
        <v>1538</v>
      </c>
      <c r="M62" s="1649" t="s">
        <v>1539</v>
      </c>
      <c r="O62" s="1603" t="s">
        <v>1014</v>
      </c>
      <c r="P62" s="1604" t="s">
        <v>1540</v>
      </c>
      <c r="Q62" s="1605">
        <f ca="1">Q56+Q57</f>
        <v>31584</v>
      </c>
      <c r="R62" s="1605" t="s">
        <v>1015</v>
      </c>
    </row>
    <row r="63" spans="1:18" s="1569" customFormat="1" ht="13.5" thickBot="1">
      <c r="A63" s="332"/>
      <c r="B63" s="1087"/>
      <c r="C63" s="29"/>
      <c r="D63" s="1097"/>
      <c r="E63" s="1081" t="s">
        <v>1464</v>
      </c>
      <c r="F63" s="309">
        <f t="shared" ca="1" si="0"/>
        <v>5974.5</v>
      </c>
      <c r="I63" s="1647" t="s">
        <v>1541</v>
      </c>
      <c r="J63" s="1648">
        <v>70</v>
      </c>
      <c r="K63" s="1648">
        <v>50</v>
      </c>
      <c r="L63" s="1648">
        <v>80</v>
      </c>
      <c r="M63" s="1650">
        <v>0.02</v>
      </c>
      <c r="O63" s="1588" t="s">
        <v>1542</v>
      </c>
      <c r="P63" s="1566"/>
      <c r="Q63" s="1566"/>
      <c r="R63" s="1566"/>
    </row>
    <row r="64" spans="1:18" s="1569" customFormat="1" ht="13.5" thickBot="1">
      <c r="A64" s="1113" t="s">
        <v>1465</v>
      </c>
      <c r="B64" s="1081" t="s">
        <v>1414</v>
      </c>
      <c r="C64" s="24">
        <f ca="1">ROUND(C57*F64,1)</f>
        <v>501.9</v>
      </c>
      <c r="D64" s="1095" t="s">
        <v>1447</v>
      </c>
      <c r="E64" s="1081" t="s">
        <v>1387</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46.7</v>
      </c>
      <c r="D65" s="1095" t="s">
        <v>1419</v>
      </c>
      <c r="E65" s="1081" t="s">
        <v>1387</v>
      </c>
      <c r="F65" s="336">
        <f t="shared" ca="1" si="0"/>
        <v>1.5E-3</v>
      </c>
      <c r="I65" s="1647" t="s">
        <v>1544</v>
      </c>
      <c r="J65" s="1648">
        <v>40</v>
      </c>
      <c r="K65" s="1648">
        <v>30</v>
      </c>
      <c r="L65" s="1648">
        <v>50</v>
      </c>
      <c r="M65" s="1650">
        <v>0.02</v>
      </c>
      <c r="O65" s="1603" t="s">
        <v>1008</v>
      </c>
      <c r="P65" s="1604" t="s">
        <v>1545</v>
      </c>
      <c r="Q65" s="1605">
        <f ca="1">C40+J29</f>
        <v>31584</v>
      </c>
      <c r="R65" s="1605" t="s">
        <v>1494</v>
      </c>
    </row>
    <row r="66" spans="1:18" s="1569" customFormat="1" ht="16.5" thickBot="1">
      <c r="A66" s="1113" t="s">
        <v>1469</v>
      </c>
      <c r="B66" s="1081" t="s">
        <v>1404</v>
      </c>
      <c r="C66" s="24">
        <f ca="1">ROUND(C48*F66,1)</f>
        <v>0</v>
      </c>
      <c r="D66" s="1095" t="s">
        <v>1470</v>
      </c>
      <c r="E66" s="1081" t="s">
        <v>1387</v>
      </c>
      <c r="F66" s="318">
        <f t="shared" ca="1" si="0"/>
        <v>0.02</v>
      </c>
      <c r="O66" s="1603" t="s">
        <v>1009</v>
      </c>
      <c r="P66" s="1604" t="s">
        <v>1523</v>
      </c>
      <c r="Q66" s="1605">
        <f ca="1">L60</f>
        <v>0</v>
      </c>
      <c r="R66" s="1605" t="s">
        <v>1546</v>
      </c>
    </row>
    <row r="67" spans="1:18" s="1569" customFormat="1" ht="16.5" thickBot="1">
      <c r="A67" s="1088" t="s">
        <v>999</v>
      </c>
      <c r="B67" s="1098" t="s">
        <v>1428</v>
      </c>
      <c r="C67" s="322">
        <f ca="1">C48-C58</f>
        <v>-3363</v>
      </c>
      <c r="D67" s="1094" t="s">
        <v>1429</v>
      </c>
      <c r="E67" s="1099"/>
      <c r="F67" s="1100"/>
      <c r="O67" s="1613" t="s">
        <v>1010</v>
      </c>
      <c r="P67" s="1604" t="s">
        <v>1527</v>
      </c>
      <c r="Q67" s="1651">
        <f ca="1">L51</f>
        <v>-18382</v>
      </c>
      <c r="R67" s="1605" t="s">
        <v>1547</v>
      </c>
    </row>
    <row r="68" spans="1:18" s="1569" customFormat="1" ht="16.5" thickBot="1">
      <c r="A68" s="1078" t="s">
        <v>1000</v>
      </c>
      <c r="B68" s="1079" t="s">
        <v>1450</v>
      </c>
      <c r="C68" s="307">
        <f ca="1">ROUND(C67*(1-((1+F70)/(1+F68))^F69)/(F68-F70),0)</f>
        <v>-48517</v>
      </c>
      <c r="D68" s="1096" t="s">
        <v>1434</v>
      </c>
      <c r="E68" s="1081" t="s">
        <v>1435</v>
      </c>
      <c r="F68" s="318">
        <f ca="1">F40</f>
        <v>5.5E-2</v>
      </c>
      <c r="O68" s="1613" t="s">
        <v>1011</v>
      </c>
      <c r="P68" s="1652" t="s">
        <v>1548</v>
      </c>
      <c r="Q68" s="1605">
        <f ca="1">ROUND(Q69-Q70*Q71,0)</f>
        <v>-990</v>
      </c>
      <c r="R68" s="1605" t="s">
        <v>1019</v>
      </c>
    </row>
    <row r="69" spans="1:18" s="1569" customFormat="1" ht="13.5" thickBot="1">
      <c r="A69" s="1082"/>
      <c r="B69" s="1083"/>
      <c r="C69" s="312"/>
      <c r="D69" s="1101" t="s">
        <v>1438</v>
      </c>
      <c r="E69" s="1081" t="s">
        <v>1439</v>
      </c>
      <c r="F69" s="339">
        <f ca="1">F41</f>
        <v>29.46</v>
      </c>
      <c r="O69" s="1613" t="s">
        <v>1016</v>
      </c>
      <c r="P69" s="1652" t="s">
        <v>1549</v>
      </c>
      <c r="Q69" s="1605">
        <f ca="1">C39</f>
        <v>1655</v>
      </c>
      <c r="R69" s="1605" t="s">
        <v>1494</v>
      </c>
    </row>
    <row r="70" spans="1:18" s="1569" customFormat="1" ht="13.5" thickBot="1">
      <c r="A70" s="1085"/>
      <c r="B70" s="1086"/>
      <c r="C70" s="316"/>
      <c r="D70" s="1097"/>
      <c r="E70" s="1081" t="s">
        <v>1442</v>
      </c>
      <c r="F70" s="1185"/>
      <c r="O70" s="1613" t="s">
        <v>1017</v>
      </c>
      <c r="P70" s="1652" t="s">
        <v>1550</v>
      </c>
      <c r="Q70" s="1605">
        <f ca="1">C13</f>
        <v>31119</v>
      </c>
      <c r="R70" s="1605" t="s">
        <v>1494</v>
      </c>
    </row>
    <row r="71" spans="1:18" s="1569" customFormat="1" ht="13.5" thickBot="1">
      <c r="A71" s="1102" t="s">
        <v>1001</v>
      </c>
      <c r="B71" s="1103" t="s">
        <v>1452</v>
      </c>
      <c r="C71" s="342">
        <f ca="1">ROUND(C68*10000/F71,0)</f>
        <v>-10815</v>
      </c>
      <c r="D71" s="1104" t="s">
        <v>1453</v>
      </c>
      <c r="E71" s="1105" t="s">
        <v>1454</v>
      </c>
      <c r="F71" s="345">
        <f ca="1">F43</f>
        <v>44859.7</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2645</v>
      </c>
      <c r="D75" s="1569"/>
      <c r="E75" s="1569"/>
      <c r="F75" s="1569"/>
      <c r="K75" s="1587"/>
      <c r="L75" s="1569"/>
      <c r="O75" s="1603" t="s">
        <v>1014</v>
      </c>
      <c r="P75" s="1604" t="s">
        <v>1514</v>
      </c>
      <c r="Q75" s="1605">
        <f ca="1">Q65+Q66</f>
        <v>31584</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-0.59800000000000009</v>
      </c>
    </row>
    <row r="80" spans="1:18">
      <c r="B80" s="346" t="s">
        <v>1476</v>
      </c>
      <c r="C80" s="280">
        <f ca="1">ROUND(C75/C39,3)</f>
        <v>1.5980000000000001</v>
      </c>
    </row>
    <row r="81" spans="2:3">
      <c r="B81" s="276" t="s">
        <v>1477</v>
      </c>
      <c r="C81" s="244"/>
    </row>
    <row r="82" spans="2:3">
      <c r="B82" s="279" t="s">
        <v>1478</v>
      </c>
      <c r="C82" s="281">
        <f ca="1">1-C83</f>
        <v>1.5000000000000013E-2</v>
      </c>
    </row>
    <row r="83" spans="2:3">
      <c r="B83" s="279" t="s">
        <v>1479</v>
      </c>
      <c r="C83" s="280">
        <f ca="1">ROUND(C13/C40,3)</f>
        <v>0.98499999999999999</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7"/>
  <sheetViews>
    <sheetView topLeftCell="A7" zoomScale="90" zoomScaleNormal="90" workbookViewId="0">
      <selection activeCell="S28" sqref="S28"/>
    </sheetView>
  </sheetViews>
  <sheetFormatPr defaultRowHeight="13.5"/>
  <cols>
    <col min="1" max="1" width="10.5" customWidth="1"/>
    <col min="2" max="2" width="12.875" customWidth="1"/>
    <col min="3" max="3" width="8.75" customWidth="1"/>
    <col min="9" max="9" width="12.75" bestFit="1" customWidth="1"/>
    <col min="10" max="10" width="11.625" bestFit="1" customWidth="1"/>
  </cols>
  <sheetData>
    <row r="1" spans="1:11" ht="14.25">
      <c r="A1" s="3480" t="s">
        <v>1044</v>
      </c>
      <c r="B1" s="3481"/>
      <c r="C1" s="3482"/>
      <c r="D1" s="3483">
        <f>SUM(I10,I15,I20,I21,I23)</f>
        <v>5585</v>
      </c>
      <c r="E1" s="3483"/>
      <c r="F1" s="3483"/>
      <c r="G1" s="3483"/>
      <c r="H1" s="3483"/>
      <c r="I1" s="3484"/>
    </row>
    <row r="2" spans="1:11">
      <c r="A2" s="3485" t="s">
        <v>1045</v>
      </c>
      <c r="B2" s="3486" t="s">
        <v>1046</v>
      </c>
      <c r="C2" s="3486"/>
      <c r="D2" s="1211" t="s">
        <v>1047</v>
      </c>
      <c r="E2" s="1211" t="s">
        <v>1048</v>
      </c>
      <c r="F2" s="1211" t="s">
        <v>1049</v>
      </c>
      <c r="G2" s="1211" t="s">
        <v>1050</v>
      </c>
      <c r="H2" s="1211" t="s">
        <v>1051</v>
      </c>
      <c r="I2" s="1212" t="s">
        <v>1052</v>
      </c>
    </row>
    <row r="3" spans="1:11">
      <c r="A3" s="3485"/>
      <c r="B3" s="3486" t="s">
        <v>1053</v>
      </c>
      <c r="C3" s="3486"/>
      <c r="D3" s="1213"/>
      <c r="E3" s="1211"/>
      <c r="F3" s="1214"/>
      <c r="G3" s="1214"/>
      <c r="H3" s="1215"/>
      <c r="I3" s="1216">
        <f>ROUND(D3*E3*F3*G3*H3/10000,0)</f>
        <v>0</v>
      </c>
      <c r="K3" s="3059" t="s">
        <v>3529</v>
      </c>
    </row>
    <row r="4" spans="1:11">
      <c r="A4" s="3485"/>
      <c r="B4" s="3486" t="s">
        <v>1054</v>
      </c>
      <c r="C4" s="3486"/>
      <c r="D4" s="1213"/>
      <c r="E4" s="1211"/>
      <c r="F4" s="1214"/>
      <c r="G4" s="1214"/>
      <c r="H4" s="1215"/>
      <c r="I4" s="1216">
        <f t="shared" ref="I4:I9" si="0">ROUND(D4*E4*F4*G4*H4/10000,0)</f>
        <v>0</v>
      </c>
      <c r="K4" s="3059" t="s">
        <v>3530</v>
      </c>
    </row>
    <row r="5" spans="1:11">
      <c r="A5" s="3485"/>
      <c r="B5" s="3486" t="s">
        <v>1055</v>
      </c>
      <c r="C5" s="3486"/>
      <c r="D5" s="1213"/>
      <c r="E5" s="1211"/>
      <c r="F5" s="1214"/>
      <c r="G5" s="1214"/>
      <c r="H5" s="1215"/>
      <c r="I5" s="1216">
        <f t="shared" si="0"/>
        <v>0</v>
      </c>
    </row>
    <row r="6" spans="1:11">
      <c r="A6" s="3485"/>
      <c r="B6" s="3486" t="s">
        <v>1056</v>
      </c>
      <c r="C6" s="3486"/>
      <c r="D6" s="1213">
        <v>644</v>
      </c>
      <c r="E6" s="3230">
        <v>400</v>
      </c>
      <c r="F6" s="1214">
        <v>0.9</v>
      </c>
      <c r="G6" s="1214">
        <v>0.6</v>
      </c>
      <c r="H6" s="1215">
        <v>365</v>
      </c>
      <c r="I6" s="1216">
        <f t="shared" si="0"/>
        <v>5077</v>
      </c>
    </row>
    <row r="7" spans="1:11">
      <c r="A7" s="3485"/>
      <c r="B7" s="3486" t="s">
        <v>1057</v>
      </c>
      <c r="C7" s="3486"/>
      <c r="D7" s="1213"/>
      <c r="E7" s="1211"/>
      <c r="F7" s="1214"/>
      <c r="G7" s="1214"/>
      <c r="H7" s="1215"/>
      <c r="I7" s="1216">
        <f t="shared" si="0"/>
        <v>0</v>
      </c>
      <c r="K7">
        <f>13653*1.5*365*0.8/10000</f>
        <v>598.00139999999999</v>
      </c>
    </row>
    <row r="8" spans="1:11">
      <c r="A8" s="3485"/>
      <c r="B8" s="3486" t="s">
        <v>1058</v>
      </c>
      <c r="C8" s="3486"/>
      <c r="D8" s="1213"/>
      <c r="E8" s="1211"/>
      <c r="F8" s="1214"/>
      <c r="G8" s="1214"/>
      <c r="H8" s="1215"/>
      <c r="I8" s="1216">
        <f t="shared" si="0"/>
        <v>0</v>
      </c>
    </row>
    <row r="9" spans="1:11">
      <c r="A9" s="3485"/>
      <c r="B9" s="3486" t="s">
        <v>1059</v>
      </c>
      <c r="C9" s="3486"/>
      <c r="D9" s="1213"/>
      <c r="E9" s="1211"/>
      <c r="F9" s="1214"/>
      <c r="G9" s="1214"/>
      <c r="H9" s="1215"/>
      <c r="I9" s="1216">
        <f t="shared" si="0"/>
        <v>0</v>
      </c>
    </row>
    <row r="10" spans="1:11">
      <c r="A10" s="3485"/>
      <c r="B10" s="3487" t="s">
        <v>1060</v>
      </c>
      <c r="C10" s="3487"/>
      <c r="D10" s="1217"/>
      <c r="E10" s="1217" t="e">
        <f>ROUND(D1*10000/D10/H9,0)</f>
        <v>#DIV/0!</v>
      </c>
      <c r="F10" s="1218"/>
      <c r="G10" s="1218"/>
      <c r="H10" s="1219"/>
      <c r="I10" s="1220">
        <f>SUM(I3:I9)</f>
        <v>5077</v>
      </c>
    </row>
    <row r="11" spans="1:11" ht="14.25">
      <c r="A11" s="3485" t="s">
        <v>1061</v>
      </c>
      <c r="B11" s="3486" t="s">
        <v>1062</v>
      </c>
      <c r="C11" s="3486"/>
      <c r="D11" s="1213" t="s">
        <v>1063</v>
      </c>
      <c r="E11" s="1213" t="s">
        <v>1064</v>
      </c>
      <c r="F11" s="1214" t="s">
        <v>1065</v>
      </c>
      <c r="G11" s="1214" t="s">
        <v>1051</v>
      </c>
      <c r="H11" s="1221" t="s">
        <v>1066</v>
      </c>
      <c r="I11" s="1212" t="s">
        <v>1052</v>
      </c>
    </row>
    <row r="12" spans="1:11">
      <c r="A12" s="3485"/>
      <c r="B12" s="3486" t="s">
        <v>1067</v>
      </c>
      <c r="C12" s="3486"/>
      <c r="D12" s="1213"/>
      <c r="E12" s="1213"/>
      <c r="F12" s="1214"/>
      <c r="G12" s="1215"/>
      <c r="H12" s="1222"/>
      <c r="I12" s="1212">
        <f>ROUND(D12*E12*F12*G12/10000,0)</f>
        <v>0</v>
      </c>
    </row>
    <row r="13" spans="1:11">
      <c r="A13" s="3485"/>
      <c r="B13" s="3486" t="s">
        <v>1068</v>
      </c>
      <c r="C13" s="3486"/>
      <c r="D13" s="1213"/>
      <c r="E13" s="1213"/>
      <c r="F13" s="1214"/>
      <c r="G13" s="1215"/>
      <c r="H13" s="1222"/>
      <c r="I13" s="1212">
        <f>ROUND(D13*E13*F13*G13/10000,0)</f>
        <v>0</v>
      </c>
    </row>
    <row r="14" spans="1:11">
      <c r="A14" s="3485"/>
      <c r="B14" s="3486" t="s">
        <v>1069</v>
      </c>
      <c r="C14" s="3486"/>
      <c r="D14" s="1213"/>
      <c r="E14" s="1213"/>
      <c r="F14" s="1214"/>
      <c r="G14" s="1215"/>
      <c r="H14" s="1222"/>
      <c r="I14" s="1212">
        <f>ROUND(D14*E14*F14*G14/10000,0)</f>
        <v>0</v>
      </c>
    </row>
    <row r="15" spans="1:11">
      <c r="A15" s="3485"/>
      <c r="B15" s="3487" t="s">
        <v>1060</v>
      </c>
      <c r="C15" s="3487"/>
      <c r="D15" s="1217"/>
      <c r="E15" s="1217">
        <f>SUM(E12:E14)</f>
        <v>0</v>
      </c>
      <c r="F15" s="1218"/>
      <c r="G15" s="1215"/>
      <c r="H15" s="1222"/>
      <c r="I15" s="1223">
        <f>SUM(I12:I14)</f>
        <v>0</v>
      </c>
    </row>
    <row r="16" spans="1:11" ht="24">
      <c r="A16" s="3485" t="s">
        <v>1070</v>
      </c>
      <c r="B16" s="3486" t="s">
        <v>1071</v>
      </c>
      <c r="C16" s="3486"/>
      <c r="D16" s="1213" t="s">
        <v>1047</v>
      </c>
      <c r="E16" s="1224" t="s">
        <v>1072</v>
      </c>
      <c r="F16" s="1214" t="s">
        <v>1073</v>
      </c>
      <c r="G16" s="1215" t="s">
        <v>1051</v>
      </c>
      <c r="H16" s="1221" t="s">
        <v>1066</v>
      </c>
      <c r="I16" s="1212" t="s">
        <v>1052</v>
      </c>
    </row>
    <row r="17" spans="1:12" ht="14.25">
      <c r="A17" s="3485"/>
      <c r="B17" s="3486" t="s">
        <v>1074</v>
      </c>
      <c r="C17" s="3486"/>
      <c r="D17" s="1213"/>
      <c r="E17" s="1213"/>
      <c r="F17" s="1214"/>
      <c r="G17" s="1215"/>
      <c r="H17" s="1225"/>
      <c r="I17" s="1226">
        <f>ROUND(D17*E17*F17*G17/10000,0)</f>
        <v>0</v>
      </c>
    </row>
    <row r="18" spans="1:12" ht="14.25">
      <c r="A18" s="3485"/>
      <c r="B18" s="3486" t="s">
        <v>1075</v>
      </c>
      <c r="C18" s="3486"/>
      <c r="D18" s="1213"/>
      <c r="E18" s="1213"/>
      <c r="F18" s="1214"/>
      <c r="G18" s="1215"/>
      <c r="H18" s="1225"/>
      <c r="I18" s="1226">
        <f>ROUND(D18*E18*F18*G18/10000,0)</f>
        <v>0</v>
      </c>
    </row>
    <row r="19" spans="1:12" ht="14.25">
      <c r="A19" s="3485"/>
      <c r="B19" s="3486" t="s">
        <v>1076</v>
      </c>
      <c r="C19" s="3486"/>
      <c r="D19" s="1213"/>
      <c r="E19" s="1213"/>
      <c r="F19" s="1214"/>
      <c r="G19" s="1215"/>
      <c r="H19" s="1225"/>
      <c r="I19" s="1226">
        <f>ROUND(D19*E19*F19*G19/10000,0)</f>
        <v>0</v>
      </c>
    </row>
    <row r="20" spans="1:12">
      <c r="A20" s="3485"/>
      <c r="B20" s="3487" t="s">
        <v>1060</v>
      </c>
      <c r="C20" s="3487"/>
      <c r="D20" s="1217">
        <f>SUM(D17:D19)</f>
        <v>0</v>
      </c>
      <c r="E20" s="1217"/>
      <c r="F20" s="1218"/>
      <c r="G20" s="1215"/>
      <c r="H20" s="1222"/>
      <c r="I20" s="1223">
        <f>SUM(I17:I19)</f>
        <v>0</v>
      </c>
    </row>
    <row r="21" spans="1:12">
      <c r="A21" s="3485" t="s">
        <v>1077</v>
      </c>
      <c r="B21" s="3489"/>
      <c r="C21" s="3489"/>
      <c r="D21" s="3489"/>
      <c r="E21" s="3489"/>
      <c r="F21" s="3489"/>
      <c r="G21" s="3489"/>
      <c r="H21" s="1503">
        <v>0.1</v>
      </c>
      <c r="I21" s="1220">
        <f>ROUND(I10*H21,0)</f>
        <v>508</v>
      </c>
    </row>
    <row r="22" spans="1:12" ht="14.25">
      <c r="A22" s="3490" t="s">
        <v>1078</v>
      </c>
      <c r="B22" s="3491"/>
      <c r="C22" s="3492"/>
      <c r="D22" s="1227" t="s">
        <v>1079</v>
      </c>
      <c r="E22" s="1227" t="s">
        <v>1080</v>
      </c>
      <c r="F22" s="1228" t="s">
        <v>1081</v>
      </c>
      <c r="G22" s="1228" t="s">
        <v>1082</v>
      </c>
      <c r="H22" s="1221" t="s">
        <v>1083</v>
      </c>
      <c r="I22" s="1212" t="s">
        <v>1084</v>
      </c>
    </row>
    <row r="23" spans="1:12" ht="14.25" thickBot="1">
      <c r="A23" s="3493"/>
      <c r="B23" s="3494"/>
      <c r="C23" s="3495"/>
      <c r="D23" s="1229"/>
      <c r="E23" s="1229"/>
      <c r="F23" s="1229"/>
      <c r="G23" s="1230"/>
      <c r="H23" s="1231"/>
      <c r="I23" s="1232">
        <f>ROUND(E23*D23*F23*(1-G23)/10000,0)</f>
        <v>0</v>
      </c>
    </row>
    <row r="26" spans="1:12">
      <c r="A26" s="1233" t="s">
        <v>1085</v>
      </c>
      <c r="B26" s="1233"/>
      <c r="C26" s="1233"/>
      <c r="D26" s="1233"/>
      <c r="E26" s="3496">
        <f>C27-C30-C31-C32</f>
        <v>3351</v>
      </c>
      <c r="F26" s="3496"/>
      <c r="G26" s="3496"/>
      <c r="H26" s="1500" t="s">
        <v>1306</v>
      </c>
      <c r="L26">
        <f>E26/'数据-汇总表'!F27*10000/365</f>
        <v>2.0465633782232646</v>
      </c>
    </row>
    <row r="27" spans="1:12">
      <c r="A27" s="1234">
        <v>1</v>
      </c>
      <c r="B27" s="1235" t="s">
        <v>1086</v>
      </c>
      <c r="C27" s="1235">
        <f>C28+C29</f>
        <v>5585</v>
      </c>
      <c r="D27" s="1235"/>
      <c r="E27" s="3497"/>
      <c r="F27" s="3497"/>
      <c r="G27" s="3497"/>
    </row>
    <row r="28" spans="1:12">
      <c r="A28" s="1236" t="s">
        <v>1087</v>
      </c>
      <c r="B28" s="1235" t="s">
        <v>1088</v>
      </c>
      <c r="C28" s="1235">
        <f>I10</f>
        <v>5077</v>
      </c>
      <c r="D28" s="1235"/>
      <c r="E28" s="3497"/>
      <c r="F28" s="3497"/>
      <c r="G28" s="3497"/>
    </row>
    <row r="29" spans="1:12">
      <c r="A29" s="1236" t="s">
        <v>1089</v>
      </c>
      <c r="B29" s="1235" t="s">
        <v>1090</v>
      </c>
      <c r="C29" s="1235">
        <f>I21</f>
        <v>508</v>
      </c>
      <c r="D29" s="1235"/>
      <c r="E29" s="1235" t="s">
        <v>1091</v>
      </c>
      <c r="F29" s="1235"/>
      <c r="G29" s="1235"/>
    </row>
    <row r="30" spans="1:12">
      <c r="A30" s="1234">
        <v>2</v>
      </c>
      <c r="B30" s="1235" t="s">
        <v>1092</v>
      </c>
      <c r="C30" s="1235">
        <f>C27*D30</f>
        <v>1117</v>
      </c>
      <c r="D30" s="1237">
        <v>0.2</v>
      </c>
      <c r="E30" s="1235" t="s">
        <v>1093</v>
      </c>
      <c r="F30" s="1235"/>
      <c r="G30" s="1235"/>
    </row>
    <row r="31" spans="1:12">
      <c r="A31" s="1234">
        <v>3</v>
      </c>
      <c r="B31" s="1235" t="s">
        <v>1094</v>
      </c>
      <c r="C31" s="1235">
        <f>C27*D31</f>
        <v>837.75</v>
      </c>
      <c r="D31" s="1237">
        <v>0.15</v>
      </c>
      <c r="E31" s="1235" t="s">
        <v>1095</v>
      </c>
      <c r="F31" s="1235"/>
      <c r="G31" s="1235"/>
    </row>
    <row r="32" spans="1:12">
      <c r="A32" s="1234">
        <v>4</v>
      </c>
      <c r="B32" s="1235" t="s">
        <v>1096</v>
      </c>
      <c r="C32" s="1235">
        <f>C27*D32</f>
        <v>279.25</v>
      </c>
      <c r="D32" s="1237">
        <v>0.05</v>
      </c>
      <c r="E32" s="3488"/>
      <c r="F32" s="3488"/>
      <c r="G32" s="3488"/>
    </row>
    <row r="33" spans="1:11" hidden="1">
      <c r="A33" s="3498" t="s">
        <v>1097</v>
      </c>
      <c r="B33" s="3499"/>
      <c r="C33" s="3499"/>
      <c r="D33" s="3500"/>
      <c r="E33" s="3496"/>
      <c r="F33" s="3496"/>
      <c r="G33" s="3496"/>
    </row>
    <row r="34" spans="1:11" hidden="1">
      <c r="A34" s="1238">
        <v>1</v>
      </c>
      <c r="B34" s="1235" t="s">
        <v>1098</v>
      </c>
      <c r="C34" s="1235"/>
      <c r="D34" s="1235"/>
      <c r="E34" s="3497"/>
      <c r="F34" s="3497"/>
      <c r="G34" s="3497"/>
    </row>
    <row r="35" spans="1:11" hidden="1">
      <c r="A35" s="1238">
        <v>2</v>
      </c>
      <c r="B35" s="1235" t="s">
        <v>1099</v>
      </c>
      <c r="C35" s="1235"/>
      <c r="D35" s="1235"/>
      <c r="E35" s="3497"/>
      <c r="F35" s="3497"/>
      <c r="G35" s="3497"/>
    </row>
    <row r="36" spans="1:11" hidden="1">
      <c r="A36" s="1238">
        <v>3</v>
      </c>
      <c r="B36" s="1235" t="s">
        <v>1100</v>
      </c>
      <c r="C36" s="1235"/>
      <c r="D36" s="1235"/>
      <c r="E36" s="3497"/>
      <c r="F36" s="3497"/>
      <c r="G36" s="3497"/>
    </row>
    <row r="37" spans="1:11" hidden="1">
      <c r="A37" s="1238">
        <v>4</v>
      </c>
      <c r="B37" s="1235" t="s">
        <v>1101</v>
      </c>
      <c r="C37" s="1235"/>
      <c r="D37" s="1235"/>
      <c r="E37" s="3497"/>
      <c r="F37" s="3497"/>
      <c r="G37" s="3497"/>
    </row>
    <row r="38" spans="1:11" hidden="1">
      <c r="A38" s="3498" t="s">
        <v>1102</v>
      </c>
      <c r="B38" s="3499"/>
      <c r="C38" s="3499"/>
      <c r="D38" s="3500"/>
      <c r="E38" s="3496"/>
      <c r="F38" s="3496"/>
      <c r="G38" s="3496"/>
    </row>
    <row r="40" spans="1:11">
      <c r="I40" s="3176" t="s">
        <v>3460</v>
      </c>
      <c r="J40" s="3189" t="s">
        <v>3468</v>
      </c>
    </row>
    <row r="41" spans="1:11">
      <c r="I41" s="3192" t="s">
        <v>3466</v>
      </c>
      <c r="J41" s="3192" t="s">
        <v>3467</v>
      </c>
      <c r="K41" s="3189" t="s">
        <v>3469</v>
      </c>
    </row>
    <row r="42" spans="1:11">
      <c r="I42" s="3193">
        <v>43948</v>
      </c>
      <c r="J42" s="3193">
        <v>36456</v>
      </c>
      <c r="K42">
        <v>40202</v>
      </c>
    </row>
    <row r="43" spans="1:11">
      <c r="F43" s="3176" t="s">
        <v>3459</v>
      </c>
      <c r="I43" s="3192">
        <v>9797</v>
      </c>
      <c r="J43" s="3193">
        <v>8127</v>
      </c>
      <c r="K43">
        <v>8962</v>
      </c>
    </row>
    <row r="44" spans="1:11">
      <c r="F44" s="3190" t="s">
        <v>3458</v>
      </c>
      <c r="G44" s="3191">
        <v>1.2</v>
      </c>
      <c r="I44" s="3189"/>
    </row>
    <row r="45" spans="1:11">
      <c r="F45" s="3190" t="s">
        <v>3457</v>
      </c>
      <c r="G45" s="3191">
        <v>1670</v>
      </c>
    </row>
    <row r="46" spans="1:11">
      <c r="F46" s="3190" t="s">
        <v>3464</v>
      </c>
      <c r="G46" s="3191">
        <v>18884</v>
      </c>
      <c r="H46" s="3189" t="s">
        <v>3472</v>
      </c>
      <c r="I46" s="3189"/>
    </row>
    <row r="47" spans="1:11">
      <c r="F47" s="3190" t="s">
        <v>3465</v>
      </c>
      <c r="G47" s="3191">
        <v>4210</v>
      </c>
      <c r="I47" s="3189" t="s">
        <v>3470</v>
      </c>
      <c r="J47" s="3194">
        <f>ROUND(K42-3000*'数据-汇总表'!F27/10000,0)</f>
        <v>26744</v>
      </c>
    </row>
    <row r="48" spans="1:11">
      <c r="F48" s="3191"/>
      <c r="G48" s="3191"/>
      <c r="I48" s="3189" t="s">
        <v>3471</v>
      </c>
      <c r="J48">
        <f>ROUND(K42-2000*'数据-汇总表'!F27/10000,0)</f>
        <v>31230</v>
      </c>
    </row>
    <row r="49" spans="6:9">
      <c r="F49" s="3191" t="str">
        <f>成本!B11</f>
        <v>精装修工程费</v>
      </c>
      <c r="G49" s="3191">
        <f>'数据-汇总表'!F19*2000/10000</f>
        <v>8971.94</v>
      </c>
      <c r="I49" s="3189"/>
    </row>
    <row r="51" spans="6:9">
      <c r="F51" s="3189"/>
      <c r="G51">
        <f>G46+G49</f>
        <v>27855.940000000002</v>
      </c>
    </row>
    <row r="52" spans="6:9">
      <c r="F52" s="3189"/>
      <c r="G52">
        <f>ROUND(G51/'数据-汇总表'!F27*10000,0)</f>
        <v>6210</v>
      </c>
    </row>
    <row r="54" spans="6:9">
      <c r="F54" s="3189" t="s">
        <v>3461</v>
      </c>
      <c r="G54">
        <v>26606</v>
      </c>
    </row>
    <row r="55" spans="6:9">
      <c r="F55" s="3189" t="s">
        <v>3463</v>
      </c>
      <c r="G55">
        <v>5931</v>
      </c>
    </row>
    <row r="56" spans="6:9">
      <c r="F56" s="3189" t="s">
        <v>3462</v>
      </c>
      <c r="G56">
        <v>23517</v>
      </c>
    </row>
    <row r="57" spans="6:9">
      <c r="F57" s="3189" t="s">
        <v>3463</v>
      </c>
      <c r="G57">
        <v>5243</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workbookViewId="0">
      <selection activeCell="H7" sqref="H7"/>
    </sheetView>
  </sheetViews>
  <sheetFormatPr defaultRowHeight="13.5"/>
  <cols>
    <col min="1" max="1" width="9" style="3150"/>
    <col min="2" max="2" width="14.125" style="3150" bestFit="1" customWidth="1"/>
    <col min="3" max="3" width="11.25" style="3150" bestFit="1" customWidth="1"/>
    <col min="4" max="4" width="10.25" style="3150" bestFit="1" customWidth="1"/>
    <col min="5" max="5" width="11.25" style="3150" bestFit="1" customWidth="1"/>
    <col min="6" max="6" width="14.5" style="3150" bestFit="1" customWidth="1"/>
    <col min="7" max="8" width="12.75" style="3150" bestFit="1" customWidth="1"/>
    <col min="9" max="257" width="9" style="3150"/>
    <col min="258" max="258" width="14.125" style="3150" bestFit="1" customWidth="1"/>
    <col min="259" max="259" width="11.25" style="3150" bestFit="1" customWidth="1"/>
    <col min="260" max="260" width="10.25" style="3150" bestFit="1" customWidth="1"/>
    <col min="261" max="261" width="11.25" style="3150" bestFit="1" customWidth="1"/>
    <col min="262" max="262" width="14.5" style="3150" bestFit="1" customWidth="1"/>
    <col min="263" max="263" width="12.75" style="3150" bestFit="1" customWidth="1"/>
    <col min="264" max="513" width="9" style="3150"/>
    <col min="514" max="514" width="14.125" style="3150" bestFit="1" customWidth="1"/>
    <col min="515" max="515" width="11.25" style="3150" bestFit="1" customWidth="1"/>
    <col min="516" max="516" width="10.25" style="3150" bestFit="1" customWidth="1"/>
    <col min="517" max="517" width="11.25" style="3150" bestFit="1" customWidth="1"/>
    <col min="518" max="518" width="14.5" style="3150" bestFit="1" customWidth="1"/>
    <col min="519" max="519" width="12.75" style="3150" bestFit="1" customWidth="1"/>
    <col min="520" max="769" width="9" style="3150"/>
    <col min="770" max="770" width="14.125" style="3150" bestFit="1" customWidth="1"/>
    <col min="771" max="771" width="11.25" style="3150" bestFit="1" customWidth="1"/>
    <col min="772" max="772" width="10.25" style="3150" bestFit="1" customWidth="1"/>
    <col min="773" max="773" width="11.25" style="3150" bestFit="1" customWidth="1"/>
    <col min="774" max="774" width="14.5" style="3150" bestFit="1" customWidth="1"/>
    <col min="775" max="775" width="12.75" style="3150" bestFit="1" customWidth="1"/>
    <col min="776" max="1025" width="9" style="3150"/>
    <col min="1026" max="1026" width="14.125" style="3150" bestFit="1" customWidth="1"/>
    <col min="1027" max="1027" width="11.25" style="3150" bestFit="1" customWidth="1"/>
    <col min="1028" max="1028" width="10.25" style="3150" bestFit="1" customWidth="1"/>
    <col min="1029" max="1029" width="11.25" style="3150" bestFit="1" customWidth="1"/>
    <col min="1030" max="1030" width="14.5" style="3150" bestFit="1" customWidth="1"/>
    <col min="1031" max="1031" width="12.75" style="3150" bestFit="1" customWidth="1"/>
    <col min="1032" max="1281" width="9" style="3150"/>
    <col min="1282" max="1282" width="14.125" style="3150" bestFit="1" customWidth="1"/>
    <col min="1283" max="1283" width="11.25" style="3150" bestFit="1" customWidth="1"/>
    <col min="1284" max="1284" width="10.25" style="3150" bestFit="1" customWidth="1"/>
    <col min="1285" max="1285" width="11.25" style="3150" bestFit="1" customWidth="1"/>
    <col min="1286" max="1286" width="14.5" style="3150" bestFit="1" customWidth="1"/>
    <col min="1287" max="1287" width="12.75" style="3150" bestFit="1" customWidth="1"/>
    <col min="1288" max="1537" width="9" style="3150"/>
    <col min="1538" max="1538" width="14.125" style="3150" bestFit="1" customWidth="1"/>
    <col min="1539" max="1539" width="11.25" style="3150" bestFit="1" customWidth="1"/>
    <col min="1540" max="1540" width="10.25" style="3150" bestFit="1" customWidth="1"/>
    <col min="1541" max="1541" width="11.25" style="3150" bestFit="1" customWidth="1"/>
    <col min="1542" max="1542" width="14.5" style="3150" bestFit="1" customWidth="1"/>
    <col min="1543" max="1543" width="12.75" style="3150" bestFit="1" customWidth="1"/>
    <col min="1544" max="1793" width="9" style="3150"/>
    <col min="1794" max="1794" width="14.125" style="3150" bestFit="1" customWidth="1"/>
    <col min="1795" max="1795" width="11.25" style="3150" bestFit="1" customWidth="1"/>
    <col min="1796" max="1796" width="10.25" style="3150" bestFit="1" customWidth="1"/>
    <col min="1797" max="1797" width="11.25" style="3150" bestFit="1" customWidth="1"/>
    <col min="1798" max="1798" width="14.5" style="3150" bestFit="1" customWidth="1"/>
    <col min="1799" max="1799" width="12.75" style="3150" bestFit="1" customWidth="1"/>
    <col min="1800" max="2049" width="9" style="3150"/>
    <col min="2050" max="2050" width="14.125" style="3150" bestFit="1" customWidth="1"/>
    <col min="2051" max="2051" width="11.25" style="3150" bestFit="1" customWidth="1"/>
    <col min="2052" max="2052" width="10.25" style="3150" bestFit="1" customWidth="1"/>
    <col min="2053" max="2053" width="11.25" style="3150" bestFit="1" customWidth="1"/>
    <col min="2054" max="2054" width="14.5" style="3150" bestFit="1" customWidth="1"/>
    <col min="2055" max="2055" width="12.75" style="3150" bestFit="1" customWidth="1"/>
    <col min="2056" max="2305" width="9" style="3150"/>
    <col min="2306" max="2306" width="14.125" style="3150" bestFit="1" customWidth="1"/>
    <col min="2307" max="2307" width="11.25" style="3150" bestFit="1" customWidth="1"/>
    <col min="2308" max="2308" width="10.25" style="3150" bestFit="1" customWidth="1"/>
    <col min="2309" max="2309" width="11.25" style="3150" bestFit="1" customWidth="1"/>
    <col min="2310" max="2310" width="14.5" style="3150" bestFit="1" customWidth="1"/>
    <col min="2311" max="2311" width="12.75" style="3150" bestFit="1" customWidth="1"/>
    <col min="2312" max="2561" width="9" style="3150"/>
    <col min="2562" max="2562" width="14.125" style="3150" bestFit="1" customWidth="1"/>
    <col min="2563" max="2563" width="11.25" style="3150" bestFit="1" customWidth="1"/>
    <col min="2564" max="2564" width="10.25" style="3150" bestFit="1" customWidth="1"/>
    <col min="2565" max="2565" width="11.25" style="3150" bestFit="1" customWidth="1"/>
    <col min="2566" max="2566" width="14.5" style="3150" bestFit="1" customWidth="1"/>
    <col min="2567" max="2567" width="12.75" style="3150" bestFit="1" customWidth="1"/>
    <col min="2568" max="2817" width="9" style="3150"/>
    <col min="2818" max="2818" width="14.125" style="3150" bestFit="1" customWidth="1"/>
    <col min="2819" max="2819" width="11.25" style="3150" bestFit="1" customWidth="1"/>
    <col min="2820" max="2820" width="10.25" style="3150" bestFit="1" customWidth="1"/>
    <col min="2821" max="2821" width="11.25" style="3150" bestFit="1" customWidth="1"/>
    <col min="2822" max="2822" width="14.5" style="3150" bestFit="1" customWidth="1"/>
    <col min="2823" max="2823" width="12.75" style="3150" bestFit="1" customWidth="1"/>
    <col min="2824" max="3073" width="9" style="3150"/>
    <col min="3074" max="3074" width="14.125" style="3150" bestFit="1" customWidth="1"/>
    <col min="3075" max="3075" width="11.25" style="3150" bestFit="1" customWidth="1"/>
    <col min="3076" max="3076" width="10.25" style="3150" bestFit="1" customWidth="1"/>
    <col min="3077" max="3077" width="11.25" style="3150" bestFit="1" customWidth="1"/>
    <col min="3078" max="3078" width="14.5" style="3150" bestFit="1" customWidth="1"/>
    <col min="3079" max="3079" width="12.75" style="3150" bestFit="1" customWidth="1"/>
    <col min="3080" max="3329" width="9" style="3150"/>
    <col min="3330" max="3330" width="14.125" style="3150" bestFit="1" customWidth="1"/>
    <col min="3331" max="3331" width="11.25" style="3150" bestFit="1" customWidth="1"/>
    <col min="3332" max="3332" width="10.25" style="3150" bestFit="1" customWidth="1"/>
    <col min="3333" max="3333" width="11.25" style="3150" bestFit="1" customWidth="1"/>
    <col min="3334" max="3334" width="14.5" style="3150" bestFit="1" customWidth="1"/>
    <col min="3335" max="3335" width="12.75" style="3150" bestFit="1" customWidth="1"/>
    <col min="3336" max="3585" width="9" style="3150"/>
    <col min="3586" max="3586" width="14.125" style="3150" bestFit="1" customWidth="1"/>
    <col min="3587" max="3587" width="11.25" style="3150" bestFit="1" customWidth="1"/>
    <col min="3588" max="3588" width="10.25" style="3150" bestFit="1" customWidth="1"/>
    <col min="3589" max="3589" width="11.25" style="3150" bestFit="1" customWidth="1"/>
    <col min="3590" max="3590" width="14.5" style="3150" bestFit="1" customWidth="1"/>
    <col min="3591" max="3591" width="12.75" style="3150" bestFit="1" customWidth="1"/>
    <col min="3592" max="3841" width="9" style="3150"/>
    <col min="3842" max="3842" width="14.125" style="3150" bestFit="1" customWidth="1"/>
    <col min="3843" max="3843" width="11.25" style="3150" bestFit="1" customWidth="1"/>
    <col min="3844" max="3844" width="10.25" style="3150" bestFit="1" customWidth="1"/>
    <col min="3845" max="3845" width="11.25" style="3150" bestFit="1" customWidth="1"/>
    <col min="3846" max="3846" width="14.5" style="3150" bestFit="1" customWidth="1"/>
    <col min="3847" max="3847" width="12.75" style="3150" bestFit="1" customWidth="1"/>
    <col min="3848" max="4097" width="9" style="3150"/>
    <col min="4098" max="4098" width="14.125" style="3150" bestFit="1" customWidth="1"/>
    <col min="4099" max="4099" width="11.25" style="3150" bestFit="1" customWidth="1"/>
    <col min="4100" max="4100" width="10.25" style="3150" bestFit="1" customWidth="1"/>
    <col min="4101" max="4101" width="11.25" style="3150" bestFit="1" customWidth="1"/>
    <col min="4102" max="4102" width="14.5" style="3150" bestFit="1" customWidth="1"/>
    <col min="4103" max="4103" width="12.75" style="3150" bestFit="1" customWidth="1"/>
    <col min="4104" max="4353" width="9" style="3150"/>
    <col min="4354" max="4354" width="14.125" style="3150" bestFit="1" customWidth="1"/>
    <col min="4355" max="4355" width="11.25" style="3150" bestFit="1" customWidth="1"/>
    <col min="4356" max="4356" width="10.25" style="3150" bestFit="1" customWidth="1"/>
    <col min="4357" max="4357" width="11.25" style="3150" bestFit="1" customWidth="1"/>
    <col min="4358" max="4358" width="14.5" style="3150" bestFit="1" customWidth="1"/>
    <col min="4359" max="4359" width="12.75" style="3150" bestFit="1" customWidth="1"/>
    <col min="4360" max="4609" width="9" style="3150"/>
    <col min="4610" max="4610" width="14.125" style="3150" bestFit="1" customWidth="1"/>
    <col min="4611" max="4611" width="11.25" style="3150" bestFit="1" customWidth="1"/>
    <col min="4612" max="4612" width="10.25" style="3150" bestFit="1" customWidth="1"/>
    <col min="4613" max="4613" width="11.25" style="3150" bestFit="1" customWidth="1"/>
    <col min="4614" max="4614" width="14.5" style="3150" bestFit="1" customWidth="1"/>
    <col min="4615" max="4615" width="12.75" style="3150" bestFit="1" customWidth="1"/>
    <col min="4616" max="4865" width="9" style="3150"/>
    <col min="4866" max="4866" width="14.125" style="3150" bestFit="1" customWidth="1"/>
    <col min="4867" max="4867" width="11.25" style="3150" bestFit="1" customWidth="1"/>
    <col min="4868" max="4868" width="10.25" style="3150" bestFit="1" customWidth="1"/>
    <col min="4869" max="4869" width="11.25" style="3150" bestFit="1" customWidth="1"/>
    <col min="4870" max="4870" width="14.5" style="3150" bestFit="1" customWidth="1"/>
    <col min="4871" max="4871" width="12.75" style="3150" bestFit="1" customWidth="1"/>
    <col min="4872" max="5121" width="9" style="3150"/>
    <col min="5122" max="5122" width="14.125" style="3150" bestFit="1" customWidth="1"/>
    <col min="5123" max="5123" width="11.25" style="3150" bestFit="1" customWidth="1"/>
    <col min="5124" max="5124" width="10.25" style="3150" bestFit="1" customWidth="1"/>
    <col min="5125" max="5125" width="11.25" style="3150" bestFit="1" customWidth="1"/>
    <col min="5126" max="5126" width="14.5" style="3150" bestFit="1" customWidth="1"/>
    <col min="5127" max="5127" width="12.75" style="3150" bestFit="1" customWidth="1"/>
    <col min="5128" max="5377" width="9" style="3150"/>
    <col min="5378" max="5378" width="14.125" style="3150" bestFit="1" customWidth="1"/>
    <col min="5379" max="5379" width="11.25" style="3150" bestFit="1" customWidth="1"/>
    <col min="5380" max="5380" width="10.25" style="3150" bestFit="1" customWidth="1"/>
    <col min="5381" max="5381" width="11.25" style="3150" bestFit="1" customWidth="1"/>
    <col min="5382" max="5382" width="14.5" style="3150" bestFit="1" customWidth="1"/>
    <col min="5383" max="5383" width="12.75" style="3150" bestFit="1" customWidth="1"/>
    <col min="5384" max="5633" width="9" style="3150"/>
    <col min="5634" max="5634" width="14.125" style="3150" bestFit="1" customWidth="1"/>
    <col min="5635" max="5635" width="11.25" style="3150" bestFit="1" customWidth="1"/>
    <col min="5636" max="5636" width="10.25" style="3150" bestFit="1" customWidth="1"/>
    <col min="5637" max="5637" width="11.25" style="3150" bestFit="1" customWidth="1"/>
    <col min="5638" max="5638" width="14.5" style="3150" bestFit="1" customWidth="1"/>
    <col min="5639" max="5639" width="12.75" style="3150" bestFit="1" customWidth="1"/>
    <col min="5640" max="5889" width="9" style="3150"/>
    <col min="5890" max="5890" width="14.125" style="3150" bestFit="1" customWidth="1"/>
    <col min="5891" max="5891" width="11.25" style="3150" bestFit="1" customWidth="1"/>
    <col min="5892" max="5892" width="10.25" style="3150" bestFit="1" customWidth="1"/>
    <col min="5893" max="5893" width="11.25" style="3150" bestFit="1" customWidth="1"/>
    <col min="5894" max="5894" width="14.5" style="3150" bestFit="1" customWidth="1"/>
    <col min="5895" max="5895" width="12.75" style="3150" bestFit="1" customWidth="1"/>
    <col min="5896" max="6145" width="9" style="3150"/>
    <col min="6146" max="6146" width="14.125" style="3150" bestFit="1" customWidth="1"/>
    <col min="6147" max="6147" width="11.25" style="3150" bestFit="1" customWidth="1"/>
    <col min="6148" max="6148" width="10.25" style="3150" bestFit="1" customWidth="1"/>
    <col min="6149" max="6149" width="11.25" style="3150" bestFit="1" customWidth="1"/>
    <col min="6150" max="6150" width="14.5" style="3150" bestFit="1" customWidth="1"/>
    <col min="6151" max="6151" width="12.75" style="3150" bestFit="1" customWidth="1"/>
    <col min="6152" max="6401" width="9" style="3150"/>
    <col min="6402" max="6402" width="14.125" style="3150" bestFit="1" customWidth="1"/>
    <col min="6403" max="6403" width="11.25" style="3150" bestFit="1" customWidth="1"/>
    <col min="6404" max="6404" width="10.25" style="3150" bestFit="1" customWidth="1"/>
    <col min="6405" max="6405" width="11.25" style="3150" bestFit="1" customWidth="1"/>
    <col min="6406" max="6406" width="14.5" style="3150" bestFit="1" customWidth="1"/>
    <col min="6407" max="6407" width="12.75" style="3150" bestFit="1" customWidth="1"/>
    <col min="6408" max="6657" width="9" style="3150"/>
    <col min="6658" max="6658" width="14.125" style="3150" bestFit="1" customWidth="1"/>
    <col min="6659" max="6659" width="11.25" style="3150" bestFit="1" customWidth="1"/>
    <col min="6660" max="6660" width="10.25" style="3150" bestFit="1" customWidth="1"/>
    <col min="6661" max="6661" width="11.25" style="3150" bestFit="1" customWidth="1"/>
    <col min="6662" max="6662" width="14.5" style="3150" bestFit="1" customWidth="1"/>
    <col min="6663" max="6663" width="12.75" style="3150" bestFit="1" customWidth="1"/>
    <col min="6664" max="6913" width="9" style="3150"/>
    <col min="6914" max="6914" width="14.125" style="3150" bestFit="1" customWidth="1"/>
    <col min="6915" max="6915" width="11.25" style="3150" bestFit="1" customWidth="1"/>
    <col min="6916" max="6916" width="10.25" style="3150" bestFit="1" customWidth="1"/>
    <col min="6917" max="6917" width="11.25" style="3150" bestFit="1" customWidth="1"/>
    <col min="6918" max="6918" width="14.5" style="3150" bestFit="1" customWidth="1"/>
    <col min="6919" max="6919" width="12.75" style="3150" bestFit="1" customWidth="1"/>
    <col min="6920" max="7169" width="9" style="3150"/>
    <col min="7170" max="7170" width="14.125" style="3150" bestFit="1" customWidth="1"/>
    <col min="7171" max="7171" width="11.25" style="3150" bestFit="1" customWidth="1"/>
    <col min="7172" max="7172" width="10.25" style="3150" bestFit="1" customWidth="1"/>
    <col min="7173" max="7173" width="11.25" style="3150" bestFit="1" customWidth="1"/>
    <col min="7174" max="7174" width="14.5" style="3150" bestFit="1" customWidth="1"/>
    <col min="7175" max="7175" width="12.75" style="3150" bestFit="1" customWidth="1"/>
    <col min="7176" max="7425" width="9" style="3150"/>
    <col min="7426" max="7426" width="14.125" style="3150" bestFit="1" customWidth="1"/>
    <col min="7427" max="7427" width="11.25" style="3150" bestFit="1" customWidth="1"/>
    <col min="7428" max="7428" width="10.25" style="3150" bestFit="1" customWidth="1"/>
    <col min="7429" max="7429" width="11.25" style="3150" bestFit="1" customWidth="1"/>
    <col min="7430" max="7430" width="14.5" style="3150" bestFit="1" customWidth="1"/>
    <col min="7431" max="7431" width="12.75" style="3150" bestFit="1" customWidth="1"/>
    <col min="7432" max="7681" width="9" style="3150"/>
    <col min="7682" max="7682" width="14.125" style="3150" bestFit="1" customWidth="1"/>
    <col min="7683" max="7683" width="11.25" style="3150" bestFit="1" customWidth="1"/>
    <col min="7684" max="7684" width="10.25" style="3150" bestFit="1" customWidth="1"/>
    <col min="7685" max="7685" width="11.25" style="3150" bestFit="1" customWidth="1"/>
    <col min="7686" max="7686" width="14.5" style="3150" bestFit="1" customWidth="1"/>
    <col min="7687" max="7687" width="12.75" style="3150" bestFit="1" customWidth="1"/>
    <col min="7688" max="7937" width="9" style="3150"/>
    <col min="7938" max="7938" width="14.125" style="3150" bestFit="1" customWidth="1"/>
    <col min="7939" max="7939" width="11.25" style="3150" bestFit="1" customWidth="1"/>
    <col min="7940" max="7940" width="10.25" style="3150" bestFit="1" customWidth="1"/>
    <col min="7941" max="7941" width="11.25" style="3150" bestFit="1" customWidth="1"/>
    <col min="7942" max="7942" width="14.5" style="3150" bestFit="1" customWidth="1"/>
    <col min="7943" max="7943" width="12.75" style="3150" bestFit="1" customWidth="1"/>
    <col min="7944" max="8193" width="9" style="3150"/>
    <col min="8194" max="8194" width="14.125" style="3150" bestFit="1" customWidth="1"/>
    <col min="8195" max="8195" width="11.25" style="3150" bestFit="1" customWidth="1"/>
    <col min="8196" max="8196" width="10.25" style="3150" bestFit="1" customWidth="1"/>
    <col min="8197" max="8197" width="11.25" style="3150" bestFit="1" customWidth="1"/>
    <col min="8198" max="8198" width="14.5" style="3150" bestFit="1" customWidth="1"/>
    <col min="8199" max="8199" width="12.75" style="3150" bestFit="1" customWidth="1"/>
    <col min="8200" max="8449" width="9" style="3150"/>
    <col min="8450" max="8450" width="14.125" style="3150" bestFit="1" customWidth="1"/>
    <col min="8451" max="8451" width="11.25" style="3150" bestFit="1" customWidth="1"/>
    <col min="8452" max="8452" width="10.25" style="3150" bestFit="1" customWidth="1"/>
    <col min="8453" max="8453" width="11.25" style="3150" bestFit="1" customWidth="1"/>
    <col min="8454" max="8454" width="14.5" style="3150" bestFit="1" customWidth="1"/>
    <col min="8455" max="8455" width="12.75" style="3150" bestFit="1" customWidth="1"/>
    <col min="8456" max="8705" width="9" style="3150"/>
    <col min="8706" max="8706" width="14.125" style="3150" bestFit="1" customWidth="1"/>
    <col min="8707" max="8707" width="11.25" style="3150" bestFit="1" customWidth="1"/>
    <col min="8708" max="8708" width="10.25" style="3150" bestFit="1" customWidth="1"/>
    <col min="8709" max="8709" width="11.25" style="3150" bestFit="1" customWidth="1"/>
    <col min="8710" max="8710" width="14.5" style="3150" bestFit="1" customWidth="1"/>
    <col min="8711" max="8711" width="12.75" style="3150" bestFit="1" customWidth="1"/>
    <col min="8712" max="8961" width="9" style="3150"/>
    <col min="8962" max="8962" width="14.125" style="3150" bestFit="1" customWidth="1"/>
    <col min="8963" max="8963" width="11.25" style="3150" bestFit="1" customWidth="1"/>
    <col min="8964" max="8964" width="10.25" style="3150" bestFit="1" customWidth="1"/>
    <col min="8965" max="8965" width="11.25" style="3150" bestFit="1" customWidth="1"/>
    <col min="8966" max="8966" width="14.5" style="3150" bestFit="1" customWidth="1"/>
    <col min="8967" max="8967" width="12.75" style="3150" bestFit="1" customWidth="1"/>
    <col min="8968" max="9217" width="9" style="3150"/>
    <col min="9218" max="9218" width="14.125" style="3150" bestFit="1" customWidth="1"/>
    <col min="9219" max="9219" width="11.25" style="3150" bestFit="1" customWidth="1"/>
    <col min="9220" max="9220" width="10.25" style="3150" bestFit="1" customWidth="1"/>
    <col min="9221" max="9221" width="11.25" style="3150" bestFit="1" customWidth="1"/>
    <col min="9222" max="9222" width="14.5" style="3150" bestFit="1" customWidth="1"/>
    <col min="9223" max="9223" width="12.75" style="3150" bestFit="1" customWidth="1"/>
    <col min="9224" max="9473" width="9" style="3150"/>
    <col min="9474" max="9474" width="14.125" style="3150" bestFit="1" customWidth="1"/>
    <col min="9475" max="9475" width="11.25" style="3150" bestFit="1" customWidth="1"/>
    <col min="9476" max="9476" width="10.25" style="3150" bestFit="1" customWidth="1"/>
    <col min="9477" max="9477" width="11.25" style="3150" bestFit="1" customWidth="1"/>
    <col min="9478" max="9478" width="14.5" style="3150" bestFit="1" customWidth="1"/>
    <col min="9479" max="9479" width="12.75" style="3150" bestFit="1" customWidth="1"/>
    <col min="9480" max="9729" width="9" style="3150"/>
    <col min="9730" max="9730" width="14.125" style="3150" bestFit="1" customWidth="1"/>
    <col min="9731" max="9731" width="11.25" style="3150" bestFit="1" customWidth="1"/>
    <col min="9732" max="9732" width="10.25" style="3150" bestFit="1" customWidth="1"/>
    <col min="9733" max="9733" width="11.25" style="3150" bestFit="1" customWidth="1"/>
    <col min="9734" max="9734" width="14.5" style="3150" bestFit="1" customWidth="1"/>
    <col min="9735" max="9735" width="12.75" style="3150" bestFit="1" customWidth="1"/>
    <col min="9736" max="9985" width="9" style="3150"/>
    <col min="9986" max="9986" width="14.125" style="3150" bestFit="1" customWidth="1"/>
    <col min="9987" max="9987" width="11.25" style="3150" bestFit="1" customWidth="1"/>
    <col min="9988" max="9988" width="10.25" style="3150" bestFit="1" customWidth="1"/>
    <col min="9989" max="9989" width="11.25" style="3150" bestFit="1" customWidth="1"/>
    <col min="9990" max="9990" width="14.5" style="3150" bestFit="1" customWidth="1"/>
    <col min="9991" max="9991" width="12.75" style="3150" bestFit="1" customWidth="1"/>
    <col min="9992" max="10241" width="9" style="3150"/>
    <col min="10242" max="10242" width="14.125" style="3150" bestFit="1" customWidth="1"/>
    <col min="10243" max="10243" width="11.25" style="3150" bestFit="1" customWidth="1"/>
    <col min="10244" max="10244" width="10.25" style="3150" bestFit="1" customWidth="1"/>
    <col min="10245" max="10245" width="11.25" style="3150" bestFit="1" customWidth="1"/>
    <col min="10246" max="10246" width="14.5" style="3150" bestFit="1" customWidth="1"/>
    <col min="10247" max="10247" width="12.75" style="3150" bestFit="1" customWidth="1"/>
    <col min="10248" max="10497" width="9" style="3150"/>
    <col min="10498" max="10498" width="14.125" style="3150" bestFit="1" customWidth="1"/>
    <col min="10499" max="10499" width="11.25" style="3150" bestFit="1" customWidth="1"/>
    <col min="10500" max="10500" width="10.25" style="3150" bestFit="1" customWidth="1"/>
    <col min="10501" max="10501" width="11.25" style="3150" bestFit="1" customWidth="1"/>
    <col min="10502" max="10502" width="14.5" style="3150" bestFit="1" customWidth="1"/>
    <col min="10503" max="10503" width="12.75" style="3150" bestFit="1" customWidth="1"/>
    <col min="10504" max="10753" width="9" style="3150"/>
    <col min="10754" max="10754" width="14.125" style="3150" bestFit="1" customWidth="1"/>
    <col min="10755" max="10755" width="11.25" style="3150" bestFit="1" customWidth="1"/>
    <col min="10756" max="10756" width="10.25" style="3150" bestFit="1" customWidth="1"/>
    <col min="10757" max="10757" width="11.25" style="3150" bestFit="1" customWidth="1"/>
    <col min="10758" max="10758" width="14.5" style="3150" bestFit="1" customWidth="1"/>
    <col min="10759" max="10759" width="12.75" style="3150" bestFit="1" customWidth="1"/>
    <col min="10760" max="11009" width="9" style="3150"/>
    <col min="11010" max="11010" width="14.125" style="3150" bestFit="1" customWidth="1"/>
    <col min="11011" max="11011" width="11.25" style="3150" bestFit="1" customWidth="1"/>
    <col min="11012" max="11012" width="10.25" style="3150" bestFit="1" customWidth="1"/>
    <col min="11013" max="11013" width="11.25" style="3150" bestFit="1" customWidth="1"/>
    <col min="11014" max="11014" width="14.5" style="3150" bestFit="1" customWidth="1"/>
    <col min="11015" max="11015" width="12.75" style="3150" bestFit="1" customWidth="1"/>
    <col min="11016" max="11265" width="9" style="3150"/>
    <col min="11266" max="11266" width="14.125" style="3150" bestFit="1" customWidth="1"/>
    <col min="11267" max="11267" width="11.25" style="3150" bestFit="1" customWidth="1"/>
    <col min="11268" max="11268" width="10.25" style="3150" bestFit="1" customWidth="1"/>
    <col min="11269" max="11269" width="11.25" style="3150" bestFit="1" customWidth="1"/>
    <col min="11270" max="11270" width="14.5" style="3150" bestFit="1" customWidth="1"/>
    <col min="11271" max="11271" width="12.75" style="3150" bestFit="1" customWidth="1"/>
    <col min="11272" max="11521" width="9" style="3150"/>
    <col min="11522" max="11522" width="14.125" style="3150" bestFit="1" customWidth="1"/>
    <col min="11523" max="11523" width="11.25" style="3150" bestFit="1" customWidth="1"/>
    <col min="11524" max="11524" width="10.25" style="3150" bestFit="1" customWidth="1"/>
    <col min="11525" max="11525" width="11.25" style="3150" bestFit="1" customWidth="1"/>
    <col min="11526" max="11526" width="14.5" style="3150" bestFit="1" customWidth="1"/>
    <col min="11527" max="11527" width="12.75" style="3150" bestFit="1" customWidth="1"/>
    <col min="11528" max="11777" width="9" style="3150"/>
    <col min="11778" max="11778" width="14.125" style="3150" bestFit="1" customWidth="1"/>
    <col min="11779" max="11779" width="11.25" style="3150" bestFit="1" customWidth="1"/>
    <col min="11780" max="11780" width="10.25" style="3150" bestFit="1" customWidth="1"/>
    <col min="11781" max="11781" width="11.25" style="3150" bestFit="1" customWidth="1"/>
    <col min="11782" max="11782" width="14.5" style="3150" bestFit="1" customWidth="1"/>
    <col min="11783" max="11783" width="12.75" style="3150" bestFit="1" customWidth="1"/>
    <col min="11784" max="12033" width="9" style="3150"/>
    <col min="12034" max="12034" width="14.125" style="3150" bestFit="1" customWidth="1"/>
    <col min="12035" max="12035" width="11.25" style="3150" bestFit="1" customWidth="1"/>
    <col min="12036" max="12036" width="10.25" style="3150" bestFit="1" customWidth="1"/>
    <col min="12037" max="12037" width="11.25" style="3150" bestFit="1" customWidth="1"/>
    <col min="12038" max="12038" width="14.5" style="3150" bestFit="1" customWidth="1"/>
    <col min="12039" max="12039" width="12.75" style="3150" bestFit="1" customWidth="1"/>
    <col min="12040" max="12289" width="9" style="3150"/>
    <col min="12290" max="12290" width="14.125" style="3150" bestFit="1" customWidth="1"/>
    <col min="12291" max="12291" width="11.25" style="3150" bestFit="1" customWidth="1"/>
    <col min="12292" max="12292" width="10.25" style="3150" bestFit="1" customWidth="1"/>
    <col min="12293" max="12293" width="11.25" style="3150" bestFit="1" customWidth="1"/>
    <col min="12294" max="12294" width="14.5" style="3150" bestFit="1" customWidth="1"/>
    <col min="12295" max="12295" width="12.75" style="3150" bestFit="1" customWidth="1"/>
    <col min="12296" max="12545" width="9" style="3150"/>
    <col min="12546" max="12546" width="14.125" style="3150" bestFit="1" customWidth="1"/>
    <col min="12547" max="12547" width="11.25" style="3150" bestFit="1" customWidth="1"/>
    <col min="12548" max="12548" width="10.25" style="3150" bestFit="1" customWidth="1"/>
    <col min="12549" max="12549" width="11.25" style="3150" bestFit="1" customWidth="1"/>
    <col min="12550" max="12550" width="14.5" style="3150" bestFit="1" customWidth="1"/>
    <col min="12551" max="12551" width="12.75" style="3150" bestFit="1" customWidth="1"/>
    <col min="12552" max="12801" width="9" style="3150"/>
    <col min="12802" max="12802" width="14.125" style="3150" bestFit="1" customWidth="1"/>
    <col min="12803" max="12803" width="11.25" style="3150" bestFit="1" customWidth="1"/>
    <col min="12804" max="12804" width="10.25" style="3150" bestFit="1" customWidth="1"/>
    <col min="12805" max="12805" width="11.25" style="3150" bestFit="1" customWidth="1"/>
    <col min="12806" max="12806" width="14.5" style="3150" bestFit="1" customWidth="1"/>
    <col min="12807" max="12807" width="12.75" style="3150" bestFit="1" customWidth="1"/>
    <col min="12808" max="13057" width="9" style="3150"/>
    <col min="13058" max="13058" width="14.125" style="3150" bestFit="1" customWidth="1"/>
    <col min="13059" max="13059" width="11.25" style="3150" bestFit="1" customWidth="1"/>
    <col min="13060" max="13060" width="10.25" style="3150" bestFit="1" customWidth="1"/>
    <col min="13061" max="13061" width="11.25" style="3150" bestFit="1" customWidth="1"/>
    <col min="13062" max="13062" width="14.5" style="3150" bestFit="1" customWidth="1"/>
    <col min="13063" max="13063" width="12.75" style="3150" bestFit="1" customWidth="1"/>
    <col min="13064" max="13313" width="9" style="3150"/>
    <col min="13314" max="13314" width="14.125" style="3150" bestFit="1" customWidth="1"/>
    <col min="13315" max="13315" width="11.25" style="3150" bestFit="1" customWidth="1"/>
    <col min="13316" max="13316" width="10.25" style="3150" bestFit="1" customWidth="1"/>
    <col min="13317" max="13317" width="11.25" style="3150" bestFit="1" customWidth="1"/>
    <col min="13318" max="13318" width="14.5" style="3150" bestFit="1" customWidth="1"/>
    <col min="13319" max="13319" width="12.75" style="3150" bestFit="1" customWidth="1"/>
    <col min="13320" max="13569" width="9" style="3150"/>
    <col min="13570" max="13570" width="14.125" style="3150" bestFit="1" customWidth="1"/>
    <col min="13571" max="13571" width="11.25" style="3150" bestFit="1" customWidth="1"/>
    <col min="13572" max="13572" width="10.25" style="3150" bestFit="1" customWidth="1"/>
    <col min="13573" max="13573" width="11.25" style="3150" bestFit="1" customWidth="1"/>
    <col min="13574" max="13574" width="14.5" style="3150" bestFit="1" customWidth="1"/>
    <col min="13575" max="13575" width="12.75" style="3150" bestFit="1" customWidth="1"/>
    <col min="13576" max="13825" width="9" style="3150"/>
    <col min="13826" max="13826" width="14.125" style="3150" bestFit="1" customWidth="1"/>
    <col min="13827" max="13827" width="11.25" style="3150" bestFit="1" customWidth="1"/>
    <col min="13828" max="13828" width="10.25" style="3150" bestFit="1" customWidth="1"/>
    <col min="13829" max="13829" width="11.25" style="3150" bestFit="1" customWidth="1"/>
    <col min="13830" max="13830" width="14.5" style="3150" bestFit="1" customWidth="1"/>
    <col min="13831" max="13831" width="12.75" style="3150" bestFit="1" customWidth="1"/>
    <col min="13832" max="14081" width="9" style="3150"/>
    <col min="14082" max="14082" width="14.125" style="3150" bestFit="1" customWidth="1"/>
    <col min="14083" max="14083" width="11.25" style="3150" bestFit="1" customWidth="1"/>
    <col min="14084" max="14084" width="10.25" style="3150" bestFit="1" customWidth="1"/>
    <col min="14085" max="14085" width="11.25" style="3150" bestFit="1" customWidth="1"/>
    <col min="14086" max="14086" width="14.5" style="3150" bestFit="1" customWidth="1"/>
    <col min="14087" max="14087" width="12.75" style="3150" bestFit="1" customWidth="1"/>
    <col min="14088" max="14337" width="9" style="3150"/>
    <col min="14338" max="14338" width="14.125" style="3150" bestFit="1" customWidth="1"/>
    <col min="14339" max="14339" width="11.25" style="3150" bestFit="1" customWidth="1"/>
    <col min="14340" max="14340" width="10.25" style="3150" bestFit="1" customWidth="1"/>
    <col min="14341" max="14341" width="11.25" style="3150" bestFit="1" customWidth="1"/>
    <col min="14342" max="14342" width="14.5" style="3150" bestFit="1" customWidth="1"/>
    <col min="14343" max="14343" width="12.75" style="3150" bestFit="1" customWidth="1"/>
    <col min="14344" max="14593" width="9" style="3150"/>
    <col min="14594" max="14594" width="14.125" style="3150" bestFit="1" customWidth="1"/>
    <col min="14595" max="14595" width="11.25" style="3150" bestFit="1" customWidth="1"/>
    <col min="14596" max="14596" width="10.25" style="3150" bestFit="1" customWidth="1"/>
    <col min="14597" max="14597" width="11.25" style="3150" bestFit="1" customWidth="1"/>
    <col min="14598" max="14598" width="14.5" style="3150" bestFit="1" customWidth="1"/>
    <col min="14599" max="14599" width="12.75" style="3150" bestFit="1" customWidth="1"/>
    <col min="14600" max="14849" width="9" style="3150"/>
    <col min="14850" max="14850" width="14.125" style="3150" bestFit="1" customWidth="1"/>
    <col min="14851" max="14851" width="11.25" style="3150" bestFit="1" customWidth="1"/>
    <col min="14852" max="14852" width="10.25" style="3150" bestFit="1" customWidth="1"/>
    <col min="14853" max="14853" width="11.25" style="3150" bestFit="1" customWidth="1"/>
    <col min="14854" max="14854" width="14.5" style="3150" bestFit="1" customWidth="1"/>
    <col min="14855" max="14855" width="12.75" style="3150" bestFit="1" customWidth="1"/>
    <col min="14856" max="15105" width="9" style="3150"/>
    <col min="15106" max="15106" width="14.125" style="3150" bestFit="1" customWidth="1"/>
    <col min="15107" max="15107" width="11.25" style="3150" bestFit="1" customWidth="1"/>
    <col min="15108" max="15108" width="10.25" style="3150" bestFit="1" customWidth="1"/>
    <col min="15109" max="15109" width="11.25" style="3150" bestFit="1" customWidth="1"/>
    <col min="15110" max="15110" width="14.5" style="3150" bestFit="1" customWidth="1"/>
    <col min="15111" max="15111" width="12.75" style="3150" bestFit="1" customWidth="1"/>
    <col min="15112" max="15361" width="9" style="3150"/>
    <col min="15362" max="15362" width="14.125" style="3150" bestFit="1" customWidth="1"/>
    <col min="15363" max="15363" width="11.25" style="3150" bestFit="1" customWidth="1"/>
    <col min="15364" max="15364" width="10.25" style="3150" bestFit="1" customWidth="1"/>
    <col min="15365" max="15365" width="11.25" style="3150" bestFit="1" customWidth="1"/>
    <col min="15366" max="15366" width="14.5" style="3150" bestFit="1" customWidth="1"/>
    <col min="15367" max="15367" width="12.75" style="3150" bestFit="1" customWidth="1"/>
    <col min="15368" max="15617" width="9" style="3150"/>
    <col min="15618" max="15618" width="14.125" style="3150" bestFit="1" customWidth="1"/>
    <col min="15619" max="15619" width="11.25" style="3150" bestFit="1" customWidth="1"/>
    <col min="15620" max="15620" width="10.25" style="3150" bestFit="1" customWidth="1"/>
    <col min="15621" max="15621" width="11.25" style="3150" bestFit="1" customWidth="1"/>
    <col min="15622" max="15622" width="14.5" style="3150" bestFit="1" customWidth="1"/>
    <col min="15623" max="15623" width="12.75" style="3150" bestFit="1" customWidth="1"/>
    <col min="15624" max="15873" width="9" style="3150"/>
    <col min="15874" max="15874" width="14.125" style="3150" bestFit="1" customWidth="1"/>
    <col min="15875" max="15875" width="11.25" style="3150" bestFit="1" customWidth="1"/>
    <col min="15876" max="15876" width="10.25" style="3150" bestFit="1" customWidth="1"/>
    <col min="15877" max="15877" width="11.25" style="3150" bestFit="1" customWidth="1"/>
    <col min="15878" max="15878" width="14.5" style="3150" bestFit="1" customWidth="1"/>
    <col min="15879" max="15879" width="12.75" style="3150" bestFit="1" customWidth="1"/>
    <col min="15880" max="16129" width="9" style="3150"/>
    <col min="16130" max="16130" width="14.125" style="3150" bestFit="1" customWidth="1"/>
    <col min="16131" max="16131" width="11.25" style="3150" bestFit="1" customWidth="1"/>
    <col min="16132" max="16132" width="10.25" style="3150" bestFit="1" customWidth="1"/>
    <col min="16133" max="16133" width="11.25" style="3150" bestFit="1" customWidth="1"/>
    <col min="16134" max="16134" width="14.5" style="3150" bestFit="1" customWidth="1"/>
    <col min="16135" max="16135" width="12.75" style="3150" bestFit="1" customWidth="1"/>
    <col min="16136" max="16384" width="9" style="3150"/>
  </cols>
  <sheetData>
    <row r="1" spans="1:8" ht="16.5" customHeight="1">
      <c r="A1" s="3502" t="s">
        <v>3419</v>
      </c>
      <c r="B1" s="3502" t="s">
        <v>3304</v>
      </c>
      <c r="C1" s="3149" t="s">
        <v>3420</v>
      </c>
      <c r="D1" s="3149" t="s">
        <v>3421</v>
      </c>
      <c r="E1" s="3149" t="s">
        <v>3422</v>
      </c>
      <c r="F1" s="3149" t="s">
        <v>37</v>
      </c>
      <c r="G1" s="3149" t="s">
        <v>3423</v>
      </c>
    </row>
    <row r="2" spans="1:8" ht="16.5" customHeight="1">
      <c r="A2" s="3502"/>
      <c r="B2" s="3502"/>
      <c r="C2" s="3151" t="s">
        <v>3424</v>
      </c>
      <c r="D2" s="3152" t="s">
        <v>3425</v>
      </c>
      <c r="E2" s="3151" t="s">
        <v>3426</v>
      </c>
      <c r="F2" s="3151" t="s">
        <v>3426</v>
      </c>
      <c r="G2" s="3151" t="s">
        <v>3427</v>
      </c>
    </row>
    <row r="3" spans="1:8" ht="16.5" customHeight="1">
      <c r="A3" s="3153">
        <v>1</v>
      </c>
      <c r="B3" s="3154" t="s">
        <v>3428</v>
      </c>
      <c r="C3" s="3155"/>
      <c r="D3" s="3155"/>
      <c r="E3" s="3155"/>
      <c r="F3" s="3156">
        <f>E4+E5</f>
        <v>1834.43</v>
      </c>
      <c r="G3" s="3157">
        <f>F3/F20</f>
        <v>3.2263148463033964E-2</v>
      </c>
    </row>
    <row r="4" spans="1:8" ht="16.5" customHeight="1">
      <c r="A4" s="3158">
        <v>1.1000000000000001</v>
      </c>
      <c r="B4" s="3151" t="s">
        <v>3429</v>
      </c>
      <c r="C4" s="3159">
        <v>44859.72</v>
      </c>
      <c r="D4" s="3159"/>
      <c r="E4" s="3159">
        <v>1781</v>
      </c>
      <c r="F4" s="3160"/>
      <c r="G4" s="3158"/>
    </row>
    <row r="5" spans="1:8" ht="16.5" customHeight="1">
      <c r="A5" s="3153">
        <v>1.2</v>
      </c>
      <c r="B5" s="3161" t="s">
        <v>3430</v>
      </c>
      <c r="C5" s="3162"/>
      <c r="D5" s="3162">
        <v>0.03</v>
      </c>
      <c r="E5" s="3162">
        <f>E4*D5</f>
        <v>53.43</v>
      </c>
      <c r="F5" s="3155"/>
      <c r="G5" s="3153"/>
    </row>
    <row r="6" spans="1:8" ht="16.5" customHeight="1">
      <c r="A6" s="3158">
        <v>2</v>
      </c>
      <c r="B6" s="3149" t="s">
        <v>3431</v>
      </c>
      <c r="C6" s="3159"/>
      <c r="D6" s="3159"/>
      <c r="E6" s="3159"/>
      <c r="F6" s="3163">
        <f>E7+E8+E14</f>
        <v>36627.961380000008</v>
      </c>
      <c r="G6" s="3157">
        <f>F6/F20</f>
        <v>0.64419648386758532</v>
      </c>
      <c r="H6" s="3598">
        <f>F6-E11</f>
        <v>27656.017380000008</v>
      </c>
    </row>
    <row r="7" spans="1:8" ht="16.5" customHeight="1">
      <c r="A7" s="3153">
        <v>2.1</v>
      </c>
      <c r="B7" s="3161" t="s">
        <v>3432</v>
      </c>
      <c r="C7" s="3162">
        <v>44859.72</v>
      </c>
      <c r="D7" s="3162">
        <v>260</v>
      </c>
      <c r="E7" s="3162">
        <f>C7*D7/10000</f>
        <v>1166.3527200000001</v>
      </c>
      <c r="F7" s="3164"/>
      <c r="G7" s="3165"/>
    </row>
    <row r="8" spans="1:8" ht="16.5" customHeight="1">
      <c r="A8" s="3158">
        <v>2.2000000000000002</v>
      </c>
      <c r="B8" s="3151" t="s">
        <v>3433</v>
      </c>
      <c r="C8" s="3159">
        <v>44859.72</v>
      </c>
      <c r="D8" s="3159">
        <f>SUM(D9:D13)</f>
        <v>7750</v>
      </c>
      <c r="E8" s="3159">
        <f>D8*C8/10000</f>
        <v>34766.283000000003</v>
      </c>
      <c r="F8" s="3166"/>
      <c r="G8" s="3167"/>
    </row>
    <row r="9" spans="1:8" s="3173" customFormat="1" ht="16.5" customHeight="1">
      <c r="A9" s="3168" t="s">
        <v>3434</v>
      </c>
      <c r="B9" s="3169" t="s">
        <v>3435</v>
      </c>
      <c r="C9" s="3170">
        <v>44859.72</v>
      </c>
      <c r="D9" s="3170">
        <v>3500</v>
      </c>
      <c r="E9" s="3170">
        <f>D9*C9/10000</f>
        <v>15700.902</v>
      </c>
      <c r="F9" s="3171"/>
      <c r="G9" s="3172"/>
    </row>
    <row r="10" spans="1:8" s="3173" customFormat="1" ht="16.5" customHeight="1">
      <c r="A10" s="3168" t="s">
        <v>3436</v>
      </c>
      <c r="B10" s="3169" t="s">
        <v>3437</v>
      </c>
      <c r="C10" s="3170">
        <v>44859.72</v>
      </c>
      <c r="D10" s="3170">
        <v>1000</v>
      </c>
      <c r="E10" s="3170">
        <f>D10*C10/10000</f>
        <v>4485.9719999999998</v>
      </c>
      <c r="F10" s="3171"/>
      <c r="G10" s="3172"/>
    </row>
    <row r="11" spans="1:8" s="3173" customFormat="1" ht="16.5" customHeight="1">
      <c r="A11" s="3168" t="s">
        <v>3438</v>
      </c>
      <c r="B11" s="3169" t="s">
        <v>3439</v>
      </c>
      <c r="C11" s="3170">
        <v>44859.72</v>
      </c>
      <c r="D11" s="3197">
        <v>2000</v>
      </c>
      <c r="E11" s="3170">
        <f>D11*C11/10000</f>
        <v>8971.9439999999995</v>
      </c>
      <c r="F11" s="3171"/>
      <c r="G11" s="3172"/>
    </row>
    <row r="12" spans="1:8" s="3173" customFormat="1" ht="16.5" customHeight="1">
      <c r="A12" s="3168" t="s">
        <v>3440</v>
      </c>
      <c r="B12" s="3169" t="s">
        <v>3441</v>
      </c>
      <c r="C12" s="3170">
        <v>44859.72</v>
      </c>
      <c r="D12" s="3170">
        <v>800</v>
      </c>
      <c r="E12" s="3170">
        <f>D12*C12/10000</f>
        <v>3588.7775999999999</v>
      </c>
      <c r="F12" s="3171"/>
      <c r="G12" s="3172"/>
    </row>
    <row r="13" spans="1:8" s="3173" customFormat="1" ht="16.5" customHeight="1">
      <c r="A13" s="3168" t="s">
        <v>3442</v>
      </c>
      <c r="B13" s="3169" t="s">
        <v>3443</v>
      </c>
      <c r="C13" s="3170">
        <v>44859.72</v>
      </c>
      <c r="D13" s="3170">
        <v>450</v>
      </c>
      <c r="E13" s="3170"/>
      <c r="F13" s="3171"/>
      <c r="G13" s="3172"/>
    </row>
    <row r="14" spans="1:8" ht="16.5" customHeight="1">
      <c r="A14" s="3158">
        <v>2.2999999999999998</v>
      </c>
      <c r="B14" s="3151" t="s">
        <v>3444</v>
      </c>
      <c r="C14" s="3503"/>
      <c r="D14" s="3504"/>
      <c r="E14" s="3159">
        <f>E8*0.02</f>
        <v>695.32566000000008</v>
      </c>
      <c r="F14" s="3166"/>
      <c r="G14" s="3167"/>
    </row>
    <row r="15" spans="1:8" ht="16.5" customHeight="1">
      <c r="A15" s="3153">
        <v>3</v>
      </c>
      <c r="B15" s="3154" t="s">
        <v>3445</v>
      </c>
      <c r="C15" s="3162"/>
      <c r="D15" s="3162"/>
      <c r="E15" s="3162"/>
      <c r="F15" s="3163">
        <f>E16+E17+E18+E19</f>
        <v>18395.977607200002</v>
      </c>
      <c r="G15" s="3157">
        <f>F15/F20</f>
        <v>0.32354036766938066</v>
      </c>
    </row>
    <row r="16" spans="1:8" ht="16.5" customHeight="1">
      <c r="A16" s="3158">
        <v>3.1</v>
      </c>
      <c r="B16" s="3151" t="s">
        <v>3446</v>
      </c>
      <c r="C16" s="3505">
        <v>0.02</v>
      </c>
      <c r="D16" s="3504"/>
      <c r="E16" s="3159">
        <f>(F3+F6)*0.02</f>
        <v>769.24782760000016</v>
      </c>
      <c r="F16" s="3166"/>
      <c r="G16" s="3167"/>
    </row>
    <row r="17" spans="1:7" ht="26.25" customHeight="1">
      <c r="A17" s="3153">
        <v>3.2</v>
      </c>
      <c r="B17" s="3161" t="s">
        <v>3447</v>
      </c>
      <c r="C17" s="3506" t="s">
        <v>3474</v>
      </c>
      <c r="D17" s="3506"/>
      <c r="E17" s="3162">
        <f>F6*8%*5</f>
        <v>14651.184552000004</v>
      </c>
      <c r="F17" s="3164"/>
      <c r="G17" s="3165"/>
    </row>
    <row r="18" spans="1:7" ht="26.25" customHeight="1">
      <c r="A18" s="3158">
        <v>3.3</v>
      </c>
      <c r="B18" s="3151" t="s">
        <v>3448</v>
      </c>
      <c r="C18" s="3501" t="s">
        <v>3475</v>
      </c>
      <c r="D18" s="3501"/>
      <c r="E18" s="3159">
        <f>C13*500/10000</f>
        <v>2242.9859999999999</v>
      </c>
      <c r="F18" s="3166"/>
      <c r="G18" s="3167"/>
    </row>
    <row r="19" spans="1:7" ht="16.5" customHeight="1">
      <c r="A19" s="3153">
        <v>3.4</v>
      </c>
      <c r="B19" s="3161" t="s">
        <v>3449</v>
      </c>
      <c r="C19" s="3155"/>
      <c r="D19" s="3155"/>
      <c r="E19" s="3162">
        <f>F6*0.02</f>
        <v>732.55922760000021</v>
      </c>
      <c r="F19" s="3164"/>
      <c r="G19" s="3165"/>
    </row>
    <row r="20" spans="1:7" ht="16.5" customHeight="1">
      <c r="A20" s="3151" t="s">
        <v>37</v>
      </c>
      <c r="B20" s="3149" t="s">
        <v>3450</v>
      </c>
      <c r="C20" s="3160"/>
      <c r="D20" s="3160"/>
      <c r="E20" s="3160"/>
      <c r="F20" s="3174">
        <f>F3+F6+F15</f>
        <v>56858.36898720001</v>
      </c>
      <c r="G20" s="3175">
        <v>1</v>
      </c>
    </row>
    <row r="34" ht="13.5" customHeight="1"/>
    <row r="35" ht="14.25" customHeight="1"/>
    <row r="37" ht="15" customHeight="1"/>
    <row r="38" ht="15" customHeight="1"/>
  </sheetData>
  <mergeCells count="6">
    <mergeCell ref="C18:D18"/>
    <mergeCell ref="A1:A2"/>
    <mergeCell ref="B1:B2"/>
    <mergeCell ref="C14:D14"/>
    <mergeCell ref="C16:D16"/>
    <mergeCell ref="C17:D17"/>
  </mergeCells>
  <phoneticPr fontId="14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36">
      <c r="A4" s="1666" t="str">
        <f>"受贵公司委托，我公司对"&amp;项目基本情况!S1&amp;"进行了预评估。"</f>
        <v>受贵公司委托，我公司对江苏省无锡市江阴市东外环路410号酒店用房房地产抵押价值进行了预评估。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无锡市江阴市东外环路410号酒店用房房地产，为可域酒店置业管理江阴有限公司所有。根据《国有土地使用证》[]，估价对象（分摊）出让国有建设用地使用权面积为5974.5平方米，建筑面积为44859.7平方米。</v>
      </c>
    </row>
    <row r="8" spans="1:1" ht="57.75">
      <c r="A8" s="1669" t="s">
        <v>1579</v>
      </c>
    </row>
    <row r="9" spans="1:1" ht="18.75">
      <c r="A9" s="1668" t="s">
        <v>1580</v>
      </c>
    </row>
    <row r="10" spans="1:1" ht="7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无锡市江阴市东外环路410号酒店用房房地产,属可域酒店置业管理江阴有限公司开发建设的，该项目尚在开发建设中。根据《国有土地使用证》[]，估价对象（分摊）出让国有建设用地使用权面积为5974.5平方米，规划建筑面积为44859.7平方米。</v>
      </c>
    </row>
    <row r="11" spans="1:1" ht="76.5">
      <c r="A11" s="1669" t="s">
        <v>1581</v>
      </c>
    </row>
    <row r="12" spans="1:1" ht="18.75">
      <c r="A12" s="1667" t="s">
        <v>1582</v>
      </c>
    </row>
    <row r="13" spans="1:1" ht="38.25" customHeight="1">
      <c r="A13" s="1670" t="str">
        <f>IF(项目基本情况!B8="抵押",IF(项目基本情况!B5=项目基本情况!B6,定义!C51,定义!B51),定义!D51)</f>
        <v>为估价委托人在向华澳信托办理贷款手续过程中，确定房地产抵押贷款额度提供参考依据而评估房地产抵押价值。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2021年3月25日（评估专业人员实地查勘之日）</v>
      </c>
    </row>
    <row r="16" spans="1:1" ht="18.75">
      <c r="A16" s="1671" t="s">
        <v>1584</v>
      </c>
    </row>
    <row r="17" spans="1:1" ht="75">
      <c r="A17" s="1666" t="s">
        <v>1585</v>
      </c>
    </row>
    <row r="18" spans="1:1" ht="72">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25日，估价对象规划用途为商业，土地取得方式为出让，出让国有建设用地使用权剩余土地使用年限为商业29.53年，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商业29.53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topLeftCell="A7" workbookViewId="0">
      <selection activeCell="N24" sqref="N24"/>
    </sheetView>
  </sheetViews>
  <sheetFormatPr defaultRowHeight="13.5"/>
  <sheetData>
    <row r="1" spans="1:9">
      <c r="A1" s="3514" t="s">
        <v>3481</v>
      </c>
      <c r="B1" s="3514"/>
      <c r="C1" s="3514"/>
      <c r="D1" s="3514"/>
      <c r="E1" s="3514"/>
      <c r="F1" s="3514"/>
      <c r="G1" s="3514"/>
      <c r="H1" s="3514"/>
      <c r="I1" s="3514"/>
    </row>
    <row r="2" spans="1:9">
      <c r="A2" s="3515" t="s">
        <v>608</v>
      </c>
      <c r="B2" s="3516" t="s">
        <v>3482</v>
      </c>
      <c r="C2" s="3516" t="s">
        <v>3483</v>
      </c>
      <c r="D2" s="3516"/>
      <c r="E2" s="3516"/>
      <c r="F2" s="3516"/>
      <c r="G2" s="3516" t="s">
        <v>3484</v>
      </c>
      <c r="H2" s="3516"/>
      <c r="I2" s="3516"/>
    </row>
    <row r="3" spans="1:9">
      <c r="A3" s="3515"/>
      <c r="B3" s="3516"/>
      <c r="C3" s="3204" t="s">
        <v>3304</v>
      </c>
      <c r="D3" s="3204" t="s">
        <v>3485</v>
      </c>
      <c r="E3" s="3516" t="s">
        <v>3486</v>
      </c>
      <c r="F3" s="3516"/>
      <c r="G3" s="3204" t="s">
        <v>3487</v>
      </c>
      <c r="H3" s="3205" t="s">
        <v>3488</v>
      </c>
      <c r="I3" s="3205" t="s">
        <v>3489</v>
      </c>
    </row>
    <row r="4" spans="1:9">
      <c r="A4" s="3206">
        <v>1</v>
      </c>
      <c r="B4" s="3207" t="s">
        <v>3490</v>
      </c>
      <c r="C4" s="3208" t="s">
        <v>3491</v>
      </c>
      <c r="D4" s="3209" t="s">
        <v>3492</v>
      </c>
      <c r="E4" s="3210">
        <v>1</v>
      </c>
      <c r="F4" s="3211"/>
      <c r="G4" s="3212">
        <v>1000</v>
      </c>
      <c r="H4" s="3213">
        <f>E4*G4</f>
        <v>1000</v>
      </c>
      <c r="I4" s="3214">
        <f>H4/$H$30</f>
        <v>2.2291693045170105E-2</v>
      </c>
    </row>
    <row r="5" spans="1:9">
      <c r="A5" s="3507">
        <v>2</v>
      </c>
      <c r="B5" s="3513" t="s">
        <v>3493</v>
      </c>
      <c r="C5" s="3215" t="s">
        <v>3494</v>
      </c>
      <c r="D5" s="3216" t="s">
        <v>3495</v>
      </c>
      <c r="E5" s="3210">
        <v>611</v>
      </c>
      <c r="F5" s="3211" t="s">
        <v>3496</v>
      </c>
      <c r="G5" s="3217">
        <v>39.471499999999999</v>
      </c>
      <c r="H5" s="3218">
        <f>E5*G5</f>
        <v>24117.086499999998</v>
      </c>
      <c r="I5" s="3218"/>
    </row>
    <row r="6" spans="1:9">
      <c r="A6" s="3508"/>
      <c r="B6" s="3513"/>
      <c r="C6" s="3215" t="s">
        <v>3497</v>
      </c>
      <c r="D6" s="3216" t="s">
        <v>3498</v>
      </c>
      <c r="E6" s="3210">
        <v>32</v>
      </c>
      <c r="F6" s="3211" t="s">
        <v>3496</v>
      </c>
      <c r="G6" s="3217">
        <v>75.4375</v>
      </c>
      <c r="H6" s="3218">
        <f t="shared" ref="H6:H27" si="0">E6*G6</f>
        <v>2414</v>
      </c>
      <c r="I6" s="3218"/>
    </row>
    <row r="7" spans="1:9">
      <c r="A7" s="3508"/>
      <c r="B7" s="3513"/>
      <c r="C7" s="3215" t="s">
        <v>3499</v>
      </c>
      <c r="D7" s="3216" t="s">
        <v>3500</v>
      </c>
      <c r="E7" s="3210">
        <v>1</v>
      </c>
      <c r="F7" s="3211" t="s">
        <v>3496</v>
      </c>
      <c r="G7" s="3217">
        <v>180</v>
      </c>
      <c r="H7" s="3218">
        <f t="shared" si="0"/>
        <v>180</v>
      </c>
      <c r="I7" s="3218"/>
    </row>
    <row r="8" spans="1:9">
      <c r="A8" s="3508"/>
      <c r="B8" s="3513"/>
      <c r="C8" s="3215" t="s">
        <v>3501</v>
      </c>
      <c r="D8" s="3216" t="s">
        <v>3502</v>
      </c>
      <c r="E8" s="3219">
        <v>1</v>
      </c>
      <c r="F8" s="3220" t="s">
        <v>3503</v>
      </c>
      <c r="G8" s="3217">
        <f>31206.76-H5-H6-H7</f>
        <v>4495.6735000000008</v>
      </c>
      <c r="H8" s="3218">
        <f t="shared" si="0"/>
        <v>4495.6735000000008</v>
      </c>
      <c r="I8" s="3218"/>
    </row>
    <row r="9" spans="1:9">
      <c r="A9" s="3509"/>
      <c r="B9" s="3513"/>
      <c r="C9" s="3220" t="s">
        <v>40</v>
      </c>
      <c r="D9" s="3221"/>
      <c r="E9" s="3211">
        <f>E5+E6+E7</f>
        <v>644</v>
      </c>
      <c r="F9" s="3211" t="s">
        <v>3496</v>
      </c>
      <c r="G9" s="3222" t="s">
        <v>3504</v>
      </c>
      <c r="H9" s="3213">
        <f>SUM(H5:H8)</f>
        <v>31206.76</v>
      </c>
      <c r="I9" s="3214">
        <f>H9/$H$30</f>
        <v>0.69565151485429266</v>
      </c>
    </row>
    <row r="10" spans="1:9">
      <c r="A10" s="3507">
        <v>3</v>
      </c>
      <c r="B10" s="3513" t="s">
        <v>3505</v>
      </c>
      <c r="C10" s="3215" t="s">
        <v>3506</v>
      </c>
      <c r="D10" s="3216" t="s">
        <v>1103</v>
      </c>
      <c r="E10" s="3219">
        <v>1</v>
      </c>
      <c r="F10" s="3220" t="s">
        <v>3507</v>
      </c>
      <c r="G10" s="3219">
        <v>250</v>
      </c>
      <c r="H10" s="3218">
        <f t="shared" si="0"/>
        <v>250</v>
      </c>
      <c r="I10" s="3218"/>
    </row>
    <row r="11" spans="1:9">
      <c r="A11" s="3508"/>
      <c r="B11" s="3513"/>
      <c r="C11" s="3215" t="s">
        <v>3508</v>
      </c>
      <c r="D11" s="3216" t="s">
        <v>3509</v>
      </c>
      <c r="E11" s="3219">
        <v>1</v>
      </c>
      <c r="F11" s="3220" t="s">
        <v>3507</v>
      </c>
      <c r="G11" s="3219">
        <v>450</v>
      </c>
      <c r="H11" s="3218">
        <f t="shared" si="0"/>
        <v>450</v>
      </c>
      <c r="I11" s="3218"/>
    </row>
    <row r="12" spans="1:9">
      <c r="A12" s="3508"/>
      <c r="B12" s="3513"/>
      <c r="C12" s="3215" t="s">
        <v>3510</v>
      </c>
      <c r="D12" s="3216" t="s">
        <v>998</v>
      </c>
      <c r="E12" s="3219">
        <v>2</v>
      </c>
      <c r="F12" s="3220" t="s">
        <v>3507</v>
      </c>
      <c r="G12" s="3219">
        <v>975</v>
      </c>
      <c r="H12" s="3218">
        <f t="shared" si="0"/>
        <v>1950</v>
      </c>
      <c r="I12" s="3218"/>
    </row>
    <row r="13" spans="1:9">
      <c r="A13" s="3508"/>
      <c r="B13" s="3513"/>
      <c r="C13" s="3215" t="s">
        <v>3511</v>
      </c>
      <c r="D13" s="3216" t="s">
        <v>1103</v>
      </c>
      <c r="E13" s="3219">
        <v>1</v>
      </c>
      <c r="F13" s="3220" t="s">
        <v>3507</v>
      </c>
      <c r="G13" s="3219">
        <v>1700</v>
      </c>
      <c r="H13" s="3218">
        <f t="shared" si="0"/>
        <v>1700</v>
      </c>
      <c r="I13" s="3218"/>
    </row>
    <row r="14" spans="1:9">
      <c r="A14" s="3508"/>
      <c r="B14" s="3513"/>
      <c r="C14" s="3215" t="s">
        <v>3512</v>
      </c>
      <c r="D14" s="3216" t="s">
        <v>3509</v>
      </c>
      <c r="E14" s="3219">
        <v>5</v>
      </c>
      <c r="F14" s="3220" t="s">
        <v>3507</v>
      </c>
      <c r="G14" s="3219">
        <v>300</v>
      </c>
      <c r="H14" s="3218">
        <f t="shared" si="0"/>
        <v>1500</v>
      </c>
      <c r="I14" s="3218"/>
    </row>
    <row r="15" spans="1:9">
      <c r="A15" s="3508"/>
      <c r="B15" s="3513"/>
      <c r="C15" s="3215" t="s">
        <v>3513</v>
      </c>
      <c r="D15" s="3216" t="s">
        <v>999</v>
      </c>
      <c r="E15" s="3219">
        <v>6</v>
      </c>
      <c r="F15" s="3220" t="s">
        <v>3507</v>
      </c>
      <c r="G15" s="3219">
        <v>325</v>
      </c>
      <c r="H15" s="3218">
        <f t="shared" si="0"/>
        <v>1950</v>
      </c>
      <c r="I15" s="3218"/>
    </row>
    <row r="16" spans="1:9">
      <c r="A16" s="3509"/>
      <c r="B16" s="3513"/>
      <c r="C16" s="3220" t="s">
        <v>40</v>
      </c>
      <c r="D16" s="3221"/>
      <c r="E16" s="3222" t="s">
        <v>3514</v>
      </c>
      <c r="F16" s="3220"/>
      <c r="G16" s="3222" t="s">
        <v>3504</v>
      </c>
      <c r="H16" s="3223">
        <f>SUM(H10:H15)</f>
        <v>7800</v>
      </c>
      <c r="I16" s="3214">
        <f>H16/$H$30</f>
        <v>0.17387520575232682</v>
      </c>
    </row>
    <row r="17" spans="1:11">
      <c r="A17" s="3507">
        <v>4</v>
      </c>
      <c r="B17" s="3513" t="s">
        <v>3515</v>
      </c>
      <c r="C17" s="3215" t="s">
        <v>3516</v>
      </c>
      <c r="D17" s="3216" t="s">
        <v>998</v>
      </c>
      <c r="E17" s="3219">
        <v>1</v>
      </c>
      <c r="F17" s="3220" t="s">
        <v>3507</v>
      </c>
      <c r="G17" s="3219">
        <v>30</v>
      </c>
      <c r="H17" s="3218">
        <f t="shared" si="0"/>
        <v>30</v>
      </c>
      <c r="I17" s="3218"/>
    </row>
    <row r="18" spans="1:11">
      <c r="A18" s="3508"/>
      <c r="B18" s="3513"/>
      <c r="C18" s="3215" t="s">
        <v>3517</v>
      </c>
      <c r="D18" s="3216" t="s">
        <v>998</v>
      </c>
      <c r="E18" s="3219">
        <v>1</v>
      </c>
      <c r="F18" s="3220" t="s">
        <v>3507</v>
      </c>
      <c r="G18" s="3219">
        <v>200</v>
      </c>
      <c r="H18" s="3218">
        <f t="shared" si="0"/>
        <v>200</v>
      </c>
      <c r="I18" s="3218"/>
    </row>
    <row r="19" spans="1:11">
      <c r="A19" s="3508"/>
      <c r="B19" s="3513"/>
      <c r="C19" s="3215" t="s">
        <v>3518</v>
      </c>
      <c r="D19" s="3216" t="s">
        <v>3509</v>
      </c>
      <c r="E19" s="3219">
        <v>1</v>
      </c>
      <c r="F19" s="3220" t="s">
        <v>3507</v>
      </c>
      <c r="G19" s="3219">
        <v>400</v>
      </c>
      <c r="H19" s="3218">
        <f t="shared" si="0"/>
        <v>400</v>
      </c>
      <c r="I19" s="3218"/>
    </row>
    <row r="20" spans="1:11">
      <c r="A20" s="3509"/>
      <c r="B20" s="3513"/>
      <c r="C20" s="3220" t="s">
        <v>40</v>
      </c>
      <c r="D20" s="3221"/>
      <c r="E20" s="3222" t="s">
        <v>3514</v>
      </c>
      <c r="F20" s="3220"/>
      <c r="G20" s="3222" t="s">
        <v>3514</v>
      </c>
      <c r="H20" s="3223">
        <f>SUM(H17:H19)</f>
        <v>630</v>
      </c>
      <c r="I20" s="3214">
        <f>H20/$H$30</f>
        <v>1.4043766618457167E-2</v>
      </c>
      <c r="K20" s="3229"/>
    </row>
    <row r="21" spans="1:11">
      <c r="A21" s="3507">
        <v>5</v>
      </c>
      <c r="B21" s="3510" t="s">
        <v>3519</v>
      </c>
      <c r="C21" s="3215" t="s">
        <v>3520</v>
      </c>
      <c r="D21" s="3216" t="s">
        <v>3509</v>
      </c>
      <c r="E21" s="3220">
        <v>1</v>
      </c>
      <c r="F21" s="3220" t="s">
        <v>3503</v>
      </c>
      <c r="G21" s="3220">
        <v>150</v>
      </c>
      <c r="H21" s="3218">
        <f t="shared" si="0"/>
        <v>150</v>
      </c>
      <c r="I21" s="3224"/>
    </row>
    <row r="22" spans="1:11">
      <c r="A22" s="3508"/>
      <c r="B22" s="3511"/>
      <c r="C22" s="3215" t="s">
        <v>3521</v>
      </c>
      <c r="D22" s="3216" t="s">
        <v>998</v>
      </c>
      <c r="E22" s="3220">
        <v>1</v>
      </c>
      <c r="F22" s="3220" t="s">
        <v>3503</v>
      </c>
      <c r="G22" s="3220">
        <v>400</v>
      </c>
      <c r="H22" s="3218">
        <f t="shared" si="0"/>
        <v>400</v>
      </c>
      <c r="I22" s="3224"/>
    </row>
    <row r="23" spans="1:11">
      <c r="A23" s="3508"/>
      <c r="B23" s="3511"/>
      <c r="C23" s="3215" t="s">
        <v>3522</v>
      </c>
      <c r="D23" s="3216" t="s">
        <v>998</v>
      </c>
      <c r="E23" s="3220">
        <v>1</v>
      </c>
      <c r="F23" s="3220" t="s">
        <v>3503</v>
      </c>
      <c r="G23" s="3220">
        <v>100</v>
      </c>
      <c r="H23" s="3218">
        <f t="shared" si="0"/>
        <v>100</v>
      </c>
      <c r="I23" s="3224"/>
    </row>
    <row r="24" spans="1:11">
      <c r="A24" s="3509"/>
      <c r="B24" s="3512"/>
      <c r="C24" s="3220" t="s">
        <v>40</v>
      </c>
      <c r="D24" s="3221"/>
      <c r="E24" s="3222" t="s">
        <v>3514</v>
      </c>
      <c r="F24" s="3220"/>
      <c r="G24" s="3222" t="s">
        <v>3514</v>
      </c>
      <c r="H24" s="3223">
        <f>SUM(H21:H23)</f>
        <v>650</v>
      </c>
      <c r="I24" s="3214">
        <f>H24/$H$30</f>
        <v>1.4489600479360569E-2</v>
      </c>
    </row>
    <row r="25" spans="1:11">
      <c r="A25" s="3507">
        <v>6</v>
      </c>
      <c r="B25" s="3513" t="s">
        <v>1069</v>
      </c>
      <c r="C25" s="3215" t="s">
        <v>3523</v>
      </c>
      <c r="D25" s="3216" t="s">
        <v>1103</v>
      </c>
      <c r="E25" s="3219">
        <v>1</v>
      </c>
      <c r="F25" s="3220" t="s">
        <v>3496</v>
      </c>
      <c r="G25" s="3219">
        <v>100</v>
      </c>
      <c r="H25" s="3218">
        <f t="shared" si="0"/>
        <v>100</v>
      </c>
      <c r="I25" s="3224"/>
    </row>
    <row r="26" spans="1:11">
      <c r="A26" s="3508"/>
      <c r="B26" s="3513"/>
      <c r="C26" s="3215" t="s">
        <v>3524</v>
      </c>
      <c r="D26" s="3216" t="s">
        <v>1103</v>
      </c>
      <c r="E26" s="3219">
        <v>1</v>
      </c>
      <c r="F26" s="3220" t="s">
        <v>3507</v>
      </c>
      <c r="G26" s="3219">
        <v>50</v>
      </c>
      <c r="H26" s="3218">
        <f t="shared" si="0"/>
        <v>50</v>
      </c>
      <c r="I26" s="3224"/>
    </row>
    <row r="27" spans="1:11">
      <c r="A27" s="3508"/>
      <c r="B27" s="3513"/>
      <c r="C27" s="3215" t="s">
        <v>3525</v>
      </c>
      <c r="D27" s="3216" t="s">
        <v>3526</v>
      </c>
      <c r="E27" s="3219">
        <v>75</v>
      </c>
      <c r="F27" s="3220" t="s">
        <v>3507</v>
      </c>
      <c r="G27" s="3219">
        <v>36</v>
      </c>
      <c r="H27" s="3218">
        <f t="shared" si="0"/>
        <v>2700</v>
      </c>
      <c r="I27" s="3218"/>
    </row>
    <row r="28" spans="1:11">
      <c r="A28" s="3509"/>
      <c r="B28" s="3513"/>
      <c r="C28" s="3220" t="s">
        <v>40</v>
      </c>
      <c r="D28" s="3221"/>
      <c r="E28" s="3222" t="s">
        <v>3514</v>
      </c>
      <c r="F28" s="3220"/>
      <c r="G28" s="3222" t="s">
        <v>3514</v>
      </c>
      <c r="H28" s="3223">
        <f>SUM(H25:H27)</f>
        <v>2850</v>
      </c>
      <c r="I28" s="3214">
        <f>H28/$H$30</f>
        <v>6.3531325178734804E-2</v>
      </c>
    </row>
    <row r="29" spans="1:11">
      <c r="A29" s="3206">
        <v>7</v>
      </c>
      <c r="B29" s="3220" t="s">
        <v>3527</v>
      </c>
      <c r="C29" s="3220" t="s">
        <v>40</v>
      </c>
      <c r="D29" s="3220"/>
      <c r="E29" s="3222" t="s">
        <v>3514</v>
      </c>
      <c r="F29" s="3220"/>
      <c r="G29" s="3222" t="s">
        <v>3514</v>
      </c>
      <c r="H29" s="3225">
        <v>723</v>
      </c>
      <c r="I29" s="3214">
        <f>H29/$H$30</f>
        <v>1.6116894071657988E-2</v>
      </c>
    </row>
    <row r="30" spans="1:11">
      <c r="A30" s="3226">
        <v>8</v>
      </c>
      <c r="B30" s="3204"/>
      <c r="C30" s="3204" t="s">
        <v>3528</v>
      </c>
      <c r="D30" s="3204"/>
      <c r="E30" s="3227"/>
      <c r="F30" s="3204"/>
      <c r="G30" s="3204"/>
      <c r="H30" s="3223">
        <f>H4+H9+H16+H20+H24+H28+H29</f>
        <v>44859.759999999995</v>
      </c>
      <c r="I30" s="3228">
        <f>I4+I9+I16+I20+I24+I28+I29</f>
        <v>1.0000000000000002</v>
      </c>
      <c r="K30" s="3229"/>
    </row>
  </sheetData>
  <mergeCells count="16">
    <mergeCell ref="A1:I1"/>
    <mergeCell ref="A2:A3"/>
    <mergeCell ref="B2:B3"/>
    <mergeCell ref="C2:F2"/>
    <mergeCell ref="G2:I2"/>
    <mergeCell ref="E3:F3"/>
    <mergeCell ref="A21:A24"/>
    <mergeCell ref="B21:B24"/>
    <mergeCell ref="A25:A28"/>
    <mergeCell ref="B25:B28"/>
    <mergeCell ref="A5:A9"/>
    <mergeCell ref="B5:B9"/>
    <mergeCell ref="A10:A16"/>
    <mergeCell ref="B10:B16"/>
    <mergeCell ref="A17:A20"/>
    <mergeCell ref="B17:B20"/>
  </mergeCells>
  <phoneticPr fontId="14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topLeftCell="A13" workbookViewId="0">
      <selection activeCell="E25" sqref="E25"/>
    </sheetView>
  </sheetViews>
  <sheetFormatPr defaultColWidth="9" defaultRowHeight="13.5"/>
  <cols>
    <col min="1" max="1" width="42.625" style="3064" bestFit="1" customWidth="1"/>
    <col min="2" max="2" width="11.125" style="3064" bestFit="1" customWidth="1"/>
    <col min="3" max="3" width="12.125" style="3064" bestFit="1" customWidth="1"/>
    <col min="4" max="4" width="9" style="3064"/>
    <col min="5" max="5" width="25.125" style="3064" bestFit="1" customWidth="1"/>
    <col min="6" max="7" width="12.5" style="3064" bestFit="1" customWidth="1"/>
    <col min="8" max="8" width="20.5" style="3064" bestFit="1" customWidth="1"/>
    <col min="9" max="10" width="13" style="3064" bestFit="1" customWidth="1"/>
    <col min="11" max="16384" width="9" style="3064"/>
  </cols>
  <sheetData>
    <row r="1" spans="1:10" ht="20.25">
      <c r="A1" s="3517" t="s">
        <v>3296</v>
      </c>
      <c r="B1" s="3517"/>
      <c r="C1" s="3517"/>
      <c r="D1" s="3063"/>
      <c r="E1" s="3518" t="s">
        <v>3297</v>
      </c>
      <c r="F1" s="3518"/>
      <c r="G1" s="3518"/>
      <c r="H1" s="3518"/>
      <c r="I1" s="3518"/>
      <c r="J1" s="3518"/>
    </row>
    <row r="2" spans="1:10" ht="14.25">
      <c r="A2" s="3065"/>
      <c r="B2" s="3066"/>
      <c r="C2" s="3067" t="s">
        <v>3298</v>
      </c>
      <c r="D2" s="3063"/>
      <c r="E2" s="3068"/>
      <c r="F2" s="3069"/>
      <c r="G2" s="3068"/>
      <c r="H2" s="3068"/>
      <c r="I2" s="3069"/>
      <c r="J2" s="3070" t="s">
        <v>3299</v>
      </c>
    </row>
    <row r="3" spans="1:10" ht="14.25">
      <c r="A3" s="3071" t="s">
        <v>3291</v>
      </c>
      <c r="B3" s="3072" t="s">
        <v>3300</v>
      </c>
      <c r="C3" s="3073" t="s">
        <v>3301</v>
      </c>
      <c r="D3" s="3063"/>
      <c r="E3" s="3074" t="s">
        <v>3291</v>
      </c>
      <c r="F3" s="3075"/>
      <c r="G3" s="3519" t="s">
        <v>3302</v>
      </c>
      <c r="H3" s="3519"/>
      <c r="I3" s="3074"/>
      <c r="J3" s="3073" t="s">
        <v>3303</v>
      </c>
    </row>
    <row r="4" spans="1:10" ht="14.25">
      <c r="A4" s="3076" t="s">
        <v>3304</v>
      </c>
      <c r="B4" s="3076" t="s">
        <v>3305</v>
      </c>
      <c r="C4" s="3077" t="s">
        <v>3306</v>
      </c>
      <c r="D4" s="3063"/>
      <c r="E4" s="3078" t="s">
        <v>3307</v>
      </c>
      <c r="F4" s="3078" t="s">
        <v>3308</v>
      </c>
      <c r="G4" s="3078" t="s">
        <v>3309</v>
      </c>
      <c r="H4" s="3078" t="s">
        <v>3310</v>
      </c>
      <c r="I4" s="3078" t="s">
        <v>3308</v>
      </c>
      <c r="J4" s="3079" t="s">
        <v>3309</v>
      </c>
    </row>
    <row r="5" spans="1:10" ht="14.25">
      <c r="A5" s="3080" t="s">
        <v>3311</v>
      </c>
      <c r="B5" s="3081">
        <v>83260.55</v>
      </c>
      <c r="C5" s="3082">
        <v>4040630.0700000003</v>
      </c>
      <c r="D5" s="3063">
        <f>C5/10000</f>
        <v>404.06300700000003</v>
      </c>
      <c r="E5" s="3083" t="s">
        <v>3312</v>
      </c>
      <c r="F5" s="3084"/>
      <c r="G5" s="3085"/>
      <c r="H5" s="3083" t="s">
        <v>3313</v>
      </c>
      <c r="I5" s="3084"/>
      <c r="J5" s="3086"/>
    </row>
    <row r="6" spans="1:10" ht="14.25">
      <c r="A6" s="3087" t="s">
        <v>3314</v>
      </c>
      <c r="B6" s="3088">
        <v>0</v>
      </c>
      <c r="C6" s="3089">
        <v>1930702.86</v>
      </c>
      <c r="D6" s="3063"/>
      <c r="E6" s="3090" t="s">
        <v>3315</v>
      </c>
      <c r="F6" s="3091">
        <v>34214.230000000003</v>
      </c>
      <c r="G6" s="3092">
        <v>172201.95</v>
      </c>
      <c r="H6" s="3090" t="s">
        <v>3316</v>
      </c>
      <c r="I6" s="3091">
        <v>0</v>
      </c>
      <c r="J6" s="3093">
        <v>200000000</v>
      </c>
    </row>
    <row r="7" spans="1:10" ht="14.25">
      <c r="A7" s="3087" t="s">
        <v>3317</v>
      </c>
      <c r="B7" s="3088">
        <v>83260.55</v>
      </c>
      <c r="C7" s="3089">
        <v>2109927.21</v>
      </c>
      <c r="D7" s="3063"/>
      <c r="E7" s="3090" t="s">
        <v>3318</v>
      </c>
      <c r="F7" s="3091">
        <v>0</v>
      </c>
      <c r="G7" s="3092">
        <v>0</v>
      </c>
      <c r="H7" s="3090" t="s">
        <v>3319</v>
      </c>
      <c r="I7" s="3091">
        <v>0</v>
      </c>
      <c r="J7" s="3093">
        <v>0</v>
      </c>
    </row>
    <row r="8" spans="1:10" ht="14.25">
      <c r="A8" s="3094" t="s">
        <v>3320</v>
      </c>
      <c r="B8" s="3081">
        <v>499.56</v>
      </c>
      <c r="C8" s="3082">
        <v>1770596.53</v>
      </c>
      <c r="D8" s="3063"/>
      <c r="E8" s="3090" t="s">
        <v>3321</v>
      </c>
      <c r="F8" s="3091">
        <v>0</v>
      </c>
      <c r="G8" s="3092">
        <v>0</v>
      </c>
      <c r="H8" s="3090" t="s">
        <v>3322</v>
      </c>
      <c r="I8" s="3091">
        <v>0</v>
      </c>
      <c r="J8" s="3093">
        <v>0</v>
      </c>
    </row>
    <row r="9" spans="1:10" ht="14.25">
      <c r="A9" s="3087" t="s">
        <v>3323</v>
      </c>
      <c r="B9" s="3088">
        <v>0</v>
      </c>
      <c r="C9" s="3089">
        <v>1757936.98</v>
      </c>
      <c r="D9" s="3063"/>
      <c r="E9" s="3090" t="s">
        <v>3324</v>
      </c>
      <c r="F9" s="3091">
        <v>81147.34</v>
      </c>
      <c r="G9" s="3092">
        <v>168570.92</v>
      </c>
      <c r="H9" s="3090" t="s">
        <v>3325</v>
      </c>
      <c r="I9" s="3091">
        <v>9360392.5500000007</v>
      </c>
      <c r="J9" s="3095">
        <v>8230319.2699999996</v>
      </c>
    </row>
    <row r="10" spans="1:10" ht="14.25">
      <c r="A10" s="3087" t="s">
        <v>3326</v>
      </c>
      <c r="B10" s="3088">
        <v>499.56</v>
      </c>
      <c r="C10" s="3089">
        <v>12659.55</v>
      </c>
      <c r="D10" s="3063"/>
      <c r="E10" s="3087" t="s">
        <v>3327</v>
      </c>
      <c r="F10" s="3091">
        <v>0</v>
      </c>
      <c r="G10" s="3092">
        <v>0</v>
      </c>
      <c r="H10" s="3090" t="s">
        <v>3328</v>
      </c>
      <c r="I10" s="3091">
        <v>21095.9</v>
      </c>
      <c r="J10" s="3095">
        <v>0</v>
      </c>
    </row>
    <row r="11" spans="1:10" ht="14.25">
      <c r="A11" s="3090" t="s">
        <v>3329</v>
      </c>
      <c r="B11" s="3088">
        <v>29697.07</v>
      </c>
      <c r="C11" s="3089">
        <v>410410.54</v>
      </c>
      <c r="D11" s="3063"/>
      <c r="E11" s="3080" t="s">
        <v>3330</v>
      </c>
      <c r="F11" s="3096">
        <v>81147.34</v>
      </c>
      <c r="G11" s="3097">
        <v>168570.92</v>
      </c>
      <c r="H11" s="3090" t="s">
        <v>3331</v>
      </c>
      <c r="I11" s="3091">
        <v>424496697.56</v>
      </c>
      <c r="J11" s="3093">
        <v>237405541.05000001</v>
      </c>
    </row>
    <row r="12" spans="1:10" ht="14.25">
      <c r="A12" s="3090" t="s">
        <v>3332</v>
      </c>
      <c r="B12" s="3088">
        <v>707.7</v>
      </c>
      <c r="C12" s="3089">
        <v>85797.96</v>
      </c>
      <c r="D12" s="3063"/>
      <c r="E12" s="3090" t="s">
        <v>3333</v>
      </c>
      <c r="F12" s="3091">
        <v>219215.98</v>
      </c>
      <c r="G12" s="3091">
        <v>219215.98</v>
      </c>
      <c r="H12" s="3090" t="s">
        <v>3334</v>
      </c>
      <c r="I12" s="3091">
        <v>0</v>
      </c>
      <c r="J12" s="3093">
        <v>0</v>
      </c>
    </row>
    <row r="13" spans="1:10" ht="14.25">
      <c r="A13" s="3090" t="s">
        <v>3335</v>
      </c>
      <c r="B13" s="3088">
        <v>157.69999999999999</v>
      </c>
      <c r="C13" s="3089">
        <v>161588.88</v>
      </c>
      <c r="D13" s="3063"/>
      <c r="E13" s="3087" t="s">
        <v>3336</v>
      </c>
      <c r="F13" s="3091">
        <v>0</v>
      </c>
      <c r="G13" s="3092">
        <v>0</v>
      </c>
      <c r="H13" s="3087" t="s">
        <v>3337</v>
      </c>
      <c r="I13" s="3091">
        <v>0</v>
      </c>
      <c r="J13" s="3093">
        <v>0</v>
      </c>
    </row>
    <row r="14" spans="1:10" ht="14.25">
      <c r="A14" s="3090" t="s">
        <v>3338</v>
      </c>
      <c r="B14" s="3088">
        <v>9430942.8300000001</v>
      </c>
      <c r="C14" s="3089">
        <v>12308701.279999999</v>
      </c>
      <c r="D14" s="3063"/>
      <c r="E14" s="3090" t="s">
        <v>3339</v>
      </c>
      <c r="F14" s="3091">
        <v>0</v>
      </c>
      <c r="G14" s="3092">
        <v>0</v>
      </c>
      <c r="H14" s="3090" t="s">
        <v>3340</v>
      </c>
      <c r="I14" s="3091">
        <v>-92334.94</v>
      </c>
      <c r="J14" s="3093">
        <v>-295199.03000000003</v>
      </c>
    </row>
    <row r="15" spans="1:10" ht="14.25">
      <c r="A15" s="3090" t="s">
        <v>3341</v>
      </c>
      <c r="B15" s="3088">
        <v>0</v>
      </c>
      <c r="C15" s="3089">
        <v>0</v>
      </c>
      <c r="D15" s="3063"/>
      <c r="E15" s="3090" t="s">
        <v>3342</v>
      </c>
      <c r="F15" s="3091">
        <v>0</v>
      </c>
      <c r="G15" s="3092">
        <v>0</v>
      </c>
      <c r="H15" s="3090" t="s">
        <v>3343</v>
      </c>
      <c r="I15" s="3091">
        <v>0</v>
      </c>
      <c r="J15" s="3093">
        <v>0</v>
      </c>
    </row>
    <row r="16" spans="1:10" ht="14.25">
      <c r="A16" s="3098" t="s">
        <v>3344</v>
      </c>
      <c r="B16" s="3088">
        <v>0</v>
      </c>
      <c r="C16" s="3089">
        <v>1957.81</v>
      </c>
      <c r="D16" s="3063"/>
      <c r="E16" s="3090" t="s">
        <v>3345</v>
      </c>
      <c r="F16" s="3091">
        <v>9504509.0500000007</v>
      </c>
      <c r="G16" s="3091">
        <v>1902835.25</v>
      </c>
      <c r="H16" s="3090" t="s">
        <v>3346</v>
      </c>
      <c r="I16" s="3091">
        <v>0</v>
      </c>
      <c r="J16" s="3093">
        <v>0</v>
      </c>
    </row>
    <row r="17" spans="1:10" ht="14.25">
      <c r="A17" s="3098" t="s">
        <v>3347</v>
      </c>
      <c r="B17" s="3088">
        <v>0</v>
      </c>
      <c r="C17" s="3089">
        <v>0</v>
      </c>
      <c r="D17" s="3063"/>
      <c r="E17" s="3090" t="s">
        <v>3348</v>
      </c>
      <c r="F17" s="3091">
        <v>436058416.19999999</v>
      </c>
      <c r="G17" s="3092">
        <v>434300479.22000003</v>
      </c>
      <c r="H17" s="3090" t="s">
        <v>3349</v>
      </c>
      <c r="I17" s="3091">
        <v>0</v>
      </c>
      <c r="J17" s="3093">
        <v>0</v>
      </c>
    </row>
    <row r="18" spans="1:10" ht="14.25">
      <c r="A18" s="3090" t="s">
        <v>3350</v>
      </c>
      <c r="B18" s="3088">
        <v>0</v>
      </c>
      <c r="C18" s="3089">
        <v>0</v>
      </c>
      <c r="D18" s="3063"/>
      <c r="E18" s="3087" t="s">
        <v>3351</v>
      </c>
      <c r="F18" s="3091">
        <v>0</v>
      </c>
      <c r="G18" s="3092">
        <v>0</v>
      </c>
      <c r="H18" s="3090" t="s">
        <v>3352</v>
      </c>
      <c r="I18" s="3091">
        <v>0</v>
      </c>
      <c r="J18" s="3093">
        <v>0</v>
      </c>
    </row>
    <row r="19" spans="1:10" ht="14.25">
      <c r="A19" s="3098" t="s">
        <v>3353</v>
      </c>
      <c r="B19" s="3088">
        <v>0</v>
      </c>
      <c r="C19" s="3089">
        <v>0</v>
      </c>
      <c r="D19" s="3063"/>
      <c r="E19" s="3080" t="s">
        <v>3354</v>
      </c>
      <c r="F19" s="3096">
        <v>436058416.19999999</v>
      </c>
      <c r="G19" s="3097">
        <v>434300479.22000003</v>
      </c>
      <c r="H19" s="3087"/>
      <c r="I19" s="3091"/>
      <c r="J19" s="3093"/>
    </row>
    <row r="20" spans="1:10" ht="14.25">
      <c r="A20" s="3098" t="s">
        <v>3355</v>
      </c>
      <c r="B20" s="3088">
        <v>0</v>
      </c>
      <c r="C20" s="3089">
        <v>0</v>
      </c>
      <c r="D20" s="3063"/>
      <c r="E20" s="3090" t="s">
        <v>3356</v>
      </c>
      <c r="F20" s="3091">
        <v>0</v>
      </c>
      <c r="G20" s="3092">
        <v>0</v>
      </c>
      <c r="H20" s="3087"/>
      <c r="I20" s="3091"/>
      <c r="J20" s="3093"/>
    </row>
    <row r="21" spans="1:10" ht="14.25">
      <c r="A21" s="3080" t="s">
        <v>3357</v>
      </c>
      <c r="B21" s="3081">
        <v>-9378744.3100000005</v>
      </c>
      <c r="C21" s="3082">
        <v>-10694507.309999999</v>
      </c>
      <c r="D21" s="3063"/>
      <c r="E21" s="3090" t="s">
        <v>3358</v>
      </c>
      <c r="F21" s="3091">
        <v>0</v>
      </c>
      <c r="G21" s="3092">
        <v>0</v>
      </c>
      <c r="H21" s="3087"/>
      <c r="I21" s="3091"/>
      <c r="J21" s="3093"/>
    </row>
    <row r="22" spans="1:10" ht="14.25">
      <c r="A22" s="3090" t="s">
        <v>3359</v>
      </c>
      <c r="B22" s="3088">
        <v>0</v>
      </c>
      <c r="C22" s="3089">
        <v>1712.81</v>
      </c>
      <c r="D22" s="3063"/>
      <c r="E22" s="3094" t="s">
        <v>3360</v>
      </c>
      <c r="F22" s="3096">
        <v>445897502.80000001</v>
      </c>
      <c r="G22" s="3097">
        <v>436763303.32000005</v>
      </c>
      <c r="H22" s="3094" t="s">
        <v>3361</v>
      </c>
      <c r="I22" s="3096">
        <v>433785851.06999999</v>
      </c>
      <c r="J22" s="3099">
        <v>445340661.29000008</v>
      </c>
    </row>
    <row r="23" spans="1:10" ht="14.25">
      <c r="A23" s="3090" t="s">
        <v>3362</v>
      </c>
      <c r="B23" s="3088">
        <v>0</v>
      </c>
      <c r="C23" s="3089">
        <v>0</v>
      </c>
      <c r="D23" s="3063"/>
      <c r="E23" s="3083" t="s">
        <v>3363</v>
      </c>
      <c r="F23" s="3100"/>
      <c r="G23" s="3101"/>
      <c r="H23" s="3083" t="s">
        <v>3364</v>
      </c>
      <c r="I23" s="3100"/>
      <c r="J23" s="3102"/>
    </row>
    <row r="24" spans="1:10" ht="14.25">
      <c r="A24" s="3090" t="s">
        <v>3365</v>
      </c>
      <c r="B24" s="3088">
        <v>0</v>
      </c>
      <c r="C24" s="3089">
        <v>0</v>
      </c>
      <c r="D24" s="3063"/>
      <c r="E24" s="3090" t="s">
        <v>3366</v>
      </c>
      <c r="F24" s="3091">
        <v>0</v>
      </c>
      <c r="G24" s="3092">
        <v>10000000</v>
      </c>
      <c r="H24" s="3090" t="s">
        <v>3367</v>
      </c>
      <c r="I24" s="3091">
        <v>0</v>
      </c>
      <c r="J24" s="3093">
        <v>0</v>
      </c>
    </row>
    <row r="25" spans="1:10" ht="14.25">
      <c r="A25" s="3080" t="s">
        <v>3368</v>
      </c>
      <c r="B25" s="3081">
        <v>-9378744.3100000005</v>
      </c>
      <c r="C25" s="3082">
        <v>-10692794.499999998</v>
      </c>
      <c r="D25" s="3063"/>
      <c r="E25" s="3090" t="s">
        <v>3369</v>
      </c>
      <c r="F25" s="3091">
        <v>0</v>
      </c>
      <c r="G25" s="3092">
        <v>0</v>
      </c>
      <c r="H25" s="3090" t="s">
        <v>3370</v>
      </c>
      <c r="I25" s="3091">
        <v>0</v>
      </c>
      <c r="J25" s="3093">
        <v>0</v>
      </c>
    </row>
    <row r="26" spans="1:10" ht="14.25">
      <c r="A26" s="3090" t="s">
        <v>3371</v>
      </c>
      <c r="B26" s="3088">
        <v>0</v>
      </c>
      <c r="C26" s="3089">
        <v>0</v>
      </c>
      <c r="D26" s="3063"/>
      <c r="E26" s="3090" t="s">
        <v>3372</v>
      </c>
      <c r="F26" s="3091">
        <v>0</v>
      </c>
      <c r="G26" s="3091">
        <v>0</v>
      </c>
      <c r="H26" s="3090" t="s">
        <v>3373</v>
      </c>
      <c r="I26" s="3091">
        <v>0</v>
      </c>
      <c r="J26" s="3093">
        <v>0</v>
      </c>
    </row>
    <row r="27" spans="1:10" ht="14.25">
      <c r="A27" s="3080" t="s">
        <v>3374</v>
      </c>
      <c r="B27" s="3081">
        <v>-9378744.3100000005</v>
      </c>
      <c r="C27" s="3082">
        <v>-10692794.499999998</v>
      </c>
      <c r="D27" s="3063"/>
      <c r="E27" s="3090" t="s">
        <v>3375</v>
      </c>
      <c r="F27" s="3091">
        <v>0</v>
      </c>
      <c r="G27" s="3092">
        <v>0</v>
      </c>
      <c r="H27" s="3090" t="s">
        <v>3376</v>
      </c>
      <c r="I27" s="3091">
        <v>0</v>
      </c>
      <c r="J27" s="3093">
        <v>0</v>
      </c>
    </row>
    <row r="28" spans="1:10" ht="14.25">
      <c r="A28" s="3090" t="s">
        <v>3377</v>
      </c>
      <c r="B28" s="3088">
        <v>-9378744.3100000005</v>
      </c>
      <c r="C28" s="3089">
        <v>-10692794.499999998</v>
      </c>
      <c r="D28" s="3063"/>
      <c r="E28" s="3090" t="s">
        <v>3378</v>
      </c>
      <c r="F28" s="3091">
        <v>0</v>
      </c>
      <c r="G28" s="3092">
        <v>0</v>
      </c>
      <c r="H28" s="3090" t="s">
        <v>3379</v>
      </c>
      <c r="I28" s="3091">
        <v>0</v>
      </c>
      <c r="J28" s="3093">
        <v>0</v>
      </c>
    </row>
    <row r="29" spans="1:10" ht="14.25">
      <c r="A29" s="3090" t="s">
        <v>3380</v>
      </c>
      <c r="B29" s="3088">
        <v>0</v>
      </c>
      <c r="C29" s="3089">
        <v>0</v>
      </c>
      <c r="D29" s="3063"/>
      <c r="E29" s="3087"/>
      <c r="F29" s="3091"/>
      <c r="G29" s="3092"/>
      <c r="H29" s="3087" t="s">
        <v>3381</v>
      </c>
      <c r="I29" s="3091">
        <v>0</v>
      </c>
      <c r="J29" s="3093">
        <v>0</v>
      </c>
    </row>
    <row r="30" spans="1:10" ht="14.25">
      <c r="A30" s="3090" t="s">
        <v>3382</v>
      </c>
      <c r="B30" s="3088">
        <v>0</v>
      </c>
      <c r="C30" s="3089">
        <v>0</v>
      </c>
      <c r="D30" s="3063"/>
      <c r="E30" s="3083" t="s">
        <v>3383</v>
      </c>
      <c r="F30" s="3100"/>
      <c r="G30" s="3101"/>
      <c r="H30" s="3090" t="s">
        <v>3384</v>
      </c>
      <c r="I30" s="3091">
        <v>0</v>
      </c>
      <c r="J30" s="3093">
        <v>0</v>
      </c>
    </row>
    <row r="31" spans="1:10" ht="14.25">
      <c r="A31" s="3090" t="s">
        <v>3385</v>
      </c>
      <c r="B31" s="3088">
        <v>0</v>
      </c>
      <c r="C31" s="3089">
        <v>0</v>
      </c>
      <c r="D31" s="3063"/>
      <c r="E31" s="3087" t="s">
        <v>3386</v>
      </c>
      <c r="F31" s="3091">
        <v>47090</v>
      </c>
      <c r="G31" s="3091">
        <v>47090</v>
      </c>
      <c r="H31" s="3087"/>
      <c r="I31" s="3091"/>
      <c r="J31" s="3093"/>
    </row>
    <row r="32" spans="1:10" ht="14.25">
      <c r="A32" s="3090" t="s">
        <v>3387</v>
      </c>
      <c r="B32" s="3088">
        <v>0</v>
      </c>
      <c r="C32" s="3089">
        <v>0</v>
      </c>
      <c r="D32" s="3063"/>
      <c r="E32" s="3087" t="s">
        <v>3388</v>
      </c>
      <c r="F32" s="3091">
        <v>30542.5</v>
      </c>
      <c r="G32" s="3091">
        <v>34327.300000000003</v>
      </c>
      <c r="H32" s="3094" t="s">
        <v>3389</v>
      </c>
      <c r="I32" s="3096">
        <v>0</v>
      </c>
      <c r="J32" s="3099">
        <v>0</v>
      </c>
    </row>
    <row r="33" spans="1:10" ht="14.25">
      <c r="A33" s="3103"/>
      <c r="B33" s="3103"/>
      <c r="C33" s="3103"/>
      <c r="D33" s="3063"/>
      <c r="E33" s="3087" t="s">
        <v>3390</v>
      </c>
      <c r="F33" s="3091">
        <v>0</v>
      </c>
      <c r="G33" s="3091">
        <v>0</v>
      </c>
      <c r="H33" s="3094" t="s">
        <v>3391</v>
      </c>
      <c r="I33" s="3096">
        <v>433785851.06999999</v>
      </c>
      <c r="J33" s="3099">
        <v>445340661.29000008</v>
      </c>
    </row>
    <row r="34" spans="1:10" ht="14.25">
      <c r="A34" s="3104"/>
      <c r="B34" s="3105"/>
      <c r="C34" s="3105"/>
      <c r="D34" s="3063"/>
      <c r="E34" s="3080" t="s">
        <v>3392</v>
      </c>
      <c r="F34" s="3096">
        <v>16547.5</v>
      </c>
      <c r="G34" s="3097">
        <v>12762.699999999997</v>
      </c>
      <c r="H34" s="3087"/>
      <c r="I34" s="3091"/>
      <c r="J34" s="3093"/>
    </row>
    <row r="35" spans="1:10" ht="14.25">
      <c r="A35" s="3104"/>
      <c r="B35" s="3105"/>
      <c r="C35" s="3105"/>
      <c r="D35" s="3063"/>
      <c r="E35" s="3087" t="s">
        <v>3393</v>
      </c>
      <c r="F35" s="3091">
        <v>0</v>
      </c>
      <c r="G35" s="3092">
        <v>0</v>
      </c>
      <c r="H35" s="3083" t="s">
        <v>3394</v>
      </c>
      <c r="I35" s="3100"/>
      <c r="J35" s="3102"/>
    </row>
    <row r="36" spans="1:10" ht="14.25">
      <c r="A36" s="3104"/>
      <c r="B36" s="3105"/>
      <c r="C36" s="3105"/>
      <c r="D36" s="3063"/>
      <c r="E36" s="3090" t="s">
        <v>3395</v>
      </c>
      <c r="F36" s="3091">
        <v>0</v>
      </c>
      <c r="G36" s="3092">
        <v>0</v>
      </c>
      <c r="H36" s="3090" t="s">
        <v>3396</v>
      </c>
      <c r="I36" s="3091">
        <v>150000000</v>
      </c>
      <c r="J36" s="3093">
        <v>150000000</v>
      </c>
    </row>
    <row r="37" spans="1:10" ht="14.25">
      <c r="A37" s="3104"/>
      <c r="B37" s="3105"/>
      <c r="C37" s="3105"/>
      <c r="D37" s="3063"/>
      <c r="E37" s="3090" t="s">
        <v>3397</v>
      </c>
      <c r="F37" s="3091">
        <v>0</v>
      </c>
      <c r="G37" s="3092">
        <v>0</v>
      </c>
      <c r="H37" s="3090" t="s">
        <v>3398</v>
      </c>
      <c r="I37" s="3091">
        <v>74221</v>
      </c>
      <c r="J37" s="3093">
        <v>74221</v>
      </c>
    </row>
    <row r="38" spans="1:10" ht="14.25">
      <c r="A38" s="3104"/>
      <c r="B38" s="3105"/>
      <c r="C38" s="3105"/>
      <c r="D38" s="3063"/>
      <c r="E38" s="3087" t="s">
        <v>3399</v>
      </c>
      <c r="F38" s="3091">
        <v>0</v>
      </c>
      <c r="G38" s="3092">
        <v>0</v>
      </c>
      <c r="H38" s="3090" t="s">
        <v>3400</v>
      </c>
      <c r="I38" s="3091">
        <v>0</v>
      </c>
      <c r="J38" s="3093">
        <v>0</v>
      </c>
    </row>
    <row r="39" spans="1:10" ht="14.25">
      <c r="A39" s="3063"/>
      <c r="B39" s="3063"/>
      <c r="C39" s="3063"/>
      <c r="D39" s="3063"/>
      <c r="E39" s="3090" t="s">
        <v>3401</v>
      </c>
      <c r="F39" s="3091">
        <v>0</v>
      </c>
      <c r="G39" s="3092">
        <v>0</v>
      </c>
      <c r="H39" s="3090" t="s">
        <v>3402</v>
      </c>
      <c r="I39" s="3091">
        <v>-137946021.77000001</v>
      </c>
      <c r="J39" s="3093">
        <v>-148638816.27000001</v>
      </c>
    </row>
    <row r="40" spans="1:10" ht="14.25">
      <c r="A40" s="3063"/>
      <c r="B40" s="3063"/>
      <c r="C40" s="3063"/>
      <c r="D40" s="3063"/>
      <c r="E40" s="3094" t="s">
        <v>3403</v>
      </c>
      <c r="F40" s="3096">
        <v>0</v>
      </c>
      <c r="G40" s="3097">
        <v>0</v>
      </c>
      <c r="H40" s="3090" t="s">
        <v>3404</v>
      </c>
      <c r="I40" s="3091">
        <v>0</v>
      </c>
      <c r="J40" s="3093">
        <v>0</v>
      </c>
    </row>
    <row r="41" spans="1:10" ht="14.25">
      <c r="A41" s="3063"/>
      <c r="B41" s="3063"/>
      <c r="C41" s="3063"/>
      <c r="D41" s="3063"/>
      <c r="E41" s="3090" t="s">
        <v>3405</v>
      </c>
      <c r="F41" s="3091">
        <v>0</v>
      </c>
      <c r="G41" s="3092">
        <v>0</v>
      </c>
      <c r="H41" s="3090" t="s">
        <v>3406</v>
      </c>
      <c r="I41" s="3091">
        <v>-137946021.77000001</v>
      </c>
      <c r="J41" s="3093">
        <v>-148638816.27000001</v>
      </c>
    </row>
    <row r="42" spans="1:10" ht="14.25">
      <c r="A42" s="3063"/>
      <c r="B42" s="3063"/>
      <c r="C42" s="3063"/>
      <c r="D42" s="3063"/>
      <c r="E42" s="3090" t="s">
        <v>3407</v>
      </c>
      <c r="F42" s="3091">
        <v>0</v>
      </c>
      <c r="G42" s="3092">
        <v>0</v>
      </c>
      <c r="H42" s="3090" t="s">
        <v>3408</v>
      </c>
      <c r="I42" s="3091">
        <v>0</v>
      </c>
      <c r="J42" s="3093">
        <v>0</v>
      </c>
    </row>
    <row r="43" spans="1:10" ht="14.25">
      <c r="A43" s="3063"/>
      <c r="B43" s="3063"/>
      <c r="C43" s="3063"/>
      <c r="D43" s="3063"/>
      <c r="E43" s="3090" t="s">
        <v>3409</v>
      </c>
      <c r="F43" s="3091">
        <v>0</v>
      </c>
      <c r="G43" s="3106">
        <v>0</v>
      </c>
      <c r="H43" s="3107" t="s">
        <v>3410</v>
      </c>
      <c r="I43" s="3091">
        <v>0</v>
      </c>
      <c r="J43" s="3093">
        <v>0</v>
      </c>
    </row>
    <row r="44" spans="1:10" ht="14.25">
      <c r="A44" s="3063"/>
      <c r="B44" s="3063"/>
      <c r="C44" s="3063"/>
      <c r="D44" s="3063"/>
      <c r="E44" s="3090" t="s">
        <v>3411</v>
      </c>
      <c r="F44" s="3091">
        <v>0</v>
      </c>
      <c r="G44" s="3106">
        <v>0</v>
      </c>
      <c r="H44" s="3107" t="s">
        <v>3412</v>
      </c>
      <c r="I44" s="3091">
        <v>0</v>
      </c>
      <c r="J44" s="3093">
        <v>0</v>
      </c>
    </row>
    <row r="45" spans="1:10" ht="14.25">
      <c r="A45" s="3063"/>
      <c r="B45" s="3063"/>
      <c r="C45" s="3063"/>
      <c r="D45" s="3063"/>
      <c r="E45" s="3094" t="s">
        <v>3413</v>
      </c>
      <c r="F45" s="3096">
        <v>16547.5</v>
      </c>
      <c r="G45" s="3097">
        <v>10012762.699999999</v>
      </c>
      <c r="H45" s="3080" t="s">
        <v>3414</v>
      </c>
      <c r="I45" s="3096">
        <v>12128199.229999989</v>
      </c>
      <c r="J45" s="3108">
        <v>1435404.7299999893</v>
      </c>
    </row>
    <row r="46" spans="1:10" ht="14.25">
      <c r="A46" s="3063"/>
      <c r="B46" s="3063"/>
      <c r="C46" s="3063"/>
      <c r="D46" s="3063"/>
      <c r="E46" s="3109" t="s">
        <v>3415</v>
      </c>
      <c r="F46" s="3110">
        <v>445914050.30000001</v>
      </c>
      <c r="G46" s="3111">
        <v>446776066.02000004</v>
      </c>
      <c r="H46" s="3112" t="s">
        <v>3416</v>
      </c>
      <c r="I46" s="3110">
        <v>445914050.29999995</v>
      </c>
      <c r="J46" s="3113">
        <v>446776066.0200001</v>
      </c>
    </row>
  </sheetData>
  <mergeCells count="3">
    <mergeCell ref="A1:C1"/>
    <mergeCell ref="E1:J1"/>
    <mergeCell ref="G3:H3"/>
  </mergeCells>
  <phoneticPr fontId="14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workbookViewId="0">
      <selection activeCell="B7" sqref="B7"/>
    </sheetView>
  </sheetViews>
  <sheetFormatPr defaultRowHeight="12.75"/>
  <cols>
    <col min="1" max="1" width="23.375" style="3055" customWidth="1"/>
    <col min="2" max="2" width="19.5" style="3055" customWidth="1"/>
    <col min="3" max="3" width="17" style="3055" customWidth="1"/>
    <col min="4" max="4" width="22.375" style="3055" customWidth="1"/>
    <col min="5" max="5" width="20.375" style="3055" customWidth="1"/>
    <col min="6" max="6" width="18.875" style="3055" customWidth="1"/>
    <col min="7" max="256" width="9" style="3055"/>
    <col min="257" max="257" width="23.375" style="3055" customWidth="1"/>
    <col min="258" max="258" width="19.5" style="3055" customWidth="1"/>
    <col min="259" max="259" width="17" style="3055" customWidth="1"/>
    <col min="260" max="260" width="22.375" style="3055" customWidth="1"/>
    <col min="261" max="261" width="20.375" style="3055" customWidth="1"/>
    <col min="262" max="262" width="18.875" style="3055" customWidth="1"/>
    <col min="263" max="512" width="9" style="3055"/>
    <col min="513" max="513" width="23.375" style="3055" customWidth="1"/>
    <col min="514" max="514" width="19.5" style="3055" customWidth="1"/>
    <col min="515" max="515" width="17" style="3055" customWidth="1"/>
    <col min="516" max="516" width="22.375" style="3055" customWidth="1"/>
    <col min="517" max="517" width="20.375" style="3055" customWidth="1"/>
    <col min="518" max="518" width="18.875" style="3055" customWidth="1"/>
    <col min="519" max="768" width="9" style="3055"/>
    <col min="769" max="769" width="23.375" style="3055" customWidth="1"/>
    <col min="770" max="770" width="19.5" style="3055" customWidth="1"/>
    <col min="771" max="771" width="17" style="3055" customWidth="1"/>
    <col min="772" max="772" width="22.375" style="3055" customWidth="1"/>
    <col min="773" max="773" width="20.375" style="3055" customWidth="1"/>
    <col min="774" max="774" width="18.875" style="3055" customWidth="1"/>
    <col min="775" max="1024" width="9" style="3055"/>
    <col min="1025" max="1025" width="23.375" style="3055" customWidth="1"/>
    <col min="1026" max="1026" width="19.5" style="3055" customWidth="1"/>
    <col min="1027" max="1027" width="17" style="3055" customWidth="1"/>
    <col min="1028" max="1028" width="22.375" style="3055" customWidth="1"/>
    <col min="1029" max="1029" width="20.375" style="3055" customWidth="1"/>
    <col min="1030" max="1030" width="18.875" style="3055" customWidth="1"/>
    <col min="1031" max="1280" width="9" style="3055"/>
    <col min="1281" max="1281" width="23.375" style="3055" customWidth="1"/>
    <col min="1282" max="1282" width="19.5" style="3055" customWidth="1"/>
    <col min="1283" max="1283" width="17" style="3055" customWidth="1"/>
    <col min="1284" max="1284" width="22.375" style="3055" customWidth="1"/>
    <col min="1285" max="1285" width="20.375" style="3055" customWidth="1"/>
    <col min="1286" max="1286" width="18.875" style="3055" customWidth="1"/>
    <col min="1287" max="1536" width="9" style="3055"/>
    <col min="1537" max="1537" width="23.375" style="3055" customWidth="1"/>
    <col min="1538" max="1538" width="19.5" style="3055" customWidth="1"/>
    <col min="1539" max="1539" width="17" style="3055" customWidth="1"/>
    <col min="1540" max="1540" width="22.375" style="3055" customWidth="1"/>
    <col min="1541" max="1541" width="20.375" style="3055" customWidth="1"/>
    <col min="1542" max="1542" width="18.875" style="3055" customWidth="1"/>
    <col min="1543" max="1792" width="9" style="3055"/>
    <col min="1793" max="1793" width="23.375" style="3055" customWidth="1"/>
    <col min="1794" max="1794" width="19.5" style="3055" customWidth="1"/>
    <col min="1795" max="1795" width="17" style="3055" customWidth="1"/>
    <col min="1796" max="1796" width="22.375" style="3055" customWidth="1"/>
    <col min="1797" max="1797" width="20.375" style="3055" customWidth="1"/>
    <col min="1798" max="1798" width="18.875" style="3055" customWidth="1"/>
    <col min="1799" max="2048" width="9" style="3055"/>
    <col min="2049" max="2049" width="23.375" style="3055" customWidth="1"/>
    <col min="2050" max="2050" width="19.5" style="3055" customWidth="1"/>
    <col min="2051" max="2051" width="17" style="3055" customWidth="1"/>
    <col min="2052" max="2052" width="22.375" style="3055" customWidth="1"/>
    <col min="2053" max="2053" width="20.375" style="3055" customWidth="1"/>
    <col min="2054" max="2054" width="18.875" style="3055" customWidth="1"/>
    <col min="2055" max="2304" width="9" style="3055"/>
    <col min="2305" max="2305" width="23.375" style="3055" customWidth="1"/>
    <col min="2306" max="2306" width="19.5" style="3055" customWidth="1"/>
    <col min="2307" max="2307" width="17" style="3055" customWidth="1"/>
    <col min="2308" max="2308" width="22.375" style="3055" customWidth="1"/>
    <col min="2309" max="2309" width="20.375" style="3055" customWidth="1"/>
    <col min="2310" max="2310" width="18.875" style="3055" customWidth="1"/>
    <col min="2311" max="2560" width="9" style="3055"/>
    <col min="2561" max="2561" width="23.375" style="3055" customWidth="1"/>
    <col min="2562" max="2562" width="19.5" style="3055" customWidth="1"/>
    <col min="2563" max="2563" width="17" style="3055" customWidth="1"/>
    <col min="2564" max="2564" width="22.375" style="3055" customWidth="1"/>
    <col min="2565" max="2565" width="20.375" style="3055" customWidth="1"/>
    <col min="2566" max="2566" width="18.875" style="3055" customWidth="1"/>
    <col min="2567" max="2816" width="9" style="3055"/>
    <col min="2817" max="2817" width="23.375" style="3055" customWidth="1"/>
    <col min="2818" max="2818" width="19.5" style="3055" customWidth="1"/>
    <col min="2819" max="2819" width="17" style="3055" customWidth="1"/>
    <col min="2820" max="2820" width="22.375" style="3055" customWidth="1"/>
    <col min="2821" max="2821" width="20.375" style="3055" customWidth="1"/>
    <col min="2822" max="2822" width="18.875" style="3055" customWidth="1"/>
    <col min="2823" max="3072" width="9" style="3055"/>
    <col min="3073" max="3073" width="23.375" style="3055" customWidth="1"/>
    <col min="3074" max="3074" width="19.5" style="3055" customWidth="1"/>
    <col min="3075" max="3075" width="17" style="3055" customWidth="1"/>
    <col min="3076" max="3076" width="22.375" style="3055" customWidth="1"/>
    <col min="3077" max="3077" width="20.375" style="3055" customWidth="1"/>
    <col min="3078" max="3078" width="18.875" style="3055" customWidth="1"/>
    <col min="3079" max="3328" width="9" style="3055"/>
    <col min="3329" max="3329" width="23.375" style="3055" customWidth="1"/>
    <col min="3330" max="3330" width="19.5" style="3055" customWidth="1"/>
    <col min="3331" max="3331" width="17" style="3055" customWidth="1"/>
    <col min="3332" max="3332" width="22.375" style="3055" customWidth="1"/>
    <col min="3333" max="3333" width="20.375" style="3055" customWidth="1"/>
    <col min="3334" max="3334" width="18.875" style="3055" customWidth="1"/>
    <col min="3335" max="3584" width="9" style="3055"/>
    <col min="3585" max="3585" width="23.375" style="3055" customWidth="1"/>
    <col min="3586" max="3586" width="19.5" style="3055" customWidth="1"/>
    <col min="3587" max="3587" width="17" style="3055" customWidth="1"/>
    <col min="3588" max="3588" width="22.375" style="3055" customWidth="1"/>
    <col min="3589" max="3589" width="20.375" style="3055" customWidth="1"/>
    <col min="3590" max="3590" width="18.875" style="3055" customWidth="1"/>
    <col min="3591" max="3840" width="9" style="3055"/>
    <col min="3841" max="3841" width="23.375" style="3055" customWidth="1"/>
    <col min="3842" max="3842" width="19.5" style="3055" customWidth="1"/>
    <col min="3843" max="3843" width="17" style="3055" customWidth="1"/>
    <col min="3844" max="3844" width="22.375" style="3055" customWidth="1"/>
    <col min="3845" max="3845" width="20.375" style="3055" customWidth="1"/>
    <col min="3846" max="3846" width="18.875" style="3055" customWidth="1"/>
    <col min="3847" max="4096" width="9" style="3055"/>
    <col min="4097" max="4097" width="23.375" style="3055" customWidth="1"/>
    <col min="4098" max="4098" width="19.5" style="3055" customWidth="1"/>
    <col min="4099" max="4099" width="17" style="3055" customWidth="1"/>
    <col min="4100" max="4100" width="22.375" style="3055" customWidth="1"/>
    <col min="4101" max="4101" width="20.375" style="3055" customWidth="1"/>
    <col min="4102" max="4102" width="18.875" style="3055" customWidth="1"/>
    <col min="4103" max="4352" width="9" style="3055"/>
    <col min="4353" max="4353" width="23.375" style="3055" customWidth="1"/>
    <col min="4354" max="4354" width="19.5" style="3055" customWidth="1"/>
    <col min="4355" max="4355" width="17" style="3055" customWidth="1"/>
    <col min="4356" max="4356" width="22.375" style="3055" customWidth="1"/>
    <col min="4357" max="4357" width="20.375" style="3055" customWidth="1"/>
    <col min="4358" max="4358" width="18.875" style="3055" customWidth="1"/>
    <col min="4359" max="4608" width="9" style="3055"/>
    <col min="4609" max="4609" width="23.375" style="3055" customWidth="1"/>
    <col min="4610" max="4610" width="19.5" style="3055" customWidth="1"/>
    <col min="4611" max="4611" width="17" style="3055" customWidth="1"/>
    <col min="4612" max="4612" width="22.375" style="3055" customWidth="1"/>
    <col min="4613" max="4613" width="20.375" style="3055" customWidth="1"/>
    <col min="4614" max="4614" width="18.875" style="3055" customWidth="1"/>
    <col min="4615" max="4864" width="9" style="3055"/>
    <col min="4865" max="4865" width="23.375" style="3055" customWidth="1"/>
    <col min="4866" max="4866" width="19.5" style="3055" customWidth="1"/>
    <col min="4867" max="4867" width="17" style="3055" customWidth="1"/>
    <col min="4868" max="4868" width="22.375" style="3055" customWidth="1"/>
    <col min="4869" max="4869" width="20.375" style="3055" customWidth="1"/>
    <col min="4870" max="4870" width="18.875" style="3055" customWidth="1"/>
    <col min="4871" max="5120" width="9" style="3055"/>
    <col min="5121" max="5121" width="23.375" style="3055" customWidth="1"/>
    <col min="5122" max="5122" width="19.5" style="3055" customWidth="1"/>
    <col min="5123" max="5123" width="17" style="3055" customWidth="1"/>
    <col min="5124" max="5124" width="22.375" style="3055" customWidth="1"/>
    <col min="5125" max="5125" width="20.375" style="3055" customWidth="1"/>
    <col min="5126" max="5126" width="18.875" style="3055" customWidth="1"/>
    <col min="5127" max="5376" width="9" style="3055"/>
    <col min="5377" max="5377" width="23.375" style="3055" customWidth="1"/>
    <col min="5378" max="5378" width="19.5" style="3055" customWidth="1"/>
    <col min="5379" max="5379" width="17" style="3055" customWidth="1"/>
    <col min="5380" max="5380" width="22.375" style="3055" customWidth="1"/>
    <col min="5381" max="5381" width="20.375" style="3055" customWidth="1"/>
    <col min="5382" max="5382" width="18.875" style="3055" customWidth="1"/>
    <col min="5383" max="5632" width="9" style="3055"/>
    <col min="5633" max="5633" width="23.375" style="3055" customWidth="1"/>
    <col min="5634" max="5634" width="19.5" style="3055" customWidth="1"/>
    <col min="5635" max="5635" width="17" style="3055" customWidth="1"/>
    <col min="5636" max="5636" width="22.375" style="3055" customWidth="1"/>
    <col min="5637" max="5637" width="20.375" style="3055" customWidth="1"/>
    <col min="5638" max="5638" width="18.875" style="3055" customWidth="1"/>
    <col min="5639" max="5888" width="9" style="3055"/>
    <col min="5889" max="5889" width="23.375" style="3055" customWidth="1"/>
    <col min="5890" max="5890" width="19.5" style="3055" customWidth="1"/>
    <col min="5891" max="5891" width="17" style="3055" customWidth="1"/>
    <col min="5892" max="5892" width="22.375" style="3055" customWidth="1"/>
    <col min="5893" max="5893" width="20.375" style="3055" customWidth="1"/>
    <col min="5894" max="5894" width="18.875" style="3055" customWidth="1"/>
    <col min="5895" max="6144" width="9" style="3055"/>
    <col min="6145" max="6145" width="23.375" style="3055" customWidth="1"/>
    <col min="6146" max="6146" width="19.5" style="3055" customWidth="1"/>
    <col min="6147" max="6147" width="17" style="3055" customWidth="1"/>
    <col min="6148" max="6148" width="22.375" style="3055" customWidth="1"/>
    <col min="6149" max="6149" width="20.375" style="3055" customWidth="1"/>
    <col min="6150" max="6150" width="18.875" style="3055" customWidth="1"/>
    <col min="6151" max="6400" width="9" style="3055"/>
    <col min="6401" max="6401" width="23.375" style="3055" customWidth="1"/>
    <col min="6402" max="6402" width="19.5" style="3055" customWidth="1"/>
    <col min="6403" max="6403" width="17" style="3055" customWidth="1"/>
    <col min="6404" max="6404" width="22.375" style="3055" customWidth="1"/>
    <col min="6405" max="6405" width="20.375" style="3055" customWidth="1"/>
    <col min="6406" max="6406" width="18.875" style="3055" customWidth="1"/>
    <col min="6407" max="6656" width="9" style="3055"/>
    <col min="6657" max="6657" width="23.375" style="3055" customWidth="1"/>
    <col min="6658" max="6658" width="19.5" style="3055" customWidth="1"/>
    <col min="6659" max="6659" width="17" style="3055" customWidth="1"/>
    <col min="6660" max="6660" width="22.375" style="3055" customWidth="1"/>
    <col min="6661" max="6661" width="20.375" style="3055" customWidth="1"/>
    <col min="6662" max="6662" width="18.875" style="3055" customWidth="1"/>
    <col min="6663" max="6912" width="9" style="3055"/>
    <col min="6913" max="6913" width="23.375" style="3055" customWidth="1"/>
    <col min="6914" max="6914" width="19.5" style="3055" customWidth="1"/>
    <col min="6915" max="6915" width="17" style="3055" customWidth="1"/>
    <col min="6916" max="6916" width="22.375" style="3055" customWidth="1"/>
    <col min="6917" max="6917" width="20.375" style="3055" customWidth="1"/>
    <col min="6918" max="6918" width="18.875" style="3055" customWidth="1"/>
    <col min="6919" max="7168" width="9" style="3055"/>
    <col min="7169" max="7169" width="23.375" style="3055" customWidth="1"/>
    <col min="7170" max="7170" width="19.5" style="3055" customWidth="1"/>
    <col min="7171" max="7171" width="17" style="3055" customWidth="1"/>
    <col min="7172" max="7172" width="22.375" style="3055" customWidth="1"/>
    <col min="7173" max="7173" width="20.375" style="3055" customWidth="1"/>
    <col min="7174" max="7174" width="18.875" style="3055" customWidth="1"/>
    <col min="7175" max="7424" width="9" style="3055"/>
    <col min="7425" max="7425" width="23.375" style="3055" customWidth="1"/>
    <col min="7426" max="7426" width="19.5" style="3055" customWidth="1"/>
    <col min="7427" max="7427" width="17" style="3055" customWidth="1"/>
    <col min="7428" max="7428" width="22.375" style="3055" customWidth="1"/>
    <col min="7429" max="7429" width="20.375" style="3055" customWidth="1"/>
    <col min="7430" max="7430" width="18.875" style="3055" customWidth="1"/>
    <col min="7431" max="7680" width="9" style="3055"/>
    <col min="7681" max="7681" width="23.375" style="3055" customWidth="1"/>
    <col min="7682" max="7682" width="19.5" style="3055" customWidth="1"/>
    <col min="7683" max="7683" width="17" style="3055" customWidth="1"/>
    <col min="7684" max="7684" width="22.375" style="3055" customWidth="1"/>
    <col min="7685" max="7685" width="20.375" style="3055" customWidth="1"/>
    <col min="7686" max="7686" width="18.875" style="3055" customWidth="1"/>
    <col min="7687" max="7936" width="9" style="3055"/>
    <col min="7937" max="7937" width="23.375" style="3055" customWidth="1"/>
    <col min="7938" max="7938" width="19.5" style="3055" customWidth="1"/>
    <col min="7939" max="7939" width="17" style="3055" customWidth="1"/>
    <col min="7940" max="7940" width="22.375" style="3055" customWidth="1"/>
    <col min="7941" max="7941" width="20.375" style="3055" customWidth="1"/>
    <col min="7942" max="7942" width="18.875" style="3055" customWidth="1"/>
    <col min="7943" max="8192" width="9" style="3055"/>
    <col min="8193" max="8193" width="23.375" style="3055" customWidth="1"/>
    <col min="8194" max="8194" width="19.5" style="3055" customWidth="1"/>
    <col min="8195" max="8195" width="17" style="3055" customWidth="1"/>
    <col min="8196" max="8196" width="22.375" style="3055" customWidth="1"/>
    <col min="8197" max="8197" width="20.375" style="3055" customWidth="1"/>
    <col min="8198" max="8198" width="18.875" style="3055" customWidth="1"/>
    <col min="8199" max="8448" width="9" style="3055"/>
    <col min="8449" max="8449" width="23.375" style="3055" customWidth="1"/>
    <col min="8450" max="8450" width="19.5" style="3055" customWidth="1"/>
    <col min="8451" max="8451" width="17" style="3055" customWidth="1"/>
    <col min="8452" max="8452" width="22.375" style="3055" customWidth="1"/>
    <col min="8453" max="8453" width="20.375" style="3055" customWidth="1"/>
    <col min="8454" max="8454" width="18.875" style="3055" customWidth="1"/>
    <col min="8455" max="8704" width="9" style="3055"/>
    <col min="8705" max="8705" width="23.375" style="3055" customWidth="1"/>
    <col min="8706" max="8706" width="19.5" style="3055" customWidth="1"/>
    <col min="8707" max="8707" width="17" style="3055" customWidth="1"/>
    <col min="8708" max="8708" width="22.375" style="3055" customWidth="1"/>
    <col min="8709" max="8709" width="20.375" style="3055" customWidth="1"/>
    <col min="8710" max="8710" width="18.875" style="3055" customWidth="1"/>
    <col min="8711" max="8960" width="9" style="3055"/>
    <col min="8961" max="8961" width="23.375" style="3055" customWidth="1"/>
    <col min="8962" max="8962" width="19.5" style="3055" customWidth="1"/>
    <col min="8963" max="8963" width="17" style="3055" customWidth="1"/>
    <col min="8964" max="8964" width="22.375" style="3055" customWidth="1"/>
    <col min="8965" max="8965" width="20.375" style="3055" customWidth="1"/>
    <col min="8966" max="8966" width="18.875" style="3055" customWidth="1"/>
    <col min="8967" max="9216" width="9" style="3055"/>
    <col min="9217" max="9217" width="23.375" style="3055" customWidth="1"/>
    <col min="9218" max="9218" width="19.5" style="3055" customWidth="1"/>
    <col min="9219" max="9219" width="17" style="3055" customWidth="1"/>
    <col min="9220" max="9220" width="22.375" style="3055" customWidth="1"/>
    <col min="9221" max="9221" width="20.375" style="3055" customWidth="1"/>
    <col min="9222" max="9222" width="18.875" style="3055" customWidth="1"/>
    <col min="9223" max="9472" width="9" style="3055"/>
    <col min="9473" max="9473" width="23.375" style="3055" customWidth="1"/>
    <col min="9474" max="9474" width="19.5" style="3055" customWidth="1"/>
    <col min="9475" max="9475" width="17" style="3055" customWidth="1"/>
    <col min="9476" max="9476" width="22.375" style="3055" customWidth="1"/>
    <col min="9477" max="9477" width="20.375" style="3055" customWidth="1"/>
    <col min="9478" max="9478" width="18.875" style="3055" customWidth="1"/>
    <col min="9479" max="9728" width="9" style="3055"/>
    <col min="9729" max="9729" width="23.375" style="3055" customWidth="1"/>
    <col min="9730" max="9730" width="19.5" style="3055" customWidth="1"/>
    <col min="9731" max="9731" width="17" style="3055" customWidth="1"/>
    <col min="9732" max="9732" width="22.375" style="3055" customWidth="1"/>
    <col min="9733" max="9733" width="20.375" style="3055" customWidth="1"/>
    <col min="9734" max="9734" width="18.875" style="3055" customWidth="1"/>
    <col min="9735" max="9984" width="9" style="3055"/>
    <col min="9985" max="9985" width="23.375" style="3055" customWidth="1"/>
    <col min="9986" max="9986" width="19.5" style="3055" customWidth="1"/>
    <col min="9987" max="9987" width="17" style="3055" customWidth="1"/>
    <col min="9988" max="9988" width="22.375" style="3055" customWidth="1"/>
    <col min="9989" max="9989" width="20.375" style="3055" customWidth="1"/>
    <col min="9990" max="9990" width="18.875" style="3055" customWidth="1"/>
    <col min="9991" max="10240" width="9" style="3055"/>
    <col min="10241" max="10241" width="23.375" style="3055" customWidth="1"/>
    <col min="10242" max="10242" width="19.5" style="3055" customWidth="1"/>
    <col min="10243" max="10243" width="17" style="3055" customWidth="1"/>
    <col min="10244" max="10244" width="22.375" style="3055" customWidth="1"/>
    <col min="10245" max="10245" width="20.375" style="3055" customWidth="1"/>
    <col min="10246" max="10246" width="18.875" style="3055" customWidth="1"/>
    <col min="10247" max="10496" width="9" style="3055"/>
    <col min="10497" max="10497" width="23.375" style="3055" customWidth="1"/>
    <col min="10498" max="10498" width="19.5" style="3055" customWidth="1"/>
    <col min="10499" max="10499" width="17" style="3055" customWidth="1"/>
    <col min="10500" max="10500" width="22.375" style="3055" customWidth="1"/>
    <col min="10501" max="10501" width="20.375" style="3055" customWidth="1"/>
    <col min="10502" max="10502" width="18.875" style="3055" customWidth="1"/>
    <col min="10503" max="10752" width="9" style="3055"/>
    <col min="10753" max="10753" width="23.375" style="3055" customWidth="1"/>
    <col min="10754" max="10754" width="19.5" style="3055" customWidth="1"/>
    <col min="10755" max="10755" width="17" style="3055" customWidth="1"/>
    <col min="10756" max="10756" width="22.375" style="3055" customWidth="1"/>
    <col min="10757" max="10757" width="20.375" style="3055" customWidth="1"/>
    <col min="10758" max="10758" width="18.875" style="3055" customWidth="1"/>
    <col min="10759" max="11008" width="9" style="3055"/>
    <col min="11009" max="11009" width="23.375" style="3055" customWidth="1"/>
    <col min="11010" max="11010" width="19.5" style="3055" customWidth="1"/>
    <col min="11011" max="11011" width="17" style="3055" customWidth="1"/>
    <col min="11012" max="11012" width="22.375" style="3055" customWidth="1"/>
    <col min="11013" max="11013" width="20.375" style="3055" customWidth="1"/>
    <col min="11014" max="11014" width="18.875" style="3055" customWidth="1"/>
    <col min="11015" max="11264" width="9" style="3055"/>
    <col min="11265" max="11265" width="23.375" style="3055" customWidth="1"/>
    <col min="11266" max="11266" width="19.5" style="3055" customWidth="1"/>
    <col min="11267" max="11267" width="17" style="3055" customWidth="1"/>
    <col min="11268" max="11268" width="22.375" style="3055" customWidth="1"/>
    <col min="11269" max="11269" width="20.375" style="3055" customWidth="1"/>
    <col min="11270" max="11270" width="18.875" style="3055" customWidth="1"/>
    <col min="11271" max="11520" width="9" style="3055"/>
    <col min="11521" max="11521" width="23.375" style="3055" customWidth="1"/>
    <col min="11522" max="11522" width="19.5" style="3055" customWidth="1"/>
    <col min="11523" max="11523" width="17" style="3055" customWidth="1"/>
    <col min="11524" max="11524" width="22.375" style="3055" customWidth="1"/>
    <col min="11525" max="11525" width="20.375" style="3055" customWidth="1"/>
    <col min="11526" max="11526" width="18.875" style="3055" customWidth="1"/>
    <col min="11527" max="11776" width="9" style="3055"/>
    <col min="11777" max="11777" width="23.375" style="3055" customWidth="1"/>
    <col min="11778" max="11778" width="19.5" style="3055" customWidth="1"/>
    <col min="11779" max="11779" width="17" style="3055" customWidth="1"/>
    <col min="11780" max="11780" width="22.375" style="3055" customWidth="1"/>
    <col min="11781" max="11781" width="20.375" style="3055" customWidth="1"/>
    <col min="11782" max="11782" width="18.875" style="3055" customWidth="1"/>
    <col min="11783" max="12032" width="9" style="3055"/>
    <col min="12033" max="12033" width="23.375" style="3055" customWidth="1"/>
    <col min="12034" max="12034" width="19.5" style="3055" customWidth="1"/>
    <col min="12035" max="12035" width="17" style="3055" customWidth="1"/>
    <col min="12036" max="12036" width="22.375" style="3055" customWidth="1"/>
    <col min="12037" max="12037" width="20.375" style="3055" customWidth="1"/>
    <col min="12038" max="12038" width="18.875" style="3055" customWidth="1"/>
    <col min="12039" max="12288" width="9" style="3055"/>
    <col min="12289" max="12289" width="23.375" style="3055" customWidth="1"/>
    <col min="12290" max="12290" width="19.5" style="3055" customWidth="1"/>
    <col min="12291" max="12291" width="17" style="3055" customWidth="1"/>
    <col min="12292" max="12292" width="22.375" style="3055" customWidth="1"/>
    <col min="12293" max="12293" width="20.375" style="3055" customWidth="1"/>
    <col min="12294" max="12294" width="18.875" style="3055" customWidth="1"/>
    <col min="12295" max="12544" width="9" style="3055"/>
    <col min="12545" max="12545" width="23.375" style="3055" customWidth="1"/>
    <col min="12546" max="12546" width="19.5" style="3055" customWidth="1"/>
    <col min="12547" max="12547" width="17" style="3055" customWidth="1"/>
    <col min="12548" max="12548" width="22.375" style="3055" customWidth="1"/>
    <col min="12549" max="12549" width="20.375" style="3055" customWidth="1"/>
    <col min="12550" max="12550" width="18.875" style="3055" customWidth="1"/>
    <col min="12551" max="12800" width="9" style="3055"/>
    <col min="12801" max="12801" width="23.375" style="3055" customWidth="1"/>
    <col min="12802" max="12802" width="19.5" style="3055" customWidth="1"/>
    <col min="12803" max="12803" width="17" style="3055" customWidth="1"/>
    <col min="12804" max="12804" width="22.375" style="3055" customWidth="1"/>
    <col min="12805" max="12805" width="20.375" style="3055" customWidth="1"/>
    <col min="12806" max="12806" width="18.875" style="3055" customWidth="1"/>
    <col min="12807" max="13056" width="9" style="3055"/>
    <col min="13057" max="13057" width="23.375" style="3055" customWidth="1"/>
    <col min="13058" max="13058" width="19.5" style="3055" customWidth="1"/>
    <col min="13059" max="13059" width="17" style="3055" customWidth="1"/>
    <col min="13060" max="13060" width="22.375" style="3055" customWidth="1"/>
    <col min="13061" max="13061" width="20.375" style="3055" customWidth="1"/>
    <col min="13062" max="13062" width="18.875" style="3055" customWidth="1"/>
    <col min="13063" max="13312" width="9" style="3055"/>
    <col min="13313" max="13313" width="23.375" style="3055" customWidth="1"/>
    <col min="13314" max="13314" width="19.5" style="3055" customWidth="1"/>
    <col min="13315" max="13315" width="17" style="3055" customWidth="1"/>
    <col min="13316" max="13316" width="22.375" style="3055" customWidth="1"/>
    <col min="13317" max="13317" width="20.375" style="3055" customWidth="1"/>
    <col min="13318" max="13318" width="18.875" style="3055" customWidth="1"/>
    <col min="13319" max="13568" width="9" style="3055"/>
    <col min="13569" max="13569" width="23.375" style="3055" customWidth="1"/>
    <col min="13570" max="13570" width="19.5" style="3055" customWidth="1"/>
    <col min="13571" max="13571" width="17" style="3055" customWidth="1"/>
    <col min="13572" max="13572" width="22.375" style="3055" customWidth="1"/>
    <col min="13573" max="13573" width="20.375" style="3055" customWidth="1"/>
    <col min="13574" max="13574" width="18.875" style="3055" customWidth="1"/>
    <col min="13575" max="13824" width="9" style="3055"/>
    <col min="13825" max="13825" width="23.375" style="3055" customWidth="1"/>
    <col min="13826" max="13826" width="19.5" style="3055" customWidth="1"/>
    <col min="13827" max="13827" width="17" style="3055" customWidth="1"/>
    <col min="13828" max="13828" width="22.375" style="3055" customWidth="1"/>
    <col min="13829" max="13829" width="20.375" style="3055" customWidth="1"/>
    <col min="13830" max="13830" width="18.875" style="3055" customWidth="1"/>
    <col min="13831" max="14080" width="9" style="3055"/>
    <col min="14081" max="14081" width="23.375" style="3055" customWidth="1"/>
    <col min="14082" max="14082" width="19.5" style="3055" customWidth="1"/>
    <col min="14083" max="14083" width="17" style="3055" customWidth="1"/>
    <col min="14084" max="14084" width="22.375" style="3055" customWidth="1"/>
    <col min="14085" max="14085" width="20.375" style="3055" customWidth="1"/>
    <col min="14086" max="14086" width="18.875" style="3055" customWidth="1"/>
    <col min="14087" max="14336" width="9" style="3055"/>
    <col min="14337" max="14337" width="23.375" style="3055" customWidth="1"/>
    <col min="14338" max="14338" width="19.5" style="3055" customWidth="1"/>
    <col min="14339" max="14339" width="17" style="3055" customWidth="1"/>
    <col min="14340" max="14340" width="22.375" style="3055" customWidth="1"/>
    <col min="14341" max="14341" width="20.375" style="3055" customWidth="1"/>
    <col min="14342" max="14342" width="18.875" style="3055" customWidth="1"/>
    <col min="14343" max="14592" width="9" style="3055"/>
    <col min="14593" max="14593" width="23.375" style="3055" customWidth="1"/>
    <col min="14594" max="14594" width="19.5" style="3055" customWidth="1"/>
    <col min="14595" max="14595" width="17" style="3055" customWidth="1"/>
    <col min="14596" max="14596" width="22.375" style="3055" customWidth="1"/>
    <col min="14597" max="14597" width="20.375" style="3055" customWidth="1"/>
    <col min="14598" max="14598" width="18.875" style="3055" customWidth="1"/>
    <col min="14599" max="14848" width="9" style="3055"/>
    <col min="14849" max="14849" width="23.375" style="3055" customWidth="1"/>
    <col min="14850" max="14850" width="19.5" style="3055" customWidth="1"/>
    <col min="14851" max="14851" width="17" style="3055" customWidth="1"/>
    <col min="14852" max="14852" width="22.375" style="3055" customWidth="1"/>
    <col min="14853" max="14853" width="20.375" style="3055" customWidth="1"/>
    <col min="14854" max="14854" width="18.875" style="3055" customWidth="1"/>
    <col min="14855" max="15104" width="9" style="3055"/>
    <col min="15105" max="15105" width="23.375" style="3055" customWidth="1"/>
    <col min="15106" max="15106" width="19.5" style="3055" customWidth="1"/>
    <col min="15107" max="15107" width="17" style="3055" customWidth="1"/>
    <col min="15108" max="15108" width="22.375" style="3055" customWidth="1"/>
    <col min="15109" max="15109" width="20.375" style="3055" customWidth="1"/>
    <col min="15110" max="15110" width="18.875" style="3055" customWidth="1"/>
    <col min="15111" max="15360" width="9" style="3055"/>
    <col min="15361" max="15361" width="23.375" style="3055" customWidth="1"/>
    <col min="15362" max="15362" width="19.5" style="3055" customWidth="1"/>
    <col min="15363" max="15363" width="17" style="3055" customWidth="1"/>
    <col min="15364" max="15364" width="22.375" style="3055" customWidth="1"/>
    <col min="15365" max="15365" width="20.375" style="3055" customWidth="1"/>
    <col min="15366" max="15366" width="18.875" style="3055" customWidth="1"/>
    <col min="15367" max="15616" width="9" style="3055"/>
    <col min="15617" max="15617" width="23.375" style="3055" customWidth="1"/>
    <col min="15618" max="15618" width="19.5" style="3055" customWidth="1"/>
    <col min="15619" max="15619" width="17" style="3055" customWidth="1"/>
    <col min="15620" max="15620" width="22.375" style="3055" customWidth="1"/>
    <col min="15621" max="15621" width="20.375" style="3055" customWidth="1"/>
    <col min="15622" max="15622" width="18.875" style="3055" customWidth="1"/>
    <col min="15623" max="15872" width="9" style="3055"/>
    <col min="15873" max="15873" width="23.375" style="3055" customWidth="1"/>
    <col min="15874" max="15874" width="19.5" style="3055" customWidth="1"/>
    <col min="15875" max="15875" width="17" style="3055" customWidth="1"/>
    <col min="15876" max="15876" width="22.375" style="3055" customWidth="1"/>
    <col min="15877" max="15877" width="20.375" style="3055" customWidth="1"/>
    <col min="15878" max="15878" width="18.875" style="3055" customWidth="1"/>
    <col min="15879" max="16128" width="9" style="3055"/>
    <col min="16129" max="16129" width="23.375" style="3055" customWidth="1"/>
    <col min="16130" max="16130" width="19.5" style="3055" customWidth="1"/>
    <col min="16131" max="16131" width="17" style="3055" customWidth="1"/>
    <col min="16132" max="16132" width="22.375" style="3055" customWidth="1"/>
    <col min="16133" max="16133" width="20.375" style="3055" customWidth="1"/>
    <col min="16134" max="16134" width="18.875" style="3055" customWidth="1"/>
    <col min="16135" max="16384" width="9" style="3055"/>
  </cols>
  <sheetData>
    <row r="1" spans="1:6" ht="27.95" customHeight="1">
      <c r="A1" s="3520" t="s">
        <v>3297</v>
      </c>
      <c r="B1" s="3520" t="s">
        <v>3297</v>
      </c>
      <c r="C1" s="3520" t="s">
        <v>3297</v>
      </c>
      <c r="D1" s="3520" t="s">
        <v>3297</v>
      </c>
      <c r="E1" s="3520" t="s">
        <v>3297</v>
      </c>
      <c r="F1" s="3520" t="s">
        <v>3297</v>
      </c>
    </row>
    <row r="2" spans="1:6" ht="14.1" customHeight="1">
      <c r="A2" s="3114"/>
      <c r="B2" s="3115"/>
      <c r="C2" s="3116"/>
      <c r="D2" s="3114"/>
      <c r="E2" s="3115"/>
      <c r="F2" s="3117" t="s">
        <v>3299</v>
      </c>
    </row>
    <row r="3" spans="1:6" ht="14.1" customHeight="1">
      <c r="A3" s="3118" t="s">
        <v>3291</v>
      </c>
      <c r="B3" s="3119"/>
      <c r="C3" s="3521" t="s">
        <v>3417</v>
      </c>
      <c r="D3" s="3521" t="s">
        <v>3417</v>
      </c>
      <c r="E3" s="3120"/>
      <c r="F3" s="3121" t="s">
        <v>3303</v>
      </c>
    </row>
    <row r="4" spans="1:6" ht="14.1" customHeight="1">
      <c r="A4" s="3122" t="s">
        <v>3307</v>
      </c>
      <c r="B4" s="3123" t="s">
        <v>3308</v>
      </c>
      <c r="C4" s="3123" t="s">
        <v>3309</v>
      </c>
      <c r="D4" s="3122" t="s">
        <v>3310</v>
      </c>
      <c r="E4" s="3123" t="s">
        <v>3308</v>
      </c>
      <c r="F4" s="3123" t="s">
        <v>3309</v>
      </c>
    </row>
    <row r="5" spans="1:6" ht="14.1" customHeight="1">
      <c r="A5" s="3124" t="s">
        <v>3312</v>
      </c>
      <c r="B5" s="3125"/>
      <c r="C5" s="3126"/>
      <c r="D5" s="3124" t="s">
        <v>3313</v>
      </c>
      <c r="E5" s="3125"/>
      <c r="F5" s="3126"/>
    </row>
    <row r="6" spans="1:6" ht="14.1" customHeight="1">
      <c r="A6" s="3127" t="s">
        <v>3315</v>
      </c>
      <c r="B6" s="3128">
        <v>15142233.07</v>
      </c>
      <c r="C6" s="3129">
        <v>34214.230000000003</v>
      </c>
      <c r="D6" s="3127" t="s">
        <v>3316</v>
      </c>
      <c r="E6" s="3128">
        <v>563800000</v>
      </c>
      <c r="F6" s="3129">
        <v>0</v>
      </c>
    </row>
    <row r="7" spans="1:6" ht="14.1" customHeight="1">
      <c r="A7" s="3130" t="s">
        <v>3318</v>
      </c>
      <c r="B7" s="3128">
        <v>0</v>
      </c>
      <c r="C7" s="3129">
        <v>0</v>
      </c>
      <c r="D7" s="3127" t="s">
        <v>3319</v>
      </c>
      <c r="E7" s="3128">
        <v>0</v>
      </c>
      <c r="F7" s="3129">
        <v>0</v>
      </c>
    </row>
    <row r="8" spans="1:6" ht="14.1" customHeight="1">
      <c r="A8" s="3130" t="s">
        <v>3321</v>
      </c>
      <c r="B8" s="3128">
        <v>0</v>
      </c>
      <c r="C8" s="3129">
        <v>0</v>
      </c>
      <c r="D8" s="3127" t="s">
        <v>3322</v>
      </c>
      <c r="E8" s="3128">
        <v>4892330.54</v>
      </c>
      <c r="F8" s="3129">
        <v>0</v>
      </c>
    </row>
    <row r="9" spans="1:6" ht="14.1" customHeight="1">
      <c r="A9" s="3130" t="s">
        <v>3324</v>
      </c>
      <c r="B9" s="3128">
        <v>47101</v>
      </c>
      <c r="C9" s="3129">
        <v>81147.34</v>
      </c>
      <c r="D9" s="3127" t="s">
        <v>3325</v>
      </c>
      <c r="E9" s="3128">
        <v>14462688.800000001</v>
      </c>
      <c r="F9" s="3128">
        <v>9360392.5500000007</v>
      </c>
    </row>
    <row r="10" spans="1:6" ht="14.1" customHeight="1">
      <c r="A10" s="3131" t="s">
        <v>3327</v>
      </c>
      <c r="B10" s="3128">
        <v>0</v>
      </c>
      <c r="C10" s="3129">
        <v>0</v>
      </c>
      <c r="D10" s="3127" t="s">
        <v>3328</v>
      </c>
      <c r="E10" s="3128">
        <v>131167935.27</v>
      </c>
      <c r="F10" s="3128">
        <v>21095.9</v>
      </c>
    </row>
    <row r="11" spans="1:6" ht="14.1" customHeight="1">
      <c r="A11" s="3132" t="s">
        <v>3330</v>
      </c>
      <c r="B11" s="3133">
        <f>B9-B10</f>
        <v>47101</v>
      </c>
      <c r="C11" s="3134">
        <f>C9-C10</f>
        <v>81147.34</v>
      </c>
      <c r="D11" s="3127" t="s">
        <v>3331</v>
      </c>
      <c r="E11" s="3128">
        <v>12721744.33</v>
      </c>
      <c r="F11" s="3129">
        <v>9495826.2400000002</v>
      </c>
    </row>
    <row r="12" spans="1:6" ht="14.1" customHeight="1">
      <c r="A12" s="3130" t="s">
        <v>3333</v>
      </c>
      <c r="B12" s="3128">
        <v>542414.61</v>
      </c>
      <c r="C12" s="3128">
        <v>219215.98</v>
      </c>
      <c r="D12" s="3127" t="s">
        <v>3334</v>
      </c>
      <c r="E12" s="3128">
        <v>-2600</v>
      </c>
      <c r="F12" s="3129">
        <v>0</v>
      </c>
    </row>
    <row r="13" spans="1:6" ht="14.1" customHeight="1">
      <c r="A13" s="3131" t="s">
        <v>3336</v>
      </c>
      <c r="B13" s="3128">
        <v>678391395.40999997</v>
      </c>
      <c r="C13" s="3129">
        <v>1174517997.1300001</v>
      </c>
      <c r="D13" s="3135" t="s">
        <v>3337</v>
      </c>
      <c r="E13" s="3128">
        <v>538842622.97000003</v>
      </c>
      <c r="F13" s="3129">
        <v>1589518868.45</v>
      </c>
    </row>
    <row r="14" spans="1:6" ht="14.1" customHeight="1">
      <c r="A14" s="3130" t="s">
        <v>3339</v>
      </c>
      <c r="B14" s="3128">
        <v>0</v>
      </c>
      <c r="C14" s="3129">
        <v>0</v>
      </c>
      <c r="D14" s="3127" t="s">
        <v>3340</v>
      </c>
      <c r="E14" s="3128">
        <v>-4884327.96</v>
      </c>
      <c r="F14" s="3129">
        <v>-92334.94</v>
      </c>
    </row>
    <row r="15" spans="1:6" ht="14.1" customHeight="1">
      <c r="A15" s="3130" t="s">
        <v>3342</v>
      </c>
      <c r="B15" s="3128">
        <v>0</v>
      </c>
      <c r="C15" s="3129">
        <v>0</v>
      </c>
      <c r="D15" s="3127" t="s">
        <v>3343</v>
      </c>
      <c r="E15" s="3128">
        <v>0</v>
      </c>
      <c r="F15" s="3129">
        <v>0</v>
      </c>
    </row>
    <row r="16" spans="1:6" ht="14.1" customHeight="1">
      <c r="A16" s="3130" t="s">
        <v>3345</v>
      </c>
      <c r="B16" s="3128">
        <v>12121879.050000001</v>
      </c>
      <c r="C16" s="3128">
        <v>9504509.0500000007</v>
      </c>
      <c r="D16" s="3127" t="s">
        <v>3346</v>
      </c>
      <c r="E16" s="3128">
        <v>0</v>
      </c>
      <c r="F16" s="3129">
        <v>0</v>
      </c>
    </row>
    <row r="17" spans="1:6" ht="14.1" customHeight="1">
      <c r="A17" s="3130" t="s">
        <v>3348</v>
      </c>
      <c r="B17" s="3128">
        <v>633572011.39999998</v>
      </c>
      <c r="C17" s="3129">
        <v>436058416.19999999</v>
      </c>
      <c r="D17" s="3127" t="s">
        <v>3349</v>
      </c>
      <c r="E17" s="3128">
        <v>0</v>
      </c>
      <c r="F17" s="3129">
        <v>0</v>
      </c>
    </row>
    <row r="18" spans="1:6" ht="14.1" customHeight="1">
      <c r="A18" s="3131" t="s">
        <v>3351</v>
      </c>
      <c r="B18" s="3128">
        <v>0</v>
      </c>
      <c r="C18" s="3129">
        <v>0</v>
      </c>
      <c r="D18" s="3127" t="s">
        <v>3352</v>
      </c>
      <c r="E18" s="3128">
        <v>0</v>
      </c>
      <c r="F18" s="3129">
        <v>0</v>
      </c>
    </row>
    <row r="19" spans="1:6" ht="14.1" customHeight="1">
      <c r="A19" s="3132" t="s">
        <v>3354</v>
      </c>
      <c r="B19" s="3133">
        <f>B17-B18</f>
        <v>633572011.39999998</v>
      </c>
      <c r="C19" s="3134">
        <f>C17-C18</f>
        <v>436058416.19999999</v>
      </c>
      <c r="D19" s="3136"/>
      <c r="E19" s="3128"/>
      <c r="F19" s="3129"/>
    </row>
    <row r="20" spans="1:6" ht="14.1" customHeight="1">
      <c r="A20" s="3130" t="s">
        <v>3356</v>
      </c>
      <c r="B20" s="3128">
        <v>0</v>
      </c>
      <c r="C20" s="3129">
        <v>0</v>
      </c>
      <c r="D20" s="3136"/>
      <c r="E20" s="3128"/>
      <c r="F20" s="3129"/>
    </row>
    <row r="21" spans="1:6" ht="14.1" customHeight="1">
      <c r="A21" s="3130" t="s">
        <v>3358</v>
      </c>
      <c r="B21" s="3128">
        <v>0</v>
      </c>
      <c r="C21" s="3129">
        <v>0</v>
      </c>
      <c r="D21" s="3136"/>
      <c r="E21" s="3128"/>
      <c r="F21" s="3129"/>
    </row>
    <row r="22" spans="1:6" ht="14.1" customHeight="1">
      <c r="A22" s="3137" t="s">
        <v>3360</v>
      </c>
      <c r="B22" s="3133">
        <f>B6+B7+B8+B11+B12+B13+B14+B15+B16+B19+B20+B21</f>
        <v>1339817034.54</v>
      </c>
      <c r="C22" s="3134">
        <f>C6+C7+C8+C11+C12+C13+C14+C15+C16+C19+C20+C21</f>
        <v>1620415499.9300001</v>
      </c>
      <c r="D22" s="3138" t="s">
        <v>3361</v>
      </c>
      <c r="E22" s="3133">
        <f>E6+E7+E8+E9+E10+E11+E12+E13+E14+E15+E16+E17+E18</f>
        <v>1261000393.9499998</v>
      </c>
      <c r="F22" s="3134">
        <f>F6+F7+F8+F9+F10+F11+F12+F13+F14+F15+F16+F17+F18</f>
        <v>1608303848.2</v>
      </c>
    </row>
    <row r="23" spans="1:6" ht="14.1" customHeight="1">
      <c r="A23" s="3139" t="s">
        <v>3363</v>
      </c>
      <c r="B23" s="3140"/>
      <c r="C23" s="3141"/>
      <c r="D23" s="3124" t="s">
        <v>3364</v>
      </c>
      <c r="E23" s="3140"/>
      <c r="F23" s="3141"/>
    </row>
    <row r="24" spans="1:6" ht="14.1" customHeight="1">
      <c r="A24" s="3130" t="s">
        <v>3366</v>
      </c>
      <c r="B24" s="3128">
        <v>0</v>
      </c>
      <c r="C24" s="3129">
        <v>0</v>
      </c>
      <c r="D24" s="3127" t="s">
        <v>3367</v>
      </c>
      <c r="E24" s="3128">
        <v>0</v>
      </c>
      <c r="F24" s="3129">
        <v>0</v>
      </c>
    </row>
    <row r="25" spans="1:6" ht="14.1" customHeight="1">
      <c r="A25" s="3130" t="s">
        <v>3369</v>
      </c>
      <c r="B25" s="3128">
        <v>0</v>
      </c>
      <c r="C25" s="3129">
        <v>0</v>
      </c>
      <c r="D25" s="3127" t="s">
        <v>3370</v>
      </c>
      <c r="E25" s="3128">
        <v>0</v>
      </c>
      <c r="F25" s="3129">
        <v>0</v>
      </c>
    </row>
    <row r="26" spans="1:6" ht="14.1" customHeight="1">
      <c r="A26" s="3130" t="s">
        <v>3372</v>
      </c>
      <c r="B26" s="3128">
        <v>0</v>
      </c>
      <c r="C26" s="3128">
        <v>0</v>
      </c>
      <c r="D26" s="3127" t="s">
        <v>3373</v>
      </c>
      <c r="E26" s="3128">
        <v>0</v>
      </c>
      <c r="F26" s="3129">
        <v>0</v>
      </c>
    </row>
    <row r="27" spans="1:6" ht="14.1" customHeight="1">
      <c r="A27" s="3130" t="s">
        <v>3375</v>
      </c>
      <c r="B27" s="3128">
        <v>0</v>
      </c>
      <c r="C27" s="3129">
        <v>0</v>
      </c>
      <c r="D27" s="3127" t="s">
        <v>3376</v>
      </c>
      <c r="E27" s="3128">
        <v>0</v>
      </c>
      <c r="F27" s="3129">
        <v>0</v>
      </c>
    </row>
    <row r="28" spans="1:6" ht="14.1" customHeight="1">
      <c r="A28" s="3130" t="s">
        <v>3378</v>
      </c>
      <c r="B28" s="3128">
        <v>0</v>
      </c>
      <c r="C28" s="3129">
        <v>0</v>
      </c>
      <c r="D28" s="3127" t="s">
        <v>3379</v>
      </c>
      <c r="E28" s="3128">
        <v>0</v>
      </c>
      <c r="F28" s="3129">
        <v>0</v>
      </c>
    </row>
    <row r="29" spans="1:6" ht="14.1" customHeight="1">
      <c r="A29" s="3136"/>
      <c r="B29" s="3128"/>
      <c r="C29" s="3129"/>
      <c r="D29" s="3135" t="s">
        <v>3381</v>
      </c>
      <c r="E29" s="3128">
        <v>0</v>
      </c>
      <c r="F29" s="3129">
        <v>0</v>
      </c>
    </row>
    <row r="30" spans="1:6" ht="14.1" customHeight="1">
      <c r="A30" s="3139" t="s">
        <v>3383</v>
      </c>
      <c r="B30" s="3140"/>
      <c r="C30" s="3141"/>
      <c r="D30" s="3127" t="s">
        <v>3384</v>
      </c>
      <c r="E30" s="3128">
        <v>0</v>
      </c>
      <c r="F30" s="3129">
        <v>0</v>
      </c>
    </row>
    <row r="31" spans="1:6" ht="14.1" customHeight="1">
      <c r="A31" s="3131" t="s">
        <v>3386</v>
      </c>
      <c r="B31" s="3128">
        <v>47090</v>
      </c>
      <c r="C31" s="3128">
        <v>47090</v>
      </c>
      <c r="D31" s="3136"/>
      <c r="E31" s="3128"/>
      <c r="F31" s="3129"/>
    </row>
    <row r="32" spans="1:6" ht="14.1" customHeight="1">
      <c r="A32" s="3131" t="s">
        <v>3388</v>
      </c>
      <c r="B32" s="3128">
        <v>26757.7</v>
      </c>
      <c r="C32" s="3128">
        <v>30542.5</v>
      </c>
      <c r="D32" s="3138" t="s">
        <v>3389</v>
      </c>
      <c r="E32" s="3133">
        <f>E24+E25+E26+E27+E28+E29+E30</f>
        <v>0</v>
      </c>
      <c r="F32" s="3134">
        <f>F24+F25+F26+F27+F28+F29+F30</f>
        <v>0</v>
      </c>
    </row>
    <row r="33" spans="1:6" ht="14.1" customHeight="1">
      <c r="A33" s="3131" t="s">
        <v>3390</v>
      </c>
      <c r="B33" s="3128">
        <v>0</v>
      </c>
      <c r="C33" s="3128">
        <v>0</v>
      </c>
      <c r="D33" s="3138" t="s">
        <v>3391</v>
      </c>
      <c r="E33" s="3133">
        <f>E22+E32</f>
        <v>1261000393.9499998</v>
      </c>
      <c r="F33" s="3134">
        <f>F22+F32</f>
        <v>1608303848.2</v>
      </c>
    </row>
    <row r="34" spans="1:6" ht="14.1" customHeight="1">
      <c r="A34" s="3132" t="s">
        <v>3392</v>
      </c>
      <c r="B34" s="3133">
        <f>B31-B32-B33</f>
        <v>20332.3</v>
      </c>
      <c r="C34" s="3134">
        <f>C31-C32-C33</f>
        <v>16547.5</v>
      </c>
      <c r="D34" s="3136"/>
      <c r="E34" s="3128"/>
      <c r="F34" s="3129"/>
    </row>
    <row r="35" spans="1:6" ht="14.1" customHeight="1">
      <c r="A35" s="3131" t="s">
        <v>3393</v>
      </c>
      <c r="B35" s="3128">
        <v>0</v>
      </c>
      <c r="C35" s="3129">
        <v>0</v>
      </c>
      <c r="D35" s="3124" t="s">
        <v>3394</v>
      </c>
      <c r="E35" s="3140"/>
      <c r="F35" s="3141"/>
    </row>
    <row r="36" spans="1:6" ht="14.1" customHeight="1">
      <c r="A36" s="3130" t="s">
        <v>3395</v>
      </c>
      <c r="B36" s="3128">
        <v>0</v>
      </c>
      <c r="C36" s="3129">
        <v>0</v>
      </c>
      <c r="D36" s="3127" t="s">
        <v>3396</v>
      </c>
      <c r="E36" s="3128">
        <v>150000000</v>
      </c>
      <c r="F36" s="3129">
        <v>150000000</v>
      </c>
    </row>
    <row r="37" spans="1:6" ht="14.1" customHeight="1">
      <c r="A37" s="3130" t="s">
        <v>3397</v>
      </c>
      <c r="B37" s="3128">
        <v>0</v>
      </c>
      <c r="C37" s="3129">
        <v>0</v>
      </c>
      <c r="D37" s="3127" t="s">
        <v>3398</v>
      </c>
      <c r="E37" s="3128">
        <v>74221</v>
      </c>
      <c r="F37" s="3129">
        <v>74221</v>
      </c>
    </row>
    <row r="38" spans="1:6" ht="14.1" customHeight="1">
      <c r="A38" s="3131" t="s">
        <v>3399</v>
      </c>
      <c r="B38" s="3128">
        <v>0</v>
      </c>
      <c r="C38" s="3129">
        <v>0</v>
      </c>
      <c r="D38" s="3127" t="s">
        <v>3400</v>
      </c>
      <c r="E38" s="3128">
        <v>0</v>
      </c>
      <c r="F38" s="3129">
        <v>0</v>
      </c>
    </row>
    <row r="39" spans="1:6" ht="14.1" customHeight="1">
      <c r="A39" s="3130" t="s">
        <v>3401</v>
      </c>
      <c r="B39" s="3128">
        <v>0</v>
      </c>
      <c r="C39" s="3129">
        <v>0</v>
      </c>
      <c r="D39" s="3127" t="s">
        <v>3402</v>
      </c>
      <c r="E39" s="3128">
        <f>E40+E41</f>
        <v>-71237248.109999999</v>
      </c>
      <c r="F39" s="3129">
        <f>F40+F41</f>
        <v>-137946021.77000001</v>
      </c>
    </row>
    <row r="40" spans="1:6" ht="14.1" customHeight="1">
      <c r="A40" s="3137" t="s">
        <v>3403</v>
      </c>
      <c r="B40" s="3133">
        <f>B38-B39</f>
        <v>0</v>
      </c>
      <c r="C40" s="3134">
        <f>C38-C39</f>
        <v>0</v>
      </c>
      <c r="D40" s="3127" t="s">
        <v>3404</v>
      </c>
      <c r="E40" s="3128">
        <v>0</v>
      </c>
      <c r="F40" s="3129">
        <v>0</v>
      </c>
    </row>
    <row r="41" spans="1:6" ht="14.1" customHeight="1">
      <c r="A41" s="3130" t="s">
        <v>3405</v>
      </c>
      <c r="B41" s="3128">
        <v>0</v>
      </c>
      <c r="C41" s="3129">
        <v>0</v>
      </c>
      <c r="D41" s="3127" t="s">
        <v>3406</v>
      </c>
      <c r="E41" s="3128">
        <v>-71237248.109999999</v>
      </c>
      <c r="F41" s="3129">
        <v>-137946021.77000001</v>
      </c>
    </row>
    <row r="42" spans="1:6" ht="14.1" customHeight="1">
      <c r="A42" s="3130" t="s">
        <v>3407</v>
      </c>
      <c r="B42" s="3128">
        <v>0</v>
      </c>
      <c r="C42" s="3129">
        <v>0</v>
      </c>
      <c r="D42" s="3127" t="s">
        <v>3408</v>
      </c>
      <c r="E42" s="3128">
        <v>0</v>
      </c>
      <c r="F42" s="3129">
        <v>0</v>
      </c>
    </row>
    <row r="43" spans="1:6" ht="14.1" customHeight="1">
      <c r="A43" s="3127" t="s">
        <v>3409</v>
      </c>
      <c r="B43" s="3128">
        <v>0</v>
      </c>
      <c r="C43" s="3142">
        <v>0</v>
      </c>
      <c r="D43" s="3143" t="s">
        <v>3410</v>
      </c>
      <c r="E43" s="3128">
        <v>0</v>
      </c>
      <c r="F43" s="3129">
        <v>0</v>
      </c>
    </row>
    <row r="44" spans="1:6" ht="14.1" customHeight="1">
      <c r="A44" s="3127" t="s">
        <v>3411</v>
      </c>
      <c r="B44" s="3128">
        <v>0</v>
      </c>
      <c r="C44" s="3142">
        <v>0</v>
      </c>
      <c r="D44" s="3143" t="s">
        <v>3412</v>
      </c>
      <c r="E44" s="3128">
        <v>0</v>
      </c>
      <c r="F44" s="3129">
        <v>0</v>
      </c>
    </row>
    <row r="45" spans="1:6" ht="14.1" customHeight="1">
      <c r="A45" s="3138" t="s">
        <v>3413</v>
      </c>
      <c r="B45" s="3133">
        <f>B24+B25+B26+B27+B28+B34+B35+B36+B37+B40+B41+B42+B43+B44</f>
        <v>20332.3</v>
      </c>
      <c r="C45" s="3134">
        <f>C24+C25+C26+C27+C28+C34+C35+C36+C37+C40+C41+C42+C43+C44</f>
        <v>16547.5</v>
      </c>
      <c r="D45" s="3144" t="s">
        <v>3414</v>
      </c>
      <c r="E45" s="3133">
        <f>E36+E37+E38+E39+E43+E44+E42</f>
        <v>78836972.890000001</v>
      </c>
      <c r="F45" s="3133">
        <f>F36+F37+F38+F39+F43+F44+F42</f>
        <v>12128199.229999989</v>
      </c>
    </row>
    <row r="46" spans="1:6" ht="14.1" customHeight="1">
      <c r="A46" s="3145" t="s">
        <v>3415</v>
      </c>
      <c r="B46" s="3146">
        <f>B22+B45</f>
        <v>1339837366.8399999</v>
      </c>
      <c r="C46" s="3147">
        <f>C22+C45</f>
        <v>1620432047.4300001</v>
      </c>
      <c r="D46" s="3148" t="s">
        <v>3416</v>
      </c>
      <c r="E46" s="3146">
        <f>E33+E45</f>
        <v>1339837366.8399999</v>
      </c>
      <c r="F46" s="3147">
        <f>F33+F45</f>
        <v>1620432047.4300001</v>
      </c>
    </row>
  </sheetData>
  <mergeCells count="2">
    <mergeCell ref="A1:F1"/>
    <mergeCell ref="C3:D3"/>
  </mergeCells>
  <phoneticPr fontId="141" type="noConversion"/>
  <pageMargins left="0.75" right="0.75" top="1" bottom="1" header="0.5" footer="0.5"/>
  <pageSetup orientation="portrait" horizontalDpi="300" verticalDpi="300"/>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topLeftCell="A7" workbookViewId="0">
      <selection activeCell="B7" sqref="B7"/>
    </sheetView>
  </sheetViews>
  <sheetFormatPr defaultRowHeight="12.75"/>
  <cols>
    <col min="1" max="1" width="23.375" style="3055" customWidth="1"/>
    <col min="2" max="2" width="19.5" style="3055" customWidth="1"/>
    <col min="3" max="3" width="17" style="3055" customWidth="1"/>
    <col min="4" max="4" width="22.375" style="3055" customWidth="1"/>
    <col min="5" max="5" width="20.375" style="3055" customWidth="1"/>
    <col min="6" max="6" width="18.875" style="3055" customWidth="1"/>
    <col min="7" max="256" width="9" style="3055"/>
    <col min="257" max="257" width="23.375" style="3055" customWidth="1"/>
    <col min="258" max="258" width="19.5" style="3055" customWidth="1"/>
    <col min="259" max="259" width="17" style="3055" customWidth="1"/>
    <col min="260" max="260" width="22.375" style="3055" customWidth="1"/>
    <col min="261" max="261" width="20.375" style="3055" customWidth="1"/>
    <col min="262" max="262" width="18.875" style="3055" customWidth="1"/>
    <col min="263" max="512" width="9" style="3055"/>
    <col min="513" max="513" width="23.375" style="3055" customWidth="1"/>
    <col min="514" max="514" width="19.5" style="3055" customWidth="1"/>
    <col min="515" max="515" width="17" style="3055" customWidth="1"/>
    <col min="516" max="516" width="22.375" style="3055" customWidth="1"/>
    <col min="517" max="517" width="20.375" style="3055" customWidth="1"/>
    <col min="518" max="518" width="18.875" style="3055" customWidth="1"/>
    <col min="519" max="768" width="9" style="3055"/>
    <col min="769" max="769" width="23.375" style="3055" customWidth="1"/>
    <col min="770" max="770" width="19.5" style="3055" customWidth="1"/>
    <col min="771" max="771" width="17" style="3055" customWidth="1"/>
    <col min="772" max="772" width="22.375" style="3055" customWidth="1"/>
    <col min="773" max="773" width="20.375" style="3055" customWidth="1"/>
    <col min="774" max="774" width="18.875" style="3055" customWidth="1"/>
    <col min="775" max="1024" width="9" style="3055"/>
    <col min="1025" max="1025" width="23.375" style="3055" customWidth="1"/>
    <col min="1026" max="1026" width="19.5" style="3055" customWidth="1"/>
    <col min="1027" max="1027" width="17" style="3055" customWidth="1"/>
    <col min="1028" max="1028" width="22.375" style="3055" customWidth="1"/>
    <col min="1029" max="1029" width="20.375" style="3055" customWidth="1"/>
    <col min="1030" max="1030" width="18.875" style="3055" customWidth="1"/>
    <col min="1031" max="1280" width="9" style="3055"/>
    <col min="1281" max="1281" width="23.375" style="3055" customWidth="1"/>
    <col min="1282" max="1282" width="19.5" style="3055" customWidth="1"/>
    <col min="1283" max="1283" width="17" style="3055" customWidth="1"/>
    <col min="1284" max="1284" width="22.375" style="3055" customWidth="1"/>
    <col min="1285" max="1285" width="20.375" style="3055" customWidth="1"/>
    <col min="1286" max="1286" width="18.875" style="3055" customWidth="1"/>
    <col min="1287" max="1536" width="9" style="3055"/>
    <col min="1537" max="1537" width="23.375" style="3055" customWidth="1"/>
    <col min="1538" max="1538" width="19.5" style="3055" customWidth="1"/>
    <col min="1539" max="1539" width="17" style="3055" customWidth="1"/>
    <col min="1540" max="1540" width="22.375" style="3055" customWidth="1"/>
    <col min="1541" max="1541" width="20.375" style="3055" customWidth="1"/>
    <col min="1542" max="1542" width="18.875" style="3055" customWidth="1"/>
    <col min="1543" max="1792" width="9" style="3055"/>
    <col min="1793" max="1793" width="23.375" style="3055" customWidth="1"/>
    <col min="1794" max="1794" width="19.5" style="3055" customWidth="1"/>
    <col min="1795" max="1795" width="17" style="3055" customWidth="1"/>
    <col min="1796" max="1796" width="22.375" style="3055" customWidth="1"/>
    <col min="1797" max="1797" width="20.375" style="3055" customWidth="1"/>
    <col min="1798" max="1798" width="18.875" style="3055" customWidth="1"/>
    <col min="1799" max="2048" width="9" style="3055"/>
    <col min="2049" max="2049" width="23.375" style="3055" customWidth="1"/>
    <col min="2050" max="2050" width="19.5" style="3055" customWidth="1"/>
    <col min="2051" max="2051" width="17" style="3055" customWidth="1"/>
    <col min="2052" max="2052" width="22.375" style="3055" customWidth="1"/>
    <col min="2053" max="2053" width="20.375" style="3055" customWidth="1"/>
    <col min="2054" max="2054" width="18.875" style="3055" customWidth="1"/>
    <col min="2055" max="2304" width="9" style="3055"/>
    <col min="2305" max="2305" width="23.375" style="3055" customWidth="1"/>
    <col min="2306" max="2306" width="19.5" style="3055" customWidth="1"/>
    <col min="2307" max="2307" width="17" style="3055" customWidth="1"/>
    <col min="2308" max="2308" width="22.375" style="3055" customWidth="1"/>
    <col min="2309" max="2309" width="20.375" style="3055" customWidth="1"/>
    <col min="2310" max="2310" width="18.875" style="3055" customWidth="1"/>
    <col min="2311" max="2560" width="9" style="3055"/>
    <col min="2561" max="2561" width="23.375" style="3055" customWidth="1"/>
    <col min="2562" max="2562" width="19.5" style="3055" customWidth="1"/>
    <col min="2563" max="2563" width="17" style="3055" customWidth="1"/>
    <col min="2564" max="2564" width="22.375" style="3055" customWidth="1"/>
    <col min="2565" max="2565" width="20.375" style="3055" customWidth="1"/>
    <col min="2566" max="2566" width="18.875" style="3055" customWidth="1"/>
    <col min="2567" max="2816" width="9" style="3055"/>
    <col min="2817" max="2817" width="23.375" style="3055" customWidth="1"/>
    <col min="2818" max="2818" width="19.5" style="3055" customWidth="1"/>
    <col min="2819" max="2819" width="17" style="3055" customWidth="1"/>
    <col min="2820" max="2820" width="22.375" style="3055" customWidth="1"/>
    <col min="2821" max="2821" width="20.375" style="3055" customWidth="1"/>
    <col min="2822" max="2822" width="18.875" style="3055" customWidth="1"/>
    <col min="2823" max="3072" width="9" style="3055"/>
    <col min="3073" max="3073" width="23.375" style="3055" customWidth="1"/>
    <col min="3074" max="3074" width="19.5" style="3055" customWidth="1"/>
    <col min="3075" max="3075" width="17" style="3055" customWidth="1"/>
    <col min="3076" max="3076" width="22.375" style="3055" customWidth="1"/>
    <col min="3077" max="3077" width="20.375" style="3055" customWidth="1"/>
    <col min="3078" max="3078" width="18.875" style="3055" customWidth="1"/>
    <col min="3079" max="3328" width="9" style="3055"/>
    <col min="3329" max="3329" width="23.375" style="3055" customWidth="1"/>
    <col min="3330" max="3330" width="19.5" style="3055" customWidth="1"/>
    <col min="3331" max="3331" width="17" style="3055" customWidth="1"/>
    <col min="3332" max="3332" width="22.375" style="3055" customWidth="1"/>
    <col min="3333" max="3333" width="20.375" style="3055" customWidth="1"/>
    <col min="3334" max="3334" width="18.875" style="3055" customWidth="1"/>
    <col min="3335" max="3584" width="9" style="3055"/>
    <col min="3585" max="3585" width="23.375" style="3055" customWidth="1"/>
    <col min="3586" max="3586" width="19.5" style="3055" customWidth="1"/>
    <col min="3587" max="3587" width="17" style="3055" customWidth="1"/>
    <col min="3588" max="3588" width="22.375" style="3055" customWidth="1"/>
    <col min="3589" max="3589" width="20.375" style="3055" customWidth="1"/>
    <col min="3590" max="3590" width="18.875" style="3055" customWidth="1"/>
    <col min="3591" max="3840" width="9" style="3055"/>
    <col min="3841" max="3841" width="23.375" style="3055" customWidth="1"/>
    <col min="3842" max="3842" width="19.5" style="3055" customWidth="1"/>
    <col min="3843" max="3843" width="17" style="3055" customWidth="1"/>
    <col min="3844" max="3844" width="22.375" style="3055" customWidth="1"/>
    <col min="3845" max="3845" width="20.375" style="3055" customWidth="1"/>
    <col min="3846" max="3846" width="18.875" style="3055" customWidth="1"/>
    <col min="3847" max="4096" width="9" style="3055"/>
    <col min="4097" max="4097" width="23.375" style="3055" customWidth="1"/>
    <col min="4098" max="4098" width="19.5" style="3055" customWidth="1"/>
    <col min="4099" max="4099" width="17" style="3055" customWidth="1"/>
    <col min="4100" max="4100" width="22.375" style="3055" customWidth="1"/>
    <col min="4101" max="4101" width="20.375" style="3055" customWidth="1"/>
    <col min="4102" max="4102" width="18.875" style="3055" customWidth="1"/>
    <col min="4103" max="4352" width="9" style="3055"/>
    <col min="4353" max="4353" width="23.375" style="3055" customWidth="1"/>
    <col min="4354" max="4354" width="19.5" style="3055" customWidth="1"/>
    <col min="4355" max="4355" width="17" style="3055" customWidth="1"/>
    <col min="4356" max="4356" width="22.375" style="3055" customWidth="1"/>
    <col min="4357" max="4357" width="20.375" style="3055" customWidth="1"/>
    <col min="4358" max="4358" width="18.875" style="3055" customWidth="1"/>
    <col min="4359" max="4608" width="9" style="3055"/>
    <col min="4609" max="4609" width="23.375" style="3055" customWidth="1"/>
    <col min="4610" max="4610" width="19.5" style="3055" customWidth="1"/>
    <col min="4611" max="4611" width="17" style="3055" customWidth="1"/>
    <col min="4612" max="4612" width="22.375" style="3055" customWidth="1"/>
    <col min="4613" max="4613" width="20.375" style="3055" customWidth="1"/>
    <col min="4614" max="4614" width="18.875" style="3055" customWidth="1"/>
    <col min="4615" max="4864" width="9" style="3055"/>
    <col min="4865" max="4865" width="23.375" style="3055" customWidth="1"/>
    <col min="4866" max="4866" width="19.5" style="3055" customWidth="1"/>
    <col min="4867" max="4867" width="17" style="3055" customWidth="1"/>
    <col min="4868" max="4868" width="22.375" style="3055" customWidth="1"/>
    <col min="4869" max="4869" width="20.375" style="3055" customWidth="1"/>
    <col min="4870" max="4870" width="18.875" style="3055" customWidth="1"/>
    <col min="4871" max="5120" width="9" style="3055"/>
    <col min="5121" max="5121" width="23.375" style="3055" customWidth="1"/>
    <col min="5122" max="5122" width="19.5" style="3055" customWidth="1"/>
    <col min="5123" max="5123" width="17" style="3055" customWidth="1"/>
    <col min="5124" max="5124" width="22.375" style="3055" customWidth="1"/>
    <col min="5125" max="5125" width="20.375" style="3055" customWidth="1"/>
    <col min="5126" max="5126" width="18.875" style="3055" customWidth="1"/>
    <col min="5127" max="5376" width="9" style="3055"/>
    <col min="5377" max="5377" width="23.375" style="3055" customWidth="1"/>
    <col min="5378" max="5378" width="19.5" style="3055" customWidth="1"/>
    <col min="5379" max="5379" width="17" style="3055" customWidth="1"/>
    <col min="5380" max="5380" width="22.375" style="3055" customWidth="1"/>
    <col min="5381" max="5381" width="20.375" style="3055" customWidth="1"/>
    <col min="5382" max="5382" width="18.875" style="3055" customWidth="1"/>
    <col min="5383" max="5632" width="9" style="3055"/>
    <col min="5633" max="5633" width="23.375" style="3055" customWidth="1"/>
    <col min="5634" max="5634" width="19.5" style="3055" customWidth="1"/>
    <col min="5635" max="5635" width="17" style="3055" customWidth="1"/>
    <col min="5636" max="5636" width="22.375" style="3055" customWidth="1"/>
    <col min="5637" max="5637" width="20.375" style="3055" customWidth="1"/>
    <col min="5638" max="5638" width="18.875" style="3055" customWidth="1"/>
    <col min="5639" max="5888" width="9" style="3055"/>
    <col min="5889" max="5889" width="23.375" style="3055" customWidth="1"/>
    <col min="5890" max="5890" width="19.5" style="3055" customWidth="1"/>
    <col min="5891" max="5891" width="17" style="3055" customWidth="1"/>
    <col min="5892" max="5892" width="22.375" style="3055" customWidth="1"/>
    <col min="5893" max="5893" width="20.375" style="3055" customWidth="1"/>
    <col min="5894" max="5894" width="18.875" style="3055" customWidth="1"/>
    <col min="5895" max="6144" width="9" style="3055"/>
    <col min="6145" max="6145" width="23.375" style="3055" customWidth="1"/>
    <col min="6146" max="6146" width="19.5" style="3055" customWidth="1"/>
    <col min="6147" max="6147" width="17" style="3055" customWidth="1"/>
    <col min="6148" max="6148" width="22.375" style="3055" customWidth="1"/>
    <col min="6149" max="6149" width="20.375" style="3055" customWidth="1"/>
    <col min="6150" max="6150" width="18.875" style="3055" customWidth="1"/>
    <col min="6151" max="6400" width="9" style="3055"/>
    <col min="6401" max="6401" width="23.375" style="3055" customWidth="1"/>
    <col min="6402" max="6402" width="19.5" style="3055" customWidth="1"/>
    <col min="6403" max="6403" width="17" style="3055" customWidth="1"/>
    <col min="6404" max="6404" width="22.375" style="3055" customWidth="1"/>
    <col min="6405" max="6405" width="20.375" style="3055" customWidth="1"/>
    <col min="6406" max="6406" width="18.875" style="3055" customWidth="1"/>
    <col min="6407" max="6656" width="9" style="3055"/>
    <col min="6657" max="6657" width="23.375" style="3055" customWidth="1"/>
    <col min="6658" max="6658" width="19.5" style="3055" customWidth="1"/>
    <col min="6659" max="6659" width="17" style="3055" customWidth="1"/>
    <col min="6660" max="6660" width="22.375" style="3055" customWidth="1"/>
    <col min="6661" max="6661" width="20.375" style="3055" customWidth="1"/>
    <col min="6662" max="6662" width="18.875" style="3055" customWidth="1"/>
    <col min="6663" max="6912" width="9" style="3055"/>
    <col min="6913" max="6913" width="23.375" style="3055" customWidth="1"/>
    <col min="6914" max="6914" width="19.5" style="3055" customWidth="1"/>
    <col min="6915" max="6915" width="17" style="3055" customWidth="1"/>
    <col min="6916" max="6916" width="22.375" style="3055" customWidth="1"/>
    <col min="6917" max="6917" width="20.375" style="3055" customWidth="1"/>
    <col min="6918" max="6918" width="18.875" style="3055" customWidth="1"/>
    <col min="6919" max="7168" width="9" style="3055"/>
    <col min="7169" max="7169" width="23.375" style="3055" customWidth="1"/>
    <col min="7170" max="7170" width="19.5" style="3055" customWidth="1"/>
    <col min="7171" max="7171" width="17" style="3055" customWidth="1"/>
    <col min="7172" max="7172" width="22.375" style="3055" customWidth="1"/>
    <col min="7173" max="7173" width="20.375" style="3055" customWidth="1"/>
    <col min="7174" max="7174" width="18.875" style="3055" customWidth="1"/>
    <col min="7175" max="7424" width="9" style="3055"/>
    <col min="7425" max="7425" width="23.375" style="3055" customWidth="1"/>
    <col min="7426" max="7426" width="19.5" style="3055" customWidth="1"/>
    <col min="7427" max="7427" width="17" style="3055" customWidth="1"/>
    <col min="7428" max="7428" width="22.375" style="3055" customWidth="1"/>
    <col min="7429" max="7429" width="20.375" style="3055" customWidth="1"/>
    <col min="7430" max="7430" width="18.875" style="3055" customWidth="1"/>
    <col min="7431" max="7680" width="9" style="3055"/>
    <col min="7681" max="7681" width="23.375" style="3055" customWidth="1"/>
    <col min="7682" max="7682" width="19.5" style="3055" customWidth="1"/>
    <col min="7683" max="7683" width="17" style="3055" customWidth="1"/>
    <col min="7684" max="7684" width="22.375" style="3055" customWidth="1"/>
    <col min="7685" max="7685" width="20.375" style="3055" customWidth="1"/>
    <col min="7686" max="7686" width="18.875" style="3055" customWidth="1"/>
    <col min="7687" max="7936" width="9" style="3055"/>
    <col min="7937" max="7937" width="23.375" style="3055" customWidth="1"/>
    <col min="7938" max="7938" width="19.5" style="3055" customWidth="1"/>
    <col min="7939" max="7939" width="17" style="3055" customWidth="1"/>
    <col min="7940" max="7940" width="22.375" style="3055" customWidth="1"/>
    <col min="7941" max="7941" width="20.375" style="3055" customWidth="1"/>
    <col min="7942" max="7942" width="18.875" style="3055" customWidth="1"/>
    <col min="7943" max="8192" width="9" style="3055"/>
    <col min="8193" max="8193" width="23.375" style="3055" customWidth="1"/>
    <col min="8194" max="8194" width="19.5" style="3055" customWidth="1"/>
    <col min="8195" max="8195" width="17" style="3055" customWidth="1"/>
    <col min="8196" max="8196" width="22.375" style="3055" customWidth="1"/>
    <col min="8197" max="8197" width="20.375" style="3055" customWidth="1"/>
    <col min="8198" max="8198" width="18.875" style="3055" customWidth="1"/>
    <col min="8199" max="8448" width="9" style="3055"/>
    <col min="8449" max="8449" width="23.375" style="3055" customWidth="1"/>
    <col min="8450" max="8450" width="19.5" style="3055" customWidth="1"/>
    <col min="8451" max="8451" width="17" style="3055" customWidth="1"/>
    <col min="8452" max="8452" width="22.375" style="3055" customWidth="1"/>
    <col min="8453" max="8453" width="20.375" style="3055" customWidth="1"/>
    <col min="8454" max="8454" width="18.875" style="3055" customWidth="1"/>
    <col min="8455" max="8704" width="9" style="3055"/>
    <col min="8705" max="8705" width="23.375" style="3055" customWidth="1"/>
    <col min="8706" max="8706" width="19.5" style="3055" customWidth="1"/>
    <col min="8707" max="8707" width="17" style="3055" customWidth="1"/>
    <col min="8708" max="8708" width="22.375" style="3055" customWidth="1"/>
    <col min="8709" max="8709" width="20.375" style="3055" customWidth="1"/>
    <col min="8710" max="8710" width="18.875" style="3055" customWidth="1"/>
    <col min="8711" max="8960" width="9" style="3055"/>
    <col min="8961" max="8961" width="23.375" style="3055" customWidth="1"/>
    <col min="8962" max="8962" width="19.5" style="3055" customWidth="1"/>
    <col min="8963" max="8963" width="17" style="3055" customWidth="1"/>
    <col min="8964" max="8964" width="22.375" style="3055" customWidth="1"/>
    <col min="8965" max="8965" width="20.375" style="3055" customWidth="1"/>
    <col min="8966" max="8966" width="18.875" style="3055" customWidth="1"/>
    <col min="8967" max="9216" width="9" style="3055"/>
    <col min="9217" max="9217" width="23.375" style="3055" customWidth="1"/>
    <col min="9218" max="9218" width="19.5" style="3055" customWidth="1"/>
    <col min="9219" max="9219" width="17" style="3055" customWidth="1"/>
    <col min="9220" max="9220" width="22.375" style="3055" customWidth="1"/>
    <col min="9221" max="9221" width="20.375" style="3055" customWidth="1"/>
    <col min="9222" max="9222" width="18.875" style="3055" customWidth="1"/>
    <col min="9223" max="9472" width="9" style="3055"/>
    <col min="9473" max="9473" width="23.375" style="3055" customWidth="1"/>
    <col min="9474" max="9474" width="19.5" style="3055" customWidth="1"/>
    <col min="9475" max="9475" width="17" style="3055" customWidth="1"/>
    <col min="9476" max="9476" width="22.375" style="3055" customWidth="1"/>
    <col min="9477" max="9477" width="20.375" style="3055" customWidth="1"/>
    <col min="9478" max="9478" width="18.875" style="3055" customWidth="1"/>
    <col min="9479" max="9728" width="9" style="3055"/>
    <col min="9729" max="9729" width="23.375" style="3055" customWidth="1"/>
    <col min="9730" max="9730" width="19.5" style="3055" customWidth="1"/>
    <col min="9731" max="9731" width="17" style="3055" customWidth="1"/>
    <col min="9732" max="9732" width="22.375" style="3055" customWidth="1"/>
    <col min="9733" max="9733" width="20.375" style="3055" customWidth="1"/>
    <col min="9734" max="9734" width="18.875" style="3055" customWidth="1"/>
    <col min="9735" max="9984" width="9" style="3055"/>
    <col min="9985" max="9985" width="23.375" style="3055" customWidth="1"/>
    <col min="9986" max="9986" width="19.5" style="3055" customWidth="1"/>
    <col min="9987" max="9987" width="17" style="3055" customWidth="1"/>
    <col min="9988" max="9988" width="22.375" style="3055" customWidth="1"/>
    <col min="9989" max="9989" width="20.375" style="3055" customWidth="1"/>
    <col min="9990" max="9990" width="18.875" style="3055" customWidth="1"/>
    <col min="9991" max="10240" width="9" style="3055"/>
    <col min="10241" max="10241" width="23.375" style="3055" customWidth="1"/>
    <col min="10242" max="10242" width="19.5" style="3055" customWidth="1"/>
    <col min="10243" max="10243" width="17" style="3055" customWidth="1"/>
    <col min="10244" max="10244" width="22.375" style="3055" customWidth="1"/>
    <col min="10245" max="10245" width="20.375" style="3055" customWidth="1"/>
    <col min="10246" max="10246" width="18.875" style="3055" customWidth="1"/>
    <col min="10247" max="10496" width="9" style="3055"/>
    <col min="10497" max="10497" width="23.375" style="3055" customWidth="1"/>
    <col min="10498" max="10498" width="19.5" style="3055" customWidth="1"/>
    <col min="10499" max="10499" width="17" style="3055" customWidth="1"/>
    <col min="10500" max="10500" width="22.375" style="3055" customWidth="1"/>
    <col min="10501" max="10501" width="20.375" style="3055" customWidth="1"/>
    <col min="10502" max="10502" width="18.875" style="3055" customWidth="1"/>
    <col min="10503" max="10752" width="9" style="3055"/>
    <col min="10753" max="10753" width="23.375" style="3055" customWidth="1"/>
    <col min="10754" max="10754" width="19.5" style="3055" customWidth="1"/>
    <col min="10755" max="10755" width="17" style="3055" customWidth="1"/>
    <col min="10756" max="10756" width="22.375" style="3055" customWidth="1"/>
    <col min="10757" max="10757" width="20.375" style="3055" customWidth="1"/>
    <col min="10758" max="10758" width="18.875" style="3055" customWidth="1"/>
    <col min="10759" max="11008" width="9" style="3055"/>
    <col min="11009" max="11009" width="23.375" style="3055" customWidth="1"/>
    <col min="11010" max="11010" width="19.5" style="3055" customWidth="1"/>
    <col min="11011" max="11011" width="17" style="3055" customWidth="1"/>
    <col min="11012" max="11012" width="22.375" style="3055" customWidth="1"/>
    <col min="11013" max="11013" width="20.375" style="3055" customWidth="1"/>
    <col min="11014" max="11014" width="18.875" style="3055" customWidth="1"/>
    <col min="11015" max="11264" width="9" style="3055"/>
    <col min="11265" max="11265" width="23.375" style="3055" customWidth="1"/>
    <col min="11266" max="11266" width="19.5" style="3055" customWidth="1"/>
    <col min="11267" max="11267" width="17" style="3055" customWidth="1"/>
    <col min="11268" max="11268" width="22.375" style="3055" customWidth="1"/>
    <col min="11269" max="11269" width="20.375" style="3055" customWidth="1"/>
    <col min="11270" max="11270" width="18.875" style="3055" customWidth="1"/>
    <col min="11271" max="11520" width="9" style="3055"/>
    <col min="11521" max="11521" width="23.375" style="3055" customWidth="1"/>
    <col min="11522" max="11522" width="19.5" style="3055" customWidth="1"/>
    <col min="11523" max="11523" width="17" style="3055" customWidth="1"/>
    <col min="11524" max="11524" width="22.375" style="3055" customWidth="1"/>
    <col min="11525" max="11525" width="20.375" style="3055" customWidth="1"/>
    <col min="11526" max="11526" width="18.875" style="3055" customWidth="1"/>
    <col min="11527" max="11776" width="9" style="3055"/>
    <col min="11777" max="11777" width="23.375" style="3055" customWidth="1"/>
    <col min="11778" max="11778" width="19.5" style="3055" customWidth="1"/>
    <col min="11779" max="11779" width="17" style="3055" customWidth="1"/>
    <col min="11780" max="11780" width="22.375" style="3055" customWidth="1"/>
    <col min="11781" max="11781" width="20.375" style="3055" customWidth="1"/>
    <col min="11782" max="11782" width="18.875" style="3055" customWidth="1"/>
    <col min="11783" max="12032" width="9" style="3055"/>
    <col min="12033" max="12033" width="23.375" style="3055" customWidth="1"/>
    <col min="12034" max="12034" width="19.5" style="3055" customWidth="1"/>
    <col min="12035" max="12035" width="17" style="3055" customWidth="1"/>
    <col min="12036" max="12036" width="22.375" style="3055" customWidth="1"/>
    <col min="12037" max="12037" width="20.375" style="3055" customWidth="1"/>
    <col min="12038" max="12038" width="18.875" style="3055" customWidth="1"/>
    <col min="12039" max="12288" width="9" style="3055"/>
    <col min="12289" max="12289" width="23.375" style="3055" customWidth="1"/>
    <col min="12290" max="12290" width="19.5" style="3055" customWidth="1"/>
    <col min="12291" max="12291" width="17" style="3055" customWidth="1"/>
    <col min="12292" max="12292" width="22.375" style="3055" customWidth="1"/>
    <col min="12293" max="12293" width="20.375" style="3055" customWidth="1"/>
    <col min="12294" max="12294" width="18.875" style="3055" customWidth="1"/>
    <col min="12295" max="12544" width="9" style="3055"/>
    <col min="12545" max="12545" width="23.375" style="3055" customWidth="1"/>
    <col min="12546" max="12546" width="19.5" style="3055" customWidth="1"/>
    <col min="12547" max="12547" width="17" style="3055" customWidth="1"/>
    <col min="12548" max="12548" width="22.375" style="3055" customWidth="1"/>
    <col min="12549" max="12549" width="20.375" style="3055" customWidth="1"/>
    <col min="12550" max="12550" width="18.875" style="3055" customWidth="1"/>
    <col min="12551" max="12800" width="9" style="3055"/>
    <col min="12801" max="12801" width="23.375" style="3055" customWidth="1"/>
    <col min="12802" max="12802" width="19.5" style="3055" customWidth="1"/>
    <col min="12803" max="12803" width="17" style="3055" customWidth="1"/>
    <col min="12804" max="12804" width="22.375" style="3055" customWidth="1"/>
    <col min="12805" max="12805" width="20.375" style="3055" customWidth="1"/>
    <col min="12806" max="12806" width="18.875" style="3055" customWidth="1"/>
    <col min="12807" max="13056" width="9" style="3055"/>
    <col min="13057" max="13057" width="23.375" style="3055" customWidth="1"/>
    <col min="13058" max="13058" width="19.5" style="3055" customWidth="1"/>
    <col min="13059" max="13059" width="17" style="3055" customWidth="1"/>
    <col min="13060" max="13060" width="22.375" style="3055" customWidth="1"/>
    <col min="13061" max="13061" width="20.375" style="3055" customWidth="1"/>
    <col min="13062" max="13062" width="18.875" style="3055" customWidth="1"/>
    <col min="13063" max="13312" width="9" style="3055"/>
    <col min="13313" max="13313" width="23.375" style="3055" customWidth="1"/>
    <col min="13314" max="13314" width="19.5" style="3055" customWidth="1"/>
    <col min="13315" max="13315" width="17" style="3055" customWidth="1"/>
    <col min="13316" max="13316" width="22.375" style="3055" customWidth="1"/>
    <col min="13317" max="13317" width="20.375" style="3055" customWidth="1"/>
    <col min="13318" max="13318" width="18.875" style="3055" customWidth="1"/>
    <col min="13319" max="13568" width="9" style="3055"/>
    <col min="13569" max="13569" width="23.375" style="3055" customWidth="1"/>
    <col min="13570" max="13570" width="19.5" style="3055" customWidth="1"/>
    <col min="13571" max="13571" width="17" style="3055" customWidth="1"/>
    <col min="13572" max="13572" width="22.375" style="3055" customWidth="1"/>
    <col min="13573" max="13573" width="20.375" style="3055" customWidth="1"/>
    <col min="13574" max="13574" width="18.875" style="3055" customWidth="1"/>
    <col min="13575" max="13824" width="9" style="3055"/>
    <col min="13825" max="13825" width="23.375" style="3055" customWidth="1"/>
    <col min="13826" max="13826" width="19.5" style="3055" customWidth="1"/>
    <col min="13827" max="13827" width="17" style="3055" customWidth="1"/>
    <col min="13828" max="13828" width="22.375" style="3055" customWidth="1"/>
    <col min="13829" max="13829" width="20.375" style="3055" customWidth="1"/>
    <col min="13830" max="13830" width="18.875" style="3055" customWidth="1"/>
    <col min="13831" max="14080" width="9" style="3055"/>
    <col min="14081" max="14081" width="23.375" style="3055" customWidth="1"/>
    <col min="14082" max="14082" width="19.5" style="3055" customWidth="1"/>
    <col min="14083" max="14083" width="17" style="3055" customWidth="1"/>
    <col min="14084" max="14084" width="22.375" style="3055" customWidth="1"/>
    <col min="14085" max="14085" width="20.375" style="3055" customWidth="1"/>
    <col min="14086" max="14086" width="18.875" style="3055" customWidth="1"/>
    <col min="14087" max="14336" width="9" style="3055"/>
    <col min="14337" max="14337" width="23.375" style="3055" customWidth="1"/>
    <col min="14338" max="14338" width="19.5" style="3055" customWidth="1"/>
    <col min="14339" max="14339" width="17" style="3055" customWidth="1"/>
    <col min="14340" max="14340" width="22.375" style="3055" customWidth="1"/>
    <col min="14341" max="14341" width="20.375" style="3055" customWidth="1"/>
    <col min="14342" max="14342" width="18.875" style="3055" customWidth="1"/>
    <col min="14343" max="14592" width="9" style="3055"/>
    <col min="14593" max="14593" width="23.375" style="3055" customWidth="1"/>
    <col min="14594" max="14594" width="19.5" style="3055" customWidth="1"/>
    <col min="14595" max="14595" width="17" style="3055" customWidth="1"/>
    <col min="14596" max="14596" width="22.375" style="3055" customWidth="1"/>
    <col min="14597" max="14597" width="20.375" style="3055" customWidth="1"/>
    <col min="14598" max="14598" width="18.875" style="3055" customWidth="1"/>
    <col min="14599" max="14848" width="9" style="3055"/>
    <col min="14849" max="14849" width="23.375" style="3055" customWidth="1"/>
    <col min="14850" max="14850" width="19.5" style="3055" customWidth="1"/>
    <col min="14851" max="14851" width="17" style="3055" customWidth="1"/>
    <col min="14852" max="14852" width="22.375" style="3055" customWidth="1"/>
    <col min="14853" max="14853" width="20.375" style="3055" customWidth="1"/>
    <col min="14854" max="14854" width="18.875" style="3055" customWidth="1"/>
    <col min="14855" max="15104" width="9" style="3055"/>
    <col min="15105" max="15105" width="23.375" style="3055" customWidth="1"/>
    <col min="15106" max="15106" width="19.5" style="3055" customWidth="1"/>
    <col min="15107" max="15107" width="17" style="3055" customWidth="1"/>
    <col min="15108" max="15108" width="22.375" style="3055" customWidth="1"/>
    <col min="15109" max="15109" width="20.375" style="3055" customWidth="1"/>
    <col min="15110" max="15110" width="18.875" style="3055" customWidth="1"/>
    <col min="15111" max="15360" width="9" style="3055"/>
    <col min="15361" max="15361" width="23.375" style="3055" customWidth="1"/>
    <col min="15362" max="15362" width="19.5" style="3055" customWidth="1"/>
    <col min="15363" max="15363" width="17" style="3055" customWidth="1"/>
    <col min="15364" max="15364" width="22.375" style="3055" customWidth="1"/>
    <col min="15365" max="15365" width="20.375" style="3055" customWidth="1"/>
    <col min="15366" max="15366" width="18.875" style="3055" customWidth="1"/>
    <col min="15367" max="15616" width="9" style="3055"/>
    <col min="15617" max="15617" width="23.375" style="3055" customWidth="1"/>
    <col min="15618" max="15618" width="19.5" style="3055" customWidth="1"/>
    <col min="15619" max="15619" width="17" style="3055" customWidth="1"/>
    <col min="15620" max="15620" width="22.375" style="3055" customWidth="1"/>
    <col min="15621" max="15621" width="20.375" style="3055" customWidth="1"/>
    <col min="15622" max="15622" width="18.875" style="3055" customWidth="1"/>
    <col min="15623" max="15872" width="9" style="3055"/>
    <col min="15873" max="15873" width="23.375" style="3055" customWidth="1"/>
    <col min="15874" max="15874" width="19.5" style="3055" customWidth="1"/>
    <col min="15875" max="15875" width="17" style="3055" customWidth="1"/>
    <col min="15876" max="15876" width="22.375" style="3055" customWidth="1"/>
    <col min="15877" max="15877" width="20.375" style="3055" customWidth="1"/>
    <col min="15878" max="15878" width="18.875" style="3055" customWidth="1"/>
    <col min="15879" max="16128" width="9" style="3055"/>
    <col min="16129" max="16129" width="23.375" style="3055" customWidth="1"/>
    <col min="16130" max="16130" width="19.5" style="3055" customWidth="1"/>
    <col min="16131" max="16131" width="17" style="3055" customWidth="1"/>
    <col min="16132" max="16132" width="22.375" style="3055" customWidth="1"/>
    <col min="16133" max="16133" width="20.375" style="3055" customWidth="1"/>
    <col min="16134" max="16134" width="18.875" style="3055" customWidth="1"/>
    <col min="16135" max="16384" width="9" style="3055"/>
  </cols>
  <sheetData>
    <row r="1" spans="1:6" ht="27.95" customHeight="1">
      <c r="A1" s="3520" t="s">
        <v>3297</v>
      </c>
      <c r="B1" s="3520" t="s">
        <v>3297</v>
      </c>
      <c r="C1" s="3520" t="s">
        <v>3297</v>
      </c>
      <c r="D1" s="3520" t="s">
        <v>3297</v>
      </c>
      <c r="E1" s="3520" t="s">
        <v>3297</v>
      </c>
      <c r="F1" s="3520" t="s">
        <v>3297</v>
      </c>
    </row>
    <row r="2" spans="1:6" ht="14.1" customHeight="1">
      <c r="A2" s="3114"/>
      <c r="B2" s="3115"/>
      <c r="C2" s="3116"/>
      <c r="D2" s="3114"/>
      <c r="E2" s="3115"/>
      <c r="F2" s="3117" t="s">
        <v>3299</v>
      </c>
    </row>
    <row r="3" spans="1:6" ht="14.1" customHeight="1">
      <c r="A3" s="3118" t="s">
        <v>3291</v>
      </c>
      <c r="B3" s="3119"/>
      <c r="C3" s="3521" t="s">
        <v>3418</v>
      </c>
      <c r="D3" s="3521" t="s">
        <v>3418</v>
      </c>
      <c r="E3" s="3120"/>
      <c r="F3" s="3121" t="s">
        <v>3303</v>
      </c>
    </row>
    <row r="4" spans="1:6" ht="14.1" customHeight="1">
      <c r="A4" s="3122" t="s">
        <v>3307</v>
      </c>
      <c r="B4" s="3123" t="s">
        <v>3308</v>
      </c>
      <c r="C4" s="3123" t="s">
        <v>3309</v>
      </c>
      <c r="D4" s="3122" t="s">
        <v>3310</v>
      </c>
      <c r="E4" s="3123" t="s">
        <v>3308</v>
      </c>
      <c r="F4" s="3123" t="s">
        <v>3309</v>
      </c>
    </row>
    <row r="5" spans="1:6" ht="14.1" customHeight="1">
      <c r="A5" s="3124" t="s">
        <v>3312</v>
      </c>
      <c r="B5" s="3125"/>
      <c r="C5" s="3126"/>
      <c r="D5" s="3124" t="s">
        <v>3313</v>
      </c>
      <c r="E5" s="3125"/>
      <c r="F5" s="3126"/>
    </row>
    <row r="6" spans="1:6" ht="14.1" customHeight="1">
      <c r="A6" s="3127" t="s">
        <v>3315</v>
      </c>
      <c r="B6" s="3128">
        <v>1481963.86</v>
      </c>
      <c r="C6" s="3129">
        <v>15142233.07</v>
      </c>
      <c r="D6" s="3127" t="s">
        <v>3316</v>
      </c>
      <c r="E6" s="3128">
        <v>0</v>
      </c>
      <c r="F6" s="3129">
        <v>563800000</v>
      </c>
    </row>
    <row r="7" spans="1:6" ht="14.1" customHeight="1">
      <c r="A7" s="3130" t="s">
        <v>3318</v>
      </c>
      <c r="B7" s="3128">
        <v>0</v>
      </c>
      <c r="C7" s="3129">
        <v>0</v>
      </c>
      <c r="D7" s="3127" t="s">
        <v>3319</v>
      </c>
      <c r="E7" s="3128">
        <v>0</v>
      </c>
      <c r="F7" s="3129">
        <v>0</v>
      </c>
    </row>
    <row r="8" spans="1:6" ht="14.1" customHeight="1">
      <c r="A8" s="3130" t="s">
        <v>3321</v>
      </c>
      <c r="B8" s="3128">
        <v>0</v>
      </c>
      <c r="C8" s="3129">
        <v>0</v>
      </c>
      <c r="D8" s="3127" t="s">
        <v>3322</v>
      </c>
      <c r="E8" s="3128">
        <v>0</v>
      </c>
      <c r="F8" s="3129">
        <v>4892330.54</v>
      </c>
    </row>
    <row r="9" spans="1:6" ht="14.1" customHeight="1">
      <c r="A9" s="3130" t="s">
        <v>3324</v>
      </c>
      <c r="B9" s="3128">
        <v>0</v>
      </c>
      <c r="C9" s="3129">
        <v>47101</v>
      </c>
      <c r="D9" s="3127" t="s">
        <v>3325</v>
      </c>
      <c r="E9" s="3128">
        <v>41333214.759999998</v>
      </c>
      <c r="F9" s="3128">
        <v>14462688.800000001</v>
      </c>
    </row>
    <row r="10" spans="1:6" ht="14.1" customHeight="1">
      <c r="A10" s="3131" t="s">
        <v>3327</v>
      </c>
      <c r="B10" s="3128">
        <v>0</v>
      </c>
      <c r="C10" s="3129">
        <v>0</v>
      </c>
      <c r="D10" s="3127" t="s">
        <v>3328</v>
      </c>
      <c r="E10" s="3128">
        <v>1077191.1399999999</v>
      </c>
      <c r="F10" s="3128">
        <v>131167935.27</v>
      </c>
    </row>
    <row r="11" spans="1:6" ht="14.1" customHeight="1">
      <c r="A11" s="3132" t="s">
        <v>3330</v>
      </c>
      <c r="B11" s="3133">
        <f>B9-B10</f>
        <v>0</v>
      </c>
      <c r="C11" s="3134">
        <f>C9-C10</f>
        <v>47101</v>
      </c>
      <c r="D11" s="3127" t="s">
        <v>3331</v>
      </c>
      <c r="E11" s="3128">
        <v>19485913.550000001</v>
      </c>
      <c r="F11" s="3129">
        <v>12721744.33</v>
      </c>
    </row>
    <row r="12" spans="1:6" ht="14.1" customHeight="1">
      <c r="A12" s="3130" t="s">
        <v>3333</v>
      </c>
      <c r="B12" s="3128">
        <v>380769.25</v>
      </c>
      <c r="C12" s="3128">
        <v>542414.61</v>
      </c>
      <c r="D12" s="3127" t="s">
        <v>3334</v>
      </c>
      <c r="E12" s="3128">
        <v>-3700</v>
      </c>
      <c r="F12" s="3129">
        <v>-2600</v>
      </c>
    </row>
    <row r="13" spans="1:6" ht="14.1" customHeight="1">
      <c r="A13" s="3131" t="s">
        <v>3336</v>
      </c>
      <c r="B13" s="3128">
        <v>12770197.18</v>
      </c>
      <c r="C13" s="3129">
        <v>678391395.40999997</v>
      </c>
      <c r="D13" s="3135" t="s">
        <v>3337</v>
      </c>
      <c r="E13" s="3128">
        <v>471224492.05000001</v>
      </c>
      <c r="F13" s="3129">
        <v>538842622.97000003</v>
      </c>
    </row>
    <row r="14" spans="1:6" ht="14.1" customHeight="1">
      <c r="A14" s="3130" t="s">
        <v>3339</v>
      </c>
      <c r="B14" s="3128">
        <v>0</v>
      </c>
      <c r="C14" s="3129">
        <v>0</v>
      </c>
      <c r="D14" s="3127" t="s">
        <v>3340</v>
      </c>
      <c r="E14" s="3128">
        <v>-901865.5</v>
      </c>
      <c r="F14" s="3129">
        <v>-4884327.96</v>
      </c>
    </row>
    <row r="15" spans="1:6" ht="14.1" customHeight="1">
      <c r="A15" s="3130" t="s">
        <v>3342</v>
      </c>
      <c r="B15" s="3128">
        <v>0</v>
      </c>
      <c r="C15" s="3129">
        <v>0</v>
      </c>
      <c r="D15" s="3127" t="s">
        <v>3343</v>
      </c>
      <c r="E15" s="3128">
        <v>0</v>
      </c>
      <c r="F15" s="3129">
        <v>0</v>
      </c>
    </row>
    <row r="16" spans="1:6" ht="14.1" customHeight="1">
      <c r="A16" s="3130" t="s">
        <v>3345</v>
      </c>
      <c r="B16" s="3128">
        <v>6477854.25</v>
      </c>
      <c r="C16" s="3128">
        <v>12121879.050000001</v>
      </c>
      <c r="D16" s="3127" t="s">
        <v>3346</v>
      </c>
      <c r="E16" s="3128">
        <v>0</v>
      </c>
      <c r="F16" s="3129">
        <v>0</v>
      </c>
    </row>
    <row r="17" spans="1:6" ht="14.1" customHeight="1">
      <c r="A17" s="3130" t="s">
        <v>3348</v>
      </c>
      <c r="B17" s="3128">
        <v>633572011.39999998</v>
      </c>
      <c r="C17" s="3129">
        <v>633572011.39999998</v>
      </c>
      <c r="D17" s="3127" t="s">
        <v>3349</v>
      </c>
      <c r="E17" s="3128">
        <v>0</v>
      </c>
      <c r="F17" s="3129">
        <v>0</v>
      </c>
    </row>
    <row r="18" spans="1:6" ht="14.1" customHeight="1">
      <c r="A18" s="3131" t="s">
        <v>3351</v>
      </c>
      <c r="B18" s="3128">
        <v>0</v>
      </c>
      <c r="C18" s="3129">
        <v>0</v>
      </c>
      <c r="D18" s="3127" t="s">
        <v>3352</v>
      </c>
      <c r="E18" s="3128">
        <v>0</v>
      </c>
      <c r="F18" s="3129">
        <v>0</v>
      </c>
    </row>
    <row r="19" spans="1:6" ht="14.1" customHeight="1">
      <c r="A19" s="3132" t="s">
        <v>3354</v>
      </c>
      <c r="B19" s="3133">
        <f>B17-B18</f>
        <v>633572011.39999998</v>
      </c>
      <c r="C19" s="3134">
        <f>C17-C18</f>
        <v>633572011.39999998</v>
      </c>
      <c r="D19" s="3136"/>
      <c r="E19" s="3128"/>
      <c r="F19" s="3129"/>
    </row>
    <row r="20" spans="1:6" ht="14.1" customHeight="1">
      <c r="A20" s="3130" t="s">
        <v>3356</v>
      </c>
      <c r="B20" s="3128">
        <v>0</v>
      </c>
      <c r="C20" s="3129">
        <v>0</v>
      </c>
      <c r="D20" s="3136"/>
      <c r="E20" s="3128"/>
      <c r="F20" s="3129"/>
    </row>
    <row r="21" spans="1:6" ht="14.1" customHeight="1">
      <c r="A21" s="3130" t="s">
        <v>3358</v>
      </c>
      <c r="B21" s="3128">
        <v>0</v>
      </c>
      <c r="C21" s="3129">
        <v>0</v>
      </c>
      <c r="D21" s="3136"/>
      <c r="E21" s="3128"/>
      <c r="F21" s="3129"/>
    </row>
    <row r="22" spans="1:6" ht="14.1" customHeight="1">
      <c r="A22" s="3137" t="s">
        <v>3360</v>
      </c>
      <c r="B22" s="3133">
        <f>B6+B7+B8+B11+B12+B13+B14+B15+B16+B19+B20+B21</f>
        <v>654682795.93999994</v>
      </c>
      <c r="C22" s="3134">
        <f>C6+C7+C8+C11+C12+C13+C14+C15+C16+C19+C20+C21</f>
        <v>1339817034.54</v>
      </c>
      <c r="D22" s="3138" t="s">
        <v>3361</v>
      </c>
      <c r="E22" s="3133">
        <f>E6+E7+E8+E9+E10+E11+E12+E13+E14+E15+E16+E17+E18</f>
        <v>532215246</v>
      </c>
      <c r="F22" s="3134">
        <f>F6+F7+F8+F9+F10+F11+F12+F13+F14+F15+F16+F17+F18</f>
        <v>1261000393.9499998</v>
      </c>
    </row>
    <row r="23" spans="1:6" ht="14.1" customHeight="1">
      <c r="A23" s="3139" t="s">
        <v>3363</v>
      </c>
      <c r="B23" s="3140"/>
      <c r="C23" s="3141"/>
      <c r="D23" s="3124" t="s">
        <v>3364</v>
      </c>
      <c r="E23" s="3140"/>
      <c r="F23" s="3141"/>
    </row>
    <row r="24" spans="1:6" ht="14.1" customHeight="1">
      <c r="A24" s="3130" t="s">
        <v>3366</v>
      </c>
      <c r="B24" s="3128">
        <v>4000000</v>
      </c>
      <c r="C24" s="3129">
        <v>0</v>
      </c>
      <c r="D24" s="3127" t="s">
        <v>3367</v>
      </c>
      <c r="E24" s="3128">
        <v>0</v>
      </c>
      <c r="F24" s="3129">
        <v>0</v>
      </c>
    </row>
    <row r="25" spans="1:6" ht="14.1" customHeight="1">
      <c r="A25" s="3130" t="s">
        <v>3369</v>
      </c>
      <c r="B25" s="3128">
        <v>0</v>
      </c>
      <c r="C25" s="3129">
        <v>0</v>
      </c>
      <c r="D25" s="3127" t="s">
        <v>3370</v>
      </c>
      <c r="E25" s="3128">
        <v>0</v>
      </c>
      <c r="F25" s="3129">
        <v>0</v>
      </c>
    </row>
    <row r="26" spans="1:6" ht="14.1" customHeight="1">
      <c r="A26" s="3130" t="s">
        <v>3372</v>
      </c>
      <c r="B26" s="3128">
        <v>0</v>
      </c>
      <c r="C26" s="3128">
        <v>0</v>
      </c>
      <c r="D26" s="3127" t="s">
        <v>3373</v>
      </c>
      <c r="E26" s="3128">
        <v>0</v>
      </c>
      <c r="F26" s="3129">
        <v>0</v>
      </c>
    </row>
    <row r="27" spans="1:6" ht="14.1" customHeight="1">
      <c r="A27" s="3130" t="s">
        <v>3375</v>
      </c>
      <c r="B27" s="3128">
        <v>0</v>
      </c>
      <c r="C27" s="3129">
        <v>0</v>
      </c>
      <c r="D27" s="3127" t="s">
        <v>3376</v>
      </c>
      <c r="E27" s="3128">
        <v>0</v>
      </c>
      <c r="F27" s="3129">
        <v>0</v>
      </c>
    </row>
    <row r="28" spans="1:6" ht="14.1" customHeight="1">
      <c r="A28" s="3130" t="s">
        <v>3378</v>
      </c>
      <c r="B28" s="3128">
        <v>0</v>
      </c>
      <c r="C28" s="3129">
        <v>0</v>
      </c>
      <c r="D28" s="3127" t="s">
        <v>3379</v>
      </c>
      <c r="E28" s="3128">
        <v>0</v>
      </c>
      <c r="F28" s="3129">
        <v>0</v>
      </c>
    </row>
    <row r="29" spans="1:6" ht="14.1" customHeight="1">
      <c r="A29" s="3136"/>
      <c r="B29" s="3128"/>
      <c r="C29" s="3129"/>
      <c r="D29" s="3135" t="s">
        <v>3381</v>
      </c>
      <c r="E29" s="3128">
        <v>0</v>
      </c>
      <c r="F29" s="3129">
        <v>0</v>
      </c>
    </row>
    <row r="30" spans="1:6" ht="14.1" customHeight="1">
      <c r="A30" s="3139" t="s">
        <v>3383</v>
      </c>
      <c r="B30" s="3140"/>
      <c r="C30" s="3141"/>
      <c r="D30" s="3127" t="s">
        <v>3384</v>
      </c>
      <c r="E30" s="3128">
        <v>0</v>
      </c>
      <c r="F30" s="3129">
        <v>0</v>
      </c>
    </row>
    <row r="31" spans="1:6" ht="14.1" customHeight="1">
      <c r="A31" s="3131" t="s">
        <v>3386</v>
      </c>
      <c r="B31" s="3128">
        <v>27170</v>
      </c>
      <c r="C31" s="3128">
        <v>47090</v>
      </c>
      <c r="D31" s="3136"/>
      <c r="E31" s="3128"/>
      <c r="F31" s="3129"/>
    </row>
    <row r="32" spans="1:6" ht="14.1" customHeight="1">
      <c r="A32" s="3131" t="s">
        <v>3388</v>
      </c>
      <c r="B32" s="3128">
        <v>25811.5</v>
      </c>
      <c r="C32" s="3128">
        <v>26757.7</v>
      </c>
      <c r="D32" s="3138" t="s">
        <v>3389</v>
      </c>
      <c r="E32" s="3133">
        <f>E24+E25+E26+E27+E28+E29+E30</f>
        <v>0</v>
      </c>
      <c r="F32" s="3134">
        <f>F24+F25+F26+F27+F28+F29+F30</f>
        <v>0</v>
      </c>
    </row>
    <row r="33" spans="1:6" ht="14.1" customHeight="1">
      <c r="A33" s="3131" t="s">
        <v>3390</v>
      </c>
      <c r="B33" s="3128">
        <v>0</v>
      </c>
      <c r="C33" s="3128">
        <v>0</v>
      </c>
      <c r="D33" s="3138" t="s">
        <v>3391</v>
      </c>
      <c r="E33" s="3133">
        <f>E22+E32</f>
        <v>532215246</v>
      </c>
      <c r="F33" s="3134">
        <f>F22+F32</f>
        <v>1261000393.9499998</v>
      </c>
    </row>
    <row r="34" spans="1:6" ht="14.1" customHeight="1">
      <c r="A34" s="3132" t="s">
        <v>3392</v>
      </c>
      <c r="B34" s="3133">
        <f>B31-B32-B33</f>
        <v>1358.5</v>
      </c>
      <c r="C34" s="3134">
        <f>C31-C32-C33</f>
        <v>20332.3</v>
      </c>
      <c r="D34" s="3136"/>
      <c r="E34" s="3128"/>
      <c r="F34" s="3129"/>
    </row>
    <row r="35" spans="1:6" ht="14.1" customHeight="1">
      <c r="A35" s="3131" t="s">
        <v>3393</v>
      </c>
      <c r="B35" s="3128">
        <v>0</v>
      </c>
      <c r="C35" s="3129">
        <v>0</v>
      </c>
      <c r="D35" s="3124" t="s">
        <v>3394</v>
      </c>
      <c r="E35" s="3140"/>
      <c r="F35" s="3141"/>
    </row>
    <row r="36" spans="1:6" ht="14.1" customHeight="1">
      <c r="A36" s="3130" t="s">
        <v>3395</v>
      </c>
      <c r="B36" s="3128">
        <v>0</v>
      </c>
      <c r="C36" s="3129">
        <v>0</v>
      </c>
      <c r="D36" s="3127" t="s">
        <v>3396</v>
      </c>
      <c r="E36" s="3128">
        <v>150000000</v>
      </c>
      <c r="F36" s="3129">
        <v>150000000</v>
      </c>
    </row>
    <row r="37" spans="1:6" ht="14.1" customHeight="1">
      <c r="A37" s="3130" t="s">
        <v>3397</v>
      </c>
      <c r="B37" s="3128">
        <v>0</v>
      </c>
      <c r="C37" s="3129">
        <v>0</v>
      </c>
      <c r="D37" s="3127" t="s">
        <v>3398</v>
      </c>
      <c r="E37" s="3128">
        <v>74221</v>
      </c>
      <c r="F37" s="3129">
        <v>74221</v>
      </c>
    </row>
    <row r="38" spans="1:6" ht="14.1" customHeight="1">
      <c r="A38" s="3131" t="s">
        <v>3399</v>
      </c>
      <c r="B38" s="3128">
        <v>0</v>
      </c>
      <c r="C38" s="3129">
        <v>0</v>
      </c>
      <c r="D38" s="3127" t="s">
        <v>3400</v>
      </c>
      <c r="E38" s="3128">
        <v>0</v>
      </c>
      <c r="F38" s="3129">
        <v>0</v>
      </c>
    </row>
    <row r="39" spans="1:6" ht="14.1" customHeight="1">
      <c r="A39" s="3130" t="s">
        <v>3401</v>
      </c>
      <c r="B39" s="3128">
        <v>0</v>
      </c>
      <c r="C39" s="3129">
        <v>0</v>
      </c>
      <c r="D39" s="3127" t="s">
        <v>3402</v>
      </c>
      <c r="E39" s="3128">
        <f>E40+E41</f>
        <v>-23605312.559999999</v>
      </c>
      <c r="F39" s="3129">
        <f>F40+F41</f>
        <v>-71237248.109999999</v>
      </c>
    </row>
    <row r="40" spans="1:6" ht="14.1" customHeight="1">
      <c r="A40" s="3137" t="s">
        <v>3403</v>
      </c>
      <c r="B40" s="3133">
        <f>B38-B39</f>
        <v>0</v>
      </c>
      <c r="C40" s="3134">
        <f>C38-C39</f>
        <v>0</v>
      </c>
      <c r="D40" s="3127" t="s">
        <v>3404</v>
      </c>
      <c r="E40" s="3128">
        <v>0</v>
      </c>
      <c r="F40" s="3129">
        <v>0</v>
      </c>
    </row>
    <row r="41" spans="1:6" ht="14.1" customHeight="1">
      <c r="A41" s="3130" t="s">
        <v>3405</v>
      </c>
      <c r="B41" s="3128">
        <v>0</v>
      </c>
      <c r="C41" s="3129">
        <v>0</v>
      </c>
      <c r="D41" s="3127" t="s">
        <v>3406</v>
      </c>
      <c r="E41" s="3128">
        <v>-23605312.559999999</v>
      </c>
      <c r="F41" s="3129">
        <v>-71237248.109999999</v>
      </c>
    </row>
    <row r="42" spans="1:6" ht="14.1" customHeight="1">
      <c r="A42" s="3130" t="s">
        <v>3407</v>
      </c>
      <c r="B42" s="3128">
        <v>0</v>
      </c>
      <c r="C42" s="3129">
        <v>0</v>
      </c>
      <c r="D42" s="3127" t="s">
        <v>3408</v>
      </c>
      <c r="E42" s="3128">
        <v>0</v>
      </c>
      <c r="F42" s="3129">
        <v>0</v>
      </c>
    </row>
    <row r="43" spans="1:6" ht="14.1" customHeight="1">
      <c r="A43" s="3127" t="s">
        <v>3409</v>
      </c>
      <c r="B43" s="3128">
        <v>0</v>
      </c>
      <c r="C43" s="3142">
        <v>0</v>
      </c>
      <c r="D43" s="3143" t="s">
        <v>3410</v>
      </c>
      <c r="E43" s="3128">
        <v>0</v>
      </c>
      <c r="F43" s="3129">
        <v>0</v>
      </c>
    </row>
    <row r="44" spans="1:6" ht="14.1" customHeight="1">
      <c r="A44" s="3127" t="s">
        <v>3411</v>
      </c>
      <c r="B44" s="3128">
        <v>0</v>
      </c>
      <c r="C44" s="3142">
        <v>0</v>
      </c>
      <c r="D44" s="3143" t="s">
        <v>3412</v>
      </c>
      <c r="E44" s="3128">
        <v>0</v>
      </c>
      <c r="F44" s="3129">
        <v>0</v>
      </c>
    </row>
    <row r="45" spans="1:6" ht="14.1" customHeight="1">
      <c r="A45" s="3138" t="s">
        <v>3413</v>
      </c>
      <c r="B45" s="3133">
        <f>B24+B25+B26+B27+B28+B34+B35+B36+B37+B40+B41+B42+B43+B44</f>
        <v>4001358.5</v>
      </c>
      <c r="C45" s="3134">
        <f>C24+C25+C26+C27+C28+C34+C35+C36+C37+C40+C41+C42+C43+C44</f>
        <v>20332.3</v>
      </c>
      <c r="D45" s="3144" t="s">
        <v>3414</v>
      </c>
      <c r="E45" s="3133">
        <f>E36+E37+E38+E39+E43+E44+E42</f>
        <v>126468908.44</v>
      </c>
      <c r="F45" s="3133">
        <f>F36+F37+F38+F39+F43+F44+F42</f>
        <v>78836972.890000001</v>
      </c>
    </row>
    <row r="46" spans="1:6" ht="14.1" customHeight="1">
      <c r="A46" s="3145" t="s">
        <v>3415</v>
      </c>
      <c r="B46" s="3146">
        <f>B22+B45</f>
        <v>658684154.43999994</v>
      </c>
      <c r="C46" s="3147">
        <f>C22+C45</f>
        <v>1339837366.8399999</v>
      </c>
      <c r="D46" s="3148" t="s">
        <v>3416</v>
      </c>
      <c r="E46" s="3146">
        <f>E33+E45</f>
        <v>658684154.44000006</v>
      </c>
      <c r="F46" s="3147">
        <f>F33+F45</f>
        <v>1339837366.8399999</v>
      </c>
    </row>
  </sheetData>
  <mergeCells count="2">
    <mergeCell ref="A1:F1"/>
    <mergeCell ref="C3:D3"/>
  </mergeCells>
  <phoneticPr fontId="141" type="noConversion"/>
  <pageMargins left="0.75" right="0.75" top="1" bottom="1" header="0.5" footer="0.5"/>
  <pageSetup orientation="portrait" horizontalDpi="300" verticalDpi="300"/>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C7:Q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37"/>
      <c r="M2" s="2938"/>
      <c r="N2" s="2938"/>
      <c r="O2" s="2938"/>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44859.7</v>
      </c>
      <c r="E3" s="1038"/>
      <c r="F3" s="2074"/>
      <c r="G3" s="1038"/>
      <c r="H3" s="1038"/>
      <c r="I3" s="1038"/>
      <c r="J3" s="1038"/>
      <c r="K3" s="2070"/>
      <c r="L3" s="2937"/>
      <c r="M3" s="2938"/>
      <c r="N3" s="2938"/>
      <c r="O3" s="2938"/>
      <c r="P3" s="2071"/>
      <c r="Q3" s="2072"/>
      <c r="R3" s="2072"/>
      <c r="S3" s="2072"/>
      <c r="T3" s="2072"/>
      <c r="U3" s="2072"/>
      <c r="V3" s="2072"/>
      <c r="W3" s="2072"/>
      <c r="X3" s="2072"/>
      <c r="Y3" s="2072"/>
      <c r="Z3" s="2072"/>
      <c r="AA3" s="2072"/>
      <c r="AB3" s="2072"/>
      <c r="AC3" s="1192"/>
    </row>
    <row r="4" spans="1:29" ht="15">
      <c r="A4" s="361" t="s">
        <v>2356</v>
      </c>
      <c r="B4" s="362"/>
      <c r="C4" s="3448" t="s">
        <v>2357</v>
      </c>
      <c r="D4" s="3449"/>
      <c r="E4" s="3450" t="s">
        <v>2358</v>
      </c>
      <c r="F4" s="3451"/>
      <c r="G4" s="3448" t="s">
        <v>2359</v>
      </c>
      <c r="H4" s="3449"/>
      <c r="I4" s="3448" t="s">
        <v>2360</v>
      </c>
      <c r="J4" s="3449"/>
      <c r="K4" s="2075" t="s">
        <v>2361</v>
      </c>
      <c r="L4" s="2939"/>
      <c r="M4" s="2940"/>
      <c r="N4" s="2940"/>
      <c r="O4" s="2940"/>
      <c r="P4" s="3452" t="s">
        <v>2362</v>
      </c>
      <c r="Q4" s="3453"/>
      <c r="R4" s="3435" t="s">
        <v>2358</v>
      </c>
      <c r="S4" s="3436"/>
      <c r="T4" s="3435" t="s">
        <v>2359</v>
      </c>
      <c r="U4" s="3436"/>
      <c r="V4" s="3460" t="s">
        <v>2360</v>
      </c>
      <c r="W4" s="3460"/>
      <c r="X4" s="1540"/>
      <c r="Y4" s="3435" t="s">
        <v>2362</v>
      </c>
      <c r="Z4" s="3436"/>
      <c r="AA4" s="3430" t="s">
        <v>2358</v>
      </c>
      <c r="AB4" s="3430" t="s">
        <v>2359</v>
      </c>
      <c r="AC4" s="3430" t="s">
        <v>2360</v>
      </c>
    </row>
    <row r="5" spans="1:29" ht="15">
      <c r="A5" s="364"/>
      <c r="B5" s="365"/>
      <c r="C5" s="3441" t="s">
        <v>2363</v>
      </c>
      <c r="D5" s="3442"/>
      <c r="E5" s="3439" t="s">
        <v>2364</v>
      </c>
      <c r="F5" s="3440"/>
      <c r="G5" s="3441" t="s">
        <v>2365</v>
      </c>
      <c r="H5" s="3442"/>
      <c r="I5" s="3441" t="s">
        <v>2366</v>
      </c>
      <c r="J5" s="3442"/>
      <c r="K5" s="2076"/>
      <c r="L5" s="2939"/>
      <c r="M5" s="2940"/>
      <c r="N5" s="2940"/>
      <c r="O5" s="2940"/>
      <c r="P5" s="3454"/>
      <c r="Q5" s="3455"/>
      <c r="R5" s="3437"/>
      <c r="S5" s="3438"/>
      <c r="T5" s="3437"/>
      <c r="U5" s="3438"/>
      <c r="V5" s="3460"/>
      <c r="W5" s="3460"/>
      <c r="X5" s="1540"/>
      <c r="Y5" s="3437"/>
      <c r="Z5" s="3438"/>
      <c r="AA5" s="3431"/>
      <c r="AB5" s="3431"/>
      <c r="AC5" s="3431"/>
    </row>
    <row r="6" spans="1:29" ht="15.75" thickBot="1">
      <c r="A6" s="366"/>
      <c r="B6" s="367"/>
      <c r="C6" s="3443" t="s">
        <v>2367</v>
      </c>
      <c r="D6" s="3444"/>
      <c r="E6" s="3445" t="s">
        <v>2367</v>
      </c>
      <c r="F6" s="3446"/>
      <c r="G6" s="3443" t="s">
        <v>2367</v>
      </c>
      <c r="H6" s="3444"/>
      <c r="I6" s="3443" t="s">
        <v>2367</v>
      </c>
      <c r="J6" s="3444"/>
      <c r="K6" s="2076" t="s">
        <v>2368</v>
      </c>
      <c r="L6" s="2939"/>
      <c r="M6" s="2940"/>
      <c r="N6" s="2940"/>
      <c r="O6" s="2940"/>
      <c r="P6" s="3456"/>
      <c r="Q6" s="3457"/>
      <c r="R6" s="3437"/>
      <c r="S6" s="3438"/>
      <c r="T6" s="3458"/>
      <c r="U6" s="3459"/>
      <c r="V6" s="3460"/>
      <c r="W6" s="3460"/>
      <c r="X6" s="1540"/>
      <c r="Y6" s="3458"/>
      <c r="Z6" s="3459"/>
      <c r="AA6" s="3432"/>
      <c r="AB6" s="3432"/>
      <c r="AC6" s="3432"/>
    </row>
    <row r="7" spans="1:29" s="113" customFormat="1" ht="15.75" thickBot="1">
      <c r="A7" s="368" t="s">
        <v>2369</v>
      </c>
      <c r="B7" s="369"/>
      <c r="C7" s="370">
        <f>'数据-取费表'!B2</f>
        <v>44280</v>
      </c>
      <c r="D7" s="371">
        <v>100</v>
      </c>
      <c r="E7" s="372"/>
      <c r="F7" s="373">
        <f>SUMIF(58:58,YEAR(E7)&amp;"-"&amp;MONTH(E7),59:59)</f>
        <v>0</v>
      </c>
      <c r="G7" s="372"/>
      <c r="H7" s="371">
        <f>SUMIF(58:58,YEAR(G7)&amp;"-"&amp;MONTH(G7),59:59)</f>
        <v>0</v>
      </c>
      <c r="I7" s="372"/>
      <c r="J7" s="371">
        <f>SUMIF(58:58,YEAR(I7)&amp;"-"&amp;MONTH(I7),59:59)</f>
        <v>0</v>
      </c>
      <c r="K7" s="2077"/>
      <c r="L7" s="2941"/>
      <c r="M7" s="2942"/>
      <c r="N7" s="2942"/>
      <c r="O7" s="2942"/>
      <c r="P7" s="3433" t="s">
        <v>2370</v>
      </c>
      <c r="Q7" s="3461"/>
      <c r="R7" s="710" t="s">
        <v>23</v>
      </c>
      <c r="S7" s="711">
        <f t="shared" ref="S7:S15" si="0">F7</f>
        <v>0</v>
      </c>
      <c r="T7" s="710" t="s">
        <v>23</v>
      </c>
      <c r="U7" s="711">
        <f t="shared" ref="U7:U15" si="1">H7</f>
        <v>0</v>
      </c>
      <c r="V7" s="710" t="s">
        <v>23</v>
      </c>
      <c r="W7" s="711">
        <f t="shared" ref="W7:W15" si="2">J7</f>
        <v>0</v>
      </c>
      <c r="X7" s="712"/>
      <c r="Y7" s="3433" t="s">
        <v>2370</v>
      </c>
      <c r="Z7" s="3434"/>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1"/>
      <c r="M8" s="2942"/>
      <c r="N8" s="2942"/>
      <c r="O8" s="2942"/>
      <c r="P8" s="3433" t="s">
        <v>2373</v>
      </c>
      <c r="Q8" s="3434"/>
      <c r="R8" s="710" t="s">
        <v>23</v>
      </c>
      <c r="S8" s="711">
        <f t="shared" si="0"/>
        <v>0</v>
      </c>
      <c r="T8" s="710" t="s">
        <v>23</v>
      </c>
      <c r="U8" s="711">
        <f t="shared" si="1"/>
        <v>0</v>
      </c>
      <c r="V8" s="710" t="s">
        <v>23</v>
      </c>
      <c r="W8" s="711">
        <f t="shared" si="2"/>
        <v>0</v>
      </c>
      <c r="X8" s="712"/>
      <c r="Y8" s="3433" t="s">
        <v>2373</v>
      </c>
      <c r="Z8" s="3434"/>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1"/>
      <c r="M9" s="2942"/>
      <c r="N9" s="2942"/>
      <c r="O9" s="2942"/>
      <c r="P9" s="3471" t="s">
        <v>2376</v>
      </c>
      <c r="Q9" s="1528" t="str">
        <f t="shared" ref="Q9:Q15" si="6">B9</f>
        <v>用途</v>
      </c>
      <c r="R9" s="710" t="s">
        <v>17</v>
      </c>
      <c r="S9" s="711">
        <f t="shared" si="0"/>
        <v>100</v>
      </c>
      <c r="T9" s="710" t="s">
        <v>17</v>
      </c>
      <c r="U9" s="711">
        <f t="shared" si="1"/>
        <v>100</v>
      </c>
      <c r="V9" s="710" t="s">
        <v>17</v>
      </c>
      <c r="W9" s="711">
        <f t="shared" si="2"/>
        <v>100</v>
      </c>
      <c r="X9" s="712"/>
      <c r="Y9" s="339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3"/>
      <c r="M10" s="2944"/>
      <c r="N10" s="2944"/>
      <c r="O10" s="2944"/>
      <c r="P10" s="3471"/>
      <c r="Q10" s="152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5"/>
      <c r="M11" s="2940"/>
      <c r="N11" s="2940"/>
      <c r="O11" s="2940"/>
      <c r="P11" s="3471"/>
      <c r="Q11" s="1528" t="str">
        <f t="shared" si="6"/>
        <v>容积率</v>
      </c>
      <c r="R11" s="710" t="s">
        <v>21</v>
      </c>
      <c r="S11" s="711" t="e">
        <f t="shared" si="0"/>
        <v>#N/A</v>
      </c>
      <c r="T11" s="710" t="s">
        <v>21</v>
      </c>
      <c r="U11" s="711" t="e">
        <f t="shared" si="1"/>
        <v>#N/A</v>
      </c>
      <c r="V11" s="710" t="s">
        <v>21</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1"/>
      <c r="M12" s="2942"/>
      <c r="N12" s="2942"/>
      <c r="O12" s="2942"/>
      <c r="P12" s="3471"/>
      <c r="Q12" s="1528">
        <f t="shared" si="6"/>
        <v>111</v>
      </c>
      <c r="R12" s="710" t="s">
        <v>21</v>
      </c>
      <c r="S12" s="711">
        <f t="shared" si="0"/>
        <v>100</v>
      </c>
      <c r="T12" s="710" t="s">
        <v>21</v>
      </c>
      <c r="U12" s="711">
        <f t="shared" si="1"/>
        <v>100</v>
      </c>
      <c r="V12" s="710" t="s">
        <v>21</v>
      </c>
      <c r="W12" s="711">
        <f t="shared" si="2"/>
        <v>100</v>
      </c>
      <c r="X12" s="712"/>
      <c r="Y12" s="339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6"/>
      <c r="M13" s="2940"/>
      <c r="N13" s="2940"/>
      <c r="O13" s="2940"/>
      <c r="P13" s="3471"/>
      <c r="Q13" s="1528">
        <f t="shared" si="6"/>
        <v>111</v>
      </c>
      <c r="R13" s="710" t="s">
        <v>21</v>
      </c>
      <c r="S13" s="711">
        <f t="shared" si="0"/>
        <v>100</v>
      </c>
      <c r="T13" s="710" t="s">
        <v>21</v>
      </c>
      <c r="U13" s="711">
        <f t="shared" si="1"/>
        <v>100</v>
      </c>
      <c r="V13" s="710" t="s">
        <v>21</v>
      </c>
      <c r="W13" s="711">
        <f t="shared" si="2"/>
        <v>100</v>
      </c>
      <c r="X13" s="712"/>
      <c r="Y13" s="339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6"/>
      <c r="M14" s="2940"/>
      <c r="N14" s="2940"/>
      <c r="O14" s="2940"/>
      <c r="P14" s="3471"/>
      <c r="Q14" s="1528">
        <f t="shared" si="6"/>
        <v>111</v>
      </c>
      <c r="R14" s="710" t="s">
        <v>21</v>
      </c>
      <c r="S14" s="711">
        <f t="shared" si="0"/>
        <v>100</v>
      </c>
      <c r="T14" s="710" t="s">
        <v>21</v>
      </c>
      <c r="U14" s="711">
        <f t="shared" si="1"/>
        <v>100</v>
      </c>
      <c r="V14" s="710" t="s">
        <v>21</v>
      </c>
      <c r="W14" s="711">
        <f t="shared" si="2"/>
        <v>100</v>
      </c>
      <c r="X14" s="712"/>
      <c r="Y14" s="3399"/>
      <c r="Z14" s="55">
        <f t="shared" si="7"/>
        <v>111</v>
      </c>
      <c r="AA14" s="713">
        <f t="shared" si="3"/>
        <v>1</v>
      </c>
      <c r="AB14" s="713">
        <f t="shared" si="4"/>
        <v>1</v>
      </c>
      <c r="AC14" s="713">
        <f t="shared" si="5"/>
        <v>1</v>
      </c>
    </row>
    <row r="15" spans="1:29" ht="15">
      <c r="A15" s="399" t="s">
        <v>2380</v>
      </c>
      <c r="B15" s="65" t="s">
        <v>1943</v>
      </c>
      <c r="C15" s="208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6"/>
      <c r="M15" s="2940"/>
      <c r="N15" s="2940"/>
      <c r="O15" s="2940"/>
      <c r="P15" s="3528" t="s">
        <v>2381</v>
      </c>
      <c r="Q15" s="1537" t="str">
        <f t="shared" si="6"/>
        <v>居住社区成熟度</v>
      </c>
      <c r="R15" s="714" t="s">
        <v>21</v>
      </c>
      <c r="S15" s="715">
        <f t="shared" si="0"/>
        <v>100</v>
      </c>
      <c r="T15" s="714" t="s">
        <v>21</v>
      </c>
      <c r="U15" s="715">
        <f t="shared" si="1"/>
        <v>100</v>
      </c>
      <c r="V15" s="714" t="s">
        <v>21</v>
      </c>
      <c r="W15" s="715">
        <f t="shared" si="2"/>
        <v>100</v>
      </c>
      <c r="X15" s="1540"/>
      <c r="Y15" s="3462" t="s">
        <v>2381</v>
      </c>
      <c r="Z15" s="1541" t="str">
        <f t="shared" si="7"/>
        <v>居住社区成熟度</v>
      </c>
      <c r="AA15" s="1538">
        <f t="shared" si="3"/>
        <v>1</v>
      </c>
      <c r="AB15" s="1538">
        <f t="shared" si="4"/>
        <v>1</v>
      </c>
      <c r="AC15" s="1538">
        <f t="shared" si="5"/>
        <v>1</v>
      </c>
    </row>
    <row r="16" spans="1:29" ht="15">
      <c r="A16" s="387"/>
      <c r="B16" s="405"/>
      <c r="C16" s="406"/>
      <c r="D16" s="407"/>
      <c r="E16" s="2083"/>
      <c r="F16" s="407"/>
      <c r="G16" s="2084"/>
      <c r="H16" s="409"/>
      <c r="I16" s="2084"/>
      <c r="J16" s="407"/>
      <c r="K16" s="2085"/>
      <c r="L16" s="2946"/>
      <c r="M16" s="2940"/>
      <c r="N16" s="2940"/>
      <c r="O16" s="2940"/>
      <c r="P16" s="3529"/>
      <c r="Q16" s="1537"/>
      <c r="R16" s="714"/>
      <c r="S16" s="715"/>
      <c r="T16" s="714"/>
      <c r="U16" s="715"/>
      <c r="V16" s="714"/>
      <c r="W16" s="715"/>
      <c r="X16" s="1540"/>
      <c r="Y16" s="3463"/>
      <c r="Z16" s="1541"/>
      <c r="AA16" s="1538">
        <v>1</v>
      </c>
      <c r="AB16" s="1538">
        <v>1</v>
      </c>
      <c r="AC16" s="1538">
        <v>1</v>
      </c>
    </row>
    <row r="17" spans="1:29" ht="15">
      <c r="A17" s="387"/>
      <c r="B17" s="410" t="s">
        <v>1945</v>
      </c>
      <c r="C17" s="2086"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46"/>
      <c r="M17" s="2940"/>
      <c r="N17" s="2940"/>
      <c r="O17" s="2940"/>
      <c r="P17" s="3529"/>
      <c r="Q17" s="1537" t="str">
        <f>B17</f>
        <v>交通便捷度</v>
      </c>
      <c r="R17" s="714" t="s">
        <v>21</v>
      </c>
      <c r="S17" s="715">
        <f>F17</f>
        <v>100</v>
      </c>
      <c r="T17" s="714" t="s">
        <v>21</v>
      </c>
      <c r="U17" s="715">
        <f>H17</f>
        <v>100</v>
      </c>
      <c r="V17" s="714" t="s">
        <v>21</v>
      </c>
      <c r="W17" s="715">
        <f>J17</f>
        <v>100</v>
      </c>
      <c r="X17" s="1540"/>
      <c r="Y17" s="3463"/>
      <c r="Z17" s="1541" t="str">
        <f>Q17</f>
        <v>交通便捷度</v>
      </c>
      <c r="AA17" s="1538">
        <f t="shared" si="3"/>
        <v>1</v>
      </c>
      <c r="AB17" s="1538">
        <f t="shared" si="4"/>
        <v>1</v>
      </c>
      <c r="AC17" s="1538">
        <f t="shared" si="5"/>
        <v>1</v>
      </c>
    </row>
    <row r="18" spans="1:29" ht="15">
      <c r="A18" s="387"/>
      <c r="B18" s="415"/>
      <c r="C18" s="2087"/>
      <c r="D18" s="409"/>
      <c r="E18" s="2088"/>
      <c r="F18" s="409"/>
      <c r="G18" s="2089"/>
      <c r="H18" s="407"/>
      <c r="I18" s="2089"/>
      <c r="J18" s="407"/>
      <c r="K18" s="2085"/>
      <c r="L18" s="2946"/>
      <c r="M18" s="2940"/>
      <c r="N18" s="2940"/>
      <c r="O18" s="2940"/>
      <c r="P18" s="3529"/>
      <c r="Q18" s="1537"/>
      <c r="R18" s="714"/>
      <c r="S18" s="715"/>
      <c r="T18" s="714"/>
      <c r="U18" s="715"/>
      <c r="V18" s="714"/>
      <c r="W18" s="715"/>
      <c r="X18" s="1540"/>
      <c r="Y18" s="3463"/>
      <c r="Z18" s="1541"/>
      <c r="AA18" s="1538">
        <v>1</v>
      </c>
      <c r="AB18" s="1538">
        <v>1</v>
      </c>
      <c r="AC18" s="1538">
        <v>1</v>
      </c>
    </row>
    <row r="19" spans="1:29" ht="15">
      <c r="A19" s="387"/>
      <c r="B19" s="410" t="s">
        <v>1944</v>
      </c>
      <c r="C19" s="2086"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46"/>
      <c r="M19" s="2940"/>
      <c r="N19" s="2940"/>
      <c r="O19" s="2940"/>
      <c r="P19" s="3529"/>
      <c r="Q19" s="1537" t="str">
        <f>B19</f>
        <v>公共配套设施</v>
      </c>
      <c r="R19" s="714" t="s">
        <v>21</v>
      </c>
      <c r="S19" s="715">
        <f>F19</f>
        <v>100</v>
      </c>
      <c r="T19" s="714" t="s">
        <v>21</v>
      </c>
      <c r="U19" s="715">
        <f>H19</f>
        <v>100</v>
      </c>
      <c r="V19" s="714" t="s">
        <v>21</v>
      </c>
      <c r="W19" s="715">
        <f>J19</f>
        <v>100</v>
      </c>
      <c r="X19" s="1540"/>
      <c r="Y19" s="3463"/>
      <c r="Z19" s="1541" t="str">
        <f>Q19</f>
        <v>公共配套设施</v>
      </c>
      <c r="AA19" s="1538">
        <f t="shared" si="3"/>
        <v>1</v>
      </c>
      <c r="AB19" s="1538">
        <f t="shared" si="4"/>
        <v>1</v>
      </c>
      <c r="AC19" s="1538">
        <f t="shared" si="5"/>
        <v>1</v>
      </c>
    </row>
    <row r="20" spans="1:29" ht="15">
      <c r="A20" s="387"/>
      <c r="B20" s="415"/>
      <c r="C20" s="406"/>
      <c r="D20" s="407"/>
      <c r="E20" s="2083"/>
      <c r="F20" s="407"/>
      <c r="G20" s="2084"/>
      <c r="H20" s="407"/>
      <c r="I20" s="2084"/>
      <c r="J20" s="407"/>
      <c r="K20" s="2085"/>
      <c r="L20" s="2946"/>
      <c r="M20" s="2940"/>
      <c r="N20" s="2940"/>
      <c r="O20" s="2940"/>
      <c r="P20" s="3529"/>
      <c r="Q20" s="1537"/>
      <c r="R20" s="714"/>
      <c r="S20" s="715"/>
      <c r="T20" s="714"/>
      <c r="U20" s="715"/>
      <c r="V20" s="714"/>
      <c r="W20" s="715"/>
      <c r="X20" s="1540"/>
      <c r="Y20" s="3463"/>
      <c r="Z20" s="1541"/>
      <c r="AA20" s="1538">
        <v>1</v>
      </c>
      <c r="AB20" s="1538">
        <v>1</v>
      </c>
      <c r="AC20" s="1538">
        <v>1</v>
      </c>
    </row>
    <row r="21" spans="1:29" ht="15">
      <c r="A21" s="387"/>
      <c r="B21" s="1293" t="s">
        <v>1946</v>
      </c>
      <c r="C21" s="2086" t="str">
        <f>估价对象房地状况!C8</f>
        <v>六通</v>
      </c>
      <c r="D21" s="409">
        <v>100</v>
      </c>
      <c r="E21" s="418"/>
      <c r="F21" s="414">
        <f>SUMIF(82:82,E22,83:83)-SUMIF(82:82,C22,83:83)+100</f>
        <v>100</v>
      </c>
      <c r="G21" s="416"/>
      <c r="H21" s="409">
        <f>SUMIF(82:82,G22,83:83)-SUMIF(82:82,C22,83:83)+100</f>
        <v>100</v>
      </c>
      <c r="I21" s="416"/>
      <c r="J21" s="409">
        <f>SUMIF(82:82,I22,83:83)-SUMIF(82:82,C22,83:83)+100</f>
        <v>100</v>
      </c>
      <c r="K21" s="404"/>
      <c r="L21" s="2946"/>
      <c r="M21" s="2940"/>
      <c r="N21" s="2940"/>
      <c r="O21" s="2940"/>
      <c r="P21" s="3529"/>
      <c r="Q21" s="1537" t="str">
        <f>B21</f>
        <v>基础设施水平</v>
      </c>
      <c r="R21" s="714" t="s">
        <v>17</v>
      </c>
      <c r="S21" s="715">
        <f>F21</f>
        <v>100</v>
      </c>
      <c r="T21" s="714" t="s">
        <v>17</v>
      </c>
      <c r="U21" s="715">
        <f>H21</f>
        <v>100</v>
      </c>
      <c r="V21" s="714" t="s">
        <v>17</v>
      </c>
      <c r="W21" s="715">
        <f>J21</f>
        <v>100</v>
      </c>
      <c r="X21" s="1540"/>
      <c r="Y21" s="3463"/>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7"/>
      <c r="G22" s="2090"/>
      <c r="H22" s="407"/>
      <c r="I22" s="406"/>
      <c r="J22" s="407"/>
      <c r="K22" s="2091"/>
      <c r="L22" s="2946"/>
      <c r="M22" s="2940"/>
      <c r="N22" s="2940"/>
      <c r="O22" s="2940"/>
      <c r="P22" s="3529"/>
      <c r="Q22" s="1537"/>
      <c r="R22" s="714"/>
      <c r="S22" s="715"/>
      <c r="T22" s="714"/>
      <c r="U22" s="715"/>
      <c r="V22" s="714"/>
      <c r="W22" s="715"/>
      <c r="X22" s="1540"/>
      <c r="Y22" s="3463"/>
      <c r="Z22" s="1541"/>
      <c r="AA22" s="1538">
        <v>1</v>
      </c>
      <c r="AB22" s="1538">
        <v>1</v>
      </c>
      <c r="AC22" s="1538">
        <v>1</v>
      </c>
    </row>
    <row r="23" spans="1:29" ht="15">
      <c r="A23" s="387"/>
      <c r="B23" s="410" t="s">
        <v>1947</v>
      </c>
      <c r="C23" s="2086"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6"/>
      <c r="M23" s="2940"/>
      <c r="N23" s="2940"/>
      <c r="O23" s="2940"/>
      <c r="P23" s="3529"/>
      <c r="Q23" s="1537" t="str">
        <f>B23</f>
        <v>自然及人文环境</v>
      </c>
      <c r="R23" s="714" t="s">
        <v>21</v>
      </c>
      <c r="S23" s="715">
        <f>F23</f>
        <v>100</v>
      </c>
      <c r="T23" s="714" t="s">
        <v>21</v>
      </c>
      <c r="U23" s="715">
        <f>H23</f>
        <v>100</v>
      </c>
      <c r="V23" s="714" t="s">
        <v>21</v>
      </c>
      <c r="W23" s="715">
        <f>J23</f>
        <v>100</v>
      </c>
      <c r="X23" s="1540"/>
      <c r="Y23" s="3463"/>
      <c r="Z23" s="1541" t="str">
        <f>Q23</f>
        <v>自然及人文环境</v>
      </c>
      <c r="AA23" s="1538">
        <f>D23/F23</f>
        <v>1</v>
      </c>
      <c r="AB23" s="1538">
        <f>D23/H23</f>
        <v>1</v>
      </c>
      <c r="AC23" s="1538">
        <f>D23/J23</f>
        <v>1</v>
      </c>
    </row>
    <row r="24" spans="1:29" ht="15">
      <c r="A24" s="387"/>
      <c r="B24" s="415"/>
      <c r="C24" s="406"/>
      <c r="D24" s="407"/>
      <c r="E24" s="2083"/>
      <c r="F24" s="407"/>
      <c r="G24" s="2084"/>
      <c r="H24" s="407"/>
      <c r="I24" s="2084"/>
      <c r="J24" s="407"/>
      <c r="K24" s="2085"/>
      <c r="L24" s="2946"/>
      <c r="M24" s="2940"/>
      <c r="N24" s="2940"/>
      <c r="O24" s="2940"/>
      <c r="P24" s="3529"/>
      <c r="Q24" s="1537"/>
      <c r="R24" s="714"/>
      <c r="S24" s="715"/>
      <c r="T24" s="714"/>
      <c r="U24" s="715"/>
      <c r="V24" s="714"/>
      <c r="W24" s="715"/>
      <c r="X24" s="1540"/>
      <c r="Y24" s="3463"/>
      <c r="Z24" s="1541"/>
      <c r="AA24" s="1538">
        <v>1</v>
      </c>
      <c r="AB24" s="1538">
        <v>1</v>
      </c>
      <c r="AC24" s="1538">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6"/>
      <c r="M25" s="2940"/>
      <c r="N25" s="2940"/>
      <c r="O25" s="2940"/>
      <c r="P25" s="3529"/>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463"/>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6"/>
      <c r="M26" s="2940"/>
      <c r="N26" s="2940"/>
      <c r="O26" s="2940"/>
      <c r="P26" s="3529"/>
      <c r="Q26" s="1537" t="str">
        <f t="shared" si="11"/>
        <v>朝向</v>
      </c>
      <c r="R26" s="714" t="s">
        <v>21</v>
      </c>
      <c r="S26" s="715">
        <f t="shared" si="12"/>
        <v>100</v>
      </c>
      <c r="T26" s="714" t="s">
        <v>21</v>
      </c>
      <c r="U26" s="715">
        <f t="shared" si="13"/>
        <v>100</v>
      </c>
      <c r="V26" s="714" t="s">
        <v>21</v>
      </c>
      <c r="W26" s="715">
        <f t="shared" si="14"/>
        <v>100</v>
      </c>
      <c r="X26" s="1540"/>
      <c r="Y26" s="3463"/>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1"/>
      <c r="M27" s="2942"/>
      <c r="N27" s="2942"/>
      <c r="O27" s="2942"/>
      <c r="P27" s="3529"/>
      <c r="Q27" s="1528">
        <f t="shared" si="11"/>
        <v>111</v>
      </c>
      <c r="R27" s="710" t="s">
        <v>21</v>
      </c>
      <c r="S27" s="711">
        <f t="shared" si="12"/>
        <v>100</v>
      </c>
      <c r="T27" s="710" t="s">
        <v>21</v>
      </c>
      <c r="U27" s="711">
        <f t="shared" si="13"/>
        <v>100</v>
      </c>
      <c r="V27" s="710" t="s">
        <v>21</v>
      </c>
      <c r="W27" s="711">
        <f t="shared" si="14"/>
        <v>100</v>
      </c>
      <c r="X27" s="712"/>
      <c r="Y27" s="3463"/>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6"/>
      <c r="M28" s="2940"/>
      <c r="N28" s="2940"/>
      <c r="O28" s="2940"/>
      <c r="P28" s="3529"/>
      <c r="Q28" s="1537">
        <f t="shared" si="11"/>
        <v>111</v>
      </c>
      <c r="R28" s="714" t="s">
        <v>21</v>
      </c>
      <c r="S28" s="715">
        <f t="shared" si="12"/>
        <v>100</v>
      </c>
      <c r="T28" s="714" t="s">
        <v>21</v>
      </c>
      <c r="U28" s="715">
        <f t="shared" si="13"/>
        <v>100</v>
      </c>
      <c r="V28" s="714" t="s">
        <v>21</v>
      </c>
      <c r="W28" s="715">
        <f t="shared" si="14"/>
        <v>100</v>
      </c>
      <c r="X28" s="1540"/>
      <c r="Y28" s="3463"/>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6"/>
      <c r="M29" s="2940"/>
      <c r="N29" s="2940"/>
      <c r="O29" s="2940"/>
      <c r="P29" s="3529"/>
      <c r="Q29" s="1537">
        <f t="shared" si="11"/>
        <v>111</v>
      </c>
      <c r="R29" s="714" t="s">
        <v>21</v>
      </c>
      <c r="S29" s="715">
        <f t="shared" si="12"/>
        <v>100</v>
      </c>
      <c r="T29" s="714" t="s">
        <v>21</v>
      </c>
      <c r="U29" s="715">
        <f t="shared" si="13"/>
        <v>100</v>
      </c>
      <c r="V29" s="714" t="s">
        <v>21</v>
      </c>
      <c r="W29" s="715">
        <f t="shared" si="14"/>
        <v>100</v>
      </c>
      <c r="X29" s="1540"/>
      <c r="Y29" s="3463"/>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6"/>
      <c r="M30" s="2940"/>
      <c r="N30" s="2940"/>
      <c r="O30" s="2940"/>
      <c r="P30" s="3529"/>
      <c r="Q30" s="1537">
        <f t="shared" si="11"/>
        <v>111</v>
      </c>
      <c r="R30" s="714" t="s">
        <v>21</v>
      </c>
      <c r="S30" s="715">
        <f t="shared" si="12"/>
        <v>100</v>
      </c>
      <c r="T30" s="714" t="s">
        <v>21</v>
      </c>
      <c r="U30" s="715">
        <f t="shared" si="13"/>
        <v>100</v>
      </c>
      <c r="V30" s="714" t="s">
        <v>21</v>
      </c>
      <c r="W30" s="715">
        <f t="shared" si="14"/>
        <v>100</v>
      </c>
      <c r="X30" s="1540"/>
      <c r="Y30" s="3463"/>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6"/>
      <c r="M31" s="2940"/>
      <c r="N31" s="2940"/>
      <c r="O31" s="2940"/>
      <c r="P31" s="3529"/>
      <c r="Q31" s="1537">
        <f t="shared" si="11"/>
        <v>111</v>
      </c>
      <c r="R31" s="714" t="s">
        <v>21</v>
      </c>
      <c r="S31" s="715">
        <f t="shared" si="12"/>
        <v>100</v>
      </c>
      <c r="T31" s="714" t="s">
        <v>21</v>
      </c>
      <c r="U31" s="715">
        <f t="shared" si="13"/>
        <v>100</v>
      </c>
      <c r="V31" s="714" t="s">
        <v>21</v>
      </c>
      <c r="W31" s="715">
        <f t="shared" si="14"/>
        <v>100</v>
      </c>
      <c r="X31" s="1540"/>
      <c r="Y31" s="3463"/>
      <c r="Z31" s="1541">
        <f t="shared" si="18"/>
        <v>111</v>
      </c>
      <c r="AA31" s="1538">
        <f t="shared" si="15"/>
        <v>1</v>
      </c>
      <c r="AB31" s="1538">
        <f t="shared" si="16"/>
        <v>1</v>
      </c>
      <c r="AC31" s="1538">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6"/>
      <c r="M32" s="2940"/>
      <c r="N32" s="2940"/>
      <c r="O32" s="2940"/>
      <c r="P32" s="3524" t="s">
        <v>2386</v>
      </c>
      <c r="Q32" s="1537" t="str">
        <f t="shared" si="11"/>
        <v>建筑类型</v>
      </c>
      <c r="R32" s="714" t="s">
        <v>21</v>
      </c>
      <c r="S32" s="715">
        <f t="shared" si="12"/>
        <v>100</v>
      </c>
      <c r="T32" s="714" t="s">
        <v>21</v>
      </c>
      <c r="U32" s="715">
        <f t="shared" si="13"/>
        <v>100</v>
      </c>
      <c r="V32" s="714" t="s">
        <v>21</v>
      </c>
      <c r="W32" s="715">
        <f t="shared" si="14"/>
        <v>100</v>
      </c>
      <c r="X32" s="1540"/>
      <c r="Y32" s="3465"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5"/>
      <c r="M33" s="2947"/>
      <c r="N33" s="2947"/>
      <c r="O33" s="2947"/>
      <c r="P33" s="3525"/>
      <c r="Q33" s="716" t="str">
        <f t="shared" si="11"/>
        <v>项目建筑规模</v>
      </c>
      <c r="R33" s="717" t="s">
        <v>21</v>
      </c>
      <c r="S33" s="718" t="e">
        <f t="shared" si="12"/>
        <v>#N/A</v>
      </c>
      <c r="T33" s="717" t="s">
        <v>21</v>
      </c>
      <c r="U33" s="718" t="e">
        <f t="shared" si="13"/>
        <v>#N/A</v>
      </c>
      <c r="V33" s="717" t="s">
        <v>21</v>
      </c>
      <c r="W33" s="718" t="e">
        <f t="shared" si="14"/>
        <v>#N/A</v>
      </c>
      <c r="X33" s="719"/>
      <c r="Y33" s="3465"/>
      <c r="Z33" s="720" t="str">
        <f t="shared" si="18"/>
        <v>项目建筑规模</v>
      </c>
      <c r="AA33" s="1538" t="e">
        <f t="shared" si="15"/>
        <v>#N/A</v>
      </c>
      <c r="AB33" s="1538" t="e">
        <f t="shared" si="16"/>
        <v>#N/A</v>
      </c>
      <c r="AC33" s="1538"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6"/>
      <c r="M34" s="2940"/>
      <c r="N34" s="2940"/>
      <c r="O34" s="2940"/>
      <c r="P34" s="3525"/>
      <c r="Q34" s="1537" t="str">
        <f t="shared" si="11"/>
        <v>建筑结构</v>
      </c>
      <c r="R34" s="714" t="s">
        <v>21</v>
      </c>
      <c r="S34" s="715">
        <f t="shared" si="12"/>
        <v>100</v>
      </c>
      <c r="T34" s="714" t="s">
        <v>21</v>
      </c>
      <c r="U34" s="715">
        <f t="shared" si="13"/>
        <v>100</v>
      </c>
      <c r="V34" s="714" t="s">
        <v>21</v>
      </c>
      <c r="W34" s="715">
        <f t="shared" si="14"/>
        <v>100</v>
      </c>
      <c r="X34" s="1540"/>
      <c r="Y34" s="3465"/>
      <c r="Z34" s="1541" t="str">
        <f t="shared" si="18"/>
        <v>建筑结构</v>
      </c>
      <c r="AA34" s="1538">
        <f t="shared" si="15"/>
        <v>1</v>
      </c>
      <c r="AB34" s="1538">
        <f t="shared" si="16"/>
        <v>1</v>
      </c>
      <c r="AC34" s="1538">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6"/>
      <c r="M35" s="2940"/>
      <c r="N35" s="2940"/>
      <c r="O35" s="2940"/>
      <c r="P35" s="3525"/>
      <c r="Q35" s="1537" t="str">
        <f t="shared" si="11"/>
        <v>建筑品质</v>
      </c>
      <c r="R35" s="714" t="s">
        <v>21</v>
      </c>
      <c r="S35" s="715">
        <f t="shared" si="12"/>
        <v>100</v>
      </c>
      <c r="T35" s="714" t="s">
        <v>21</v>
      </c>
      <c r="U35" s="715">
        <f t="shared" si="13"/>
        <v>100</v>
      </c>
      <c r="V35" s="714" t="s">
        <v>21</v>
      </c>
      <c r="W35" s="715">
        <f t="shared" si="14"/>
        <v>100</v>
      </c>
      <c r="X35" s="1540"/>
      <c r="Y35" s="3465"/>
      <c r="Z35" s="1541" t="str">
        <f t="shared" si="18"/>
        <v>建筑品质</v>
      </c>
      <c r="AA35" s="1538">
        <f t="shared" si="15"/>
        <v>1</v>
      </c>
      <c r="AB35" s="1538">
        <f t="shared" si="16"/>
        <v>1</v>
      </c>
      <c r="AC35" s="1538">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6"/>
      <c r="M36" s="2940"/>
      <c r="N36" s="2940"/>
      <c r="O36" s="2940"/>
      <c r="P36" s="3525"/>
      <c r="Q36" s="1537" t="str">
        <f t="shared" si="11"/>
        <v>公共部分装修</v>
      </c>
      <c r="R36" s="714" t="s">
        <v>21</v>
      </c>
      <c r="S36" s="715">
        <f t="shared" si="12"/>
        <v>100</v>
      </c>
      <c r="T36" s="714" t="s">
        <v>21</v>
      </c>
      <c r="U36" s="715">
        <f t="shared" si="13"/>
        <v>100</v>
      </c>
      <c r="V36" s="714" t="s">
        <v>21</v>
      </c>
      <c r="W36" s="715">
        <f t="shared" si="14"/>
        <v>100</v>
      </c>
      <c r="X36" s="1540"/>
      <c r="Y36" s="3465"/>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1"/>
      <c r="M37" s="2942"/>
      <c r="N37" s="2942"/>
      <c r="O37" s="2942"/>
      <c r="P37" s="3525"/>
      <c r="Q37" s="1528" t="str">
        <f t="shared" si="11"/>
        <v>成新度</v>
      </c>
      <c r="R37" s="710" t="s">
        <v>21</v>
      </c>
      <c r="S37" s="711" t="e">
        <f t="shared" si="12"/>
        <v>#N/A</v>
      </c>
      <c r="T37" s="710" t="s">
        <v>21</v>
      </c>
      <c r="U37" s="711" t="e">
        <f t="shared" si="13"/>
        <v>#N/A</v>
      </c>
      <c r="V37" s="710" t="s">
        <v>21</v>
      </c>
      <c r="W37" s="711" t="e">
        <f t="shared" si="14"/>
        <v>#N/A</v>
      </c>
      <c r="X37" s="712"/>
      <c r="Y37" s="3465"/>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6"/>
      <c r="M38" s="2940"/>
      <c r="N38" s="2940"/>
      <c r="O38" s="2940"/>
      <c r="P38" s="3525" t="s">
        <v>2386</v>
      </c>
      <c r="Q38" s="1537" t="str">
        <f t="shared" si="11"/>
        <v>物业管理</v>
      </c>
      <c r="R38" s="714" t="s">
        <v>21</v>
      </c>
      <c r="S38" s="715">
        <f t="shared" si="12"/>
        <v>100</v>
      </c>
      <c r="T38" s="714" t="s">
        <v>21</v>
      </c>
      <c r="U38" s="715">
        <f t="shared" si="13"/>
        <v>100</v>
      </c>
      <c r="V38" s="714" t="s">
        <v>21</v>
      </c>
      <c r="W38" s="715">
        <f t="shared" si="14"/>
        <v>100</v>
      </c>
      <c r="X38" s="1540"/>
      <c r="Y38" s="3465" t="s">
        <v>2386</v>
      </c>
      <c r="Z38" s="1541" t="str">
        <f t="shared" si="18"/>
        <v>物业管理</v>
      </c>
      <c r="AA38" s="1538">
        <f t="shared" si="15"/>
        <v>1</v>
      </c>
      <c r="AB38" s="1538">
        <f t="shared" si="16"/>
        <v>1</v>
      </c>
      <c r="AC38" s="1538">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6"/>
      <c r="M39" s="2940"/>
      <c r="N39" s="2940"/>
      <c r="O39" s="2940"/>
      <c r="P39" s="3525"/>
      <c r="Q39" s="1537" t="str">
        <f t="shared" si="11"/>
        <v>市政基础设施</v>
      </c>
      <c r="R39" s="714" t="s">
        <v>21</v>
      </c>
      <c r="S39" s="715">
        <f t="shared" si="12"/>
        <v>100</v>
      </c>
      <c r="T39" s="714" t="s">
        <v>21</v>
      </c>
      <c r="U39" s="715">
        <f t="shared" si="13"/>
        <v>100</v>
      </c>
      <c r="V39" s="714" t="s">
        <v>21</v>
      </c>
      <c r="W39" s="715">
        <f t="shared" si="14"/>
        <v>100</v>
      </c>
      <c r="X39" s="1540"/>
      <c r="Y39" s="3465"/>
      <c r="Z39" s="1541" t="str">
        <f t="shared" si="18"/>
        <v>市政基础设施</v>
      </c>
      <c r="AA39" s="1538">
        <f t="shared" si="15"/>
        <v>1</v>
      </c>
      <c r="AB39" s="1538">
        <f t="shared" si="16"/>
        <v>1</v>
      </c>
      <c r="AC39" s="1538">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6"/>
      <c r="M40" s="2940"/>
      <c r="N40" s="2940"/>
      <c r="O40" s="2940"/>
      <c r="P40" s="3525"/>
      <c r="Q40" s="1537" t="str">
        <f t="shared" si="11"/>
        <v>房型</v>
      </c>
      <c r="R40" s="714" t="s">
        <v>21</v>
      </c>
      <c r="S40" s="715">
        <f t="shared" si="12"/>
        <v>100</v>
      </c>
      <c r="T40" s="714" t="s">
        <v>21</v>
      </c>
      <c r="U40" s="715">
        <f t="shared" si="13"/>
        <v>100</v>
      </c>
      <c r="V40" s="714" t="s">
        <v>21</v>
      </c>
      <c r="W40" s="715">
        <f t="shared" si="14"/>
        <v>100</v>
      </c>
      <c r="X40" s="1540"/>
      <c r="Y40" s="3465"/>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5"/>
      <c r="M41" s="2947"/>
      <c r="N41" s="2947"/>
      <c r="O41" s="2947"/>
      <c r="P41" s="3525"/>
      <c r="Q41" s="716" t="str">
        <f t="shared" si="11"/>
        <v>单套/主力户型建筑面积</v>
      </c>
      <c r="R41" s="717" t="s">
        <v>21</v>
      </c>
      <c r="S41" s="718">
        <f t="shared" si="12"/>
        <v>100</v>
      </c>
      <c r="T41" s="717" t="s">
        <v>21</v>
      </c>
      <c r="U41" s="718">
        <f t="shared" si="13"/>
        <v>100</v>
      </c>
      <c r="V41" s="717" t="s">
        <v>21</v>
      </c>
      <c r="W41" s="718">
        <f t="shared" si="14"/>
        <v>100</v>
      </c>
      <c r="X41" s="719"/>
      <c r="Y41" s="3465"/>
      <c r="Z41" s="720" t="str">
        <f t="shared" si="18"/>
        <v>单套/主力户型建筑面积</v>
      </c>
      <c r="AA41" s="1538">
        <f t="shared" si="15"/>
        <v>1</v>
      </c>
      <c r="AB41" s="1538">
        <f t="shared" si="16"/>
        <v>1</v>
      </c>
      <c r="AC41" s="1538">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6"/>
      <c r="M42" s="2940"/>
      <c r="N42" s="2940"/>
      <c r="O42" s="2940"/>
      <c r="P42" s="3525"/>
      <c r="Q42" s="1537" t="str">
        <f t="shared" si="11"/>
        <v>内部装修</v>
      </c>
      <c r="R42" s="714" t="s">
        <v>21</v>
      </c>
      <c r="S42" s="715">
        <f t="shared" si="12"/>
        <v>100</v>
      </c>
      <c r="T42" s="714" t="s">
        <v>21</v>
      </c>
      <c r="U42" s="715">
        <f t="shared" si="13"/>
        <v>100</v>
      </c>
      <c r="V42" s="714" t="s">
        <v>21</v>
      </c>
      <c r="W42" s="715">
        <f t="shared" si="14"/>
        <v>100</v>
      </c>
      <c r="X42" s="1540"/>
      <c r="Y42" s="3465"/>
      <c r="Z42" s="1541" t="str">
        <f t="shared" si="18"/>
        <v>内部装修</v>
      </c>
      <c r="AA42" s="1538">
        <f t="shared" si="15"/>
        <v>1</v>
      </c>
      <c r="AB42" s="1538">
        <f t="shared" si="16"/>
        <v>1</v>
      </c>
      <c r="AC42" s="1538">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6"/>
      <c r="M43" s="2940"/>
      <c r="N43" s="2940"/>
      <c r="O43" s="2940"/>
      <c r="P43" s="3525"/>
      <c r="Q43" s="1537" t="str">
        <f t="shared" si="11"/>
        <v>内部装修维护情况</v>
      </c>
      <c r="R43" s="714" t="s">
        <v>21</v>
      </c>
      <c r="S43" s="715">
        <f t="shared" si="12"/>
        <v>100</v>
      </c>
      <c r="T43" s="714" t="s">
        <v>21</v>
      </c>
      <c r="U43" s="715">
        <f t="shared" si="13"/>
        <v>100</v>
      </c>
      <c r="V43" s="714" t="s">
        <v>21</v>
      </c>
      <c r="W43" s="715">
        <f t="shared" si="14"/>
        <v>100</v>
      </c>
      <c r="X43" s="1540"/>
      <c r="Y43" s="3465"/>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1"/>
      <c r="M44" s="2942"/>
      <c r="N44" s="2942"/>
      <c r="O44" s="2942"/>
      <c r="P44" s="3525"/>
      <c r="Q44" s="1528">
        <f t="shared" si="11"/>
        <v>111</v>
      </c>
      <c r="R44" s="710" t="s">
        <v>21</v>
      </c>
      <c r="S44" s="711">
        <f t="shared" si="12"/>
        <v>100</v>
      </c>
      <c r="T44" s="710" t="s">
        <v>21</v>
      </c>
      <c r="U44" s="711">
        <f t="shared" si="13"/>
        <v>100</v>
      </c>
      <c r="V44" s="710" t="s">
        <v>21</v>
      </c>
      <c r="W44" s="711">
        <f t="shared" si="14"/>
        <v>100</v>
      </c>
      <c r="X44" s="712"/>
      <c r="Y44" s="346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6"/>
      <c r="M45" s="2940"/>
      <c r="N45" s="2940"/>
      <c r="O45" s="2940"/>
      <c r="P45" s="3525"/>
      <c r="Q45" s="1537">
        <f t="shared" si="11"/>
        <v>111</v>
      </c>
      <c r="R45" s="714" t="s">
        <v>21</v>
      </c>
      <c r="S45" s="715">
        <f t="shared" si="12"/>
        <v>100</v>
      </c>
      <c r="T45" s="714" t="s">
        <v>21</v>
      </c>
      <c r="U45" s="715">
        <f t="shared" si="13"/>
        <v>100</v>
      </c>
      <c r="V45" s="714" t="s">
        <v>21</v>
      </c>
      <c r="W45" s="715">
        <f t="shared" si="14"/>
        <v>100</v>
      </c>
      <c r="X45" s="1540"/>
      <c r="Y45" s="3465"/>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6"/>
      <c r="M46" s="2940"/>
      <c r="N46" s="2940"/>
      <c r="O46" s="2940"/>
      <c r="P46" s="3526"/>
      <c r="Q46" s="1537">
        <f t="shared" si="11"/>
        <v>111</v>
      </c>
      <c r="R46" s="714" t="s">
        <v>20</v>
      </c>
      <c r="S46" s="715">
        <f t="shared" si="12"/>
        <v>100</v>
      </c>
      <c r="T46" s="714" t="s">
        <v>20</v>
      </c>
      <c r="U46" s="715">
        <f t="shared" si="13"/>
        <v>100</v>
      </c>
      <c r="V46" s="714" t="s">
        <v>20</v>
      </c>
      <c r="W46" s="715">
        <f t="shared" si="14"/>
        <v>100</v>
      </c>
      <c r="X46" s="1540"/>
      <c r="Y46" s="3527"/>
      <c r="Z46" s="1541">
        <f t="shared" si="18"/>
        <v>111</v>
      </c>
      <c r="AA46" s="1538">
        <f t="shared" si="15"/>
        <v>1</v>
      </c>
      <c r="AB46" s="1538">
        <f t="shared" si="16"/>
        <v>1</v>
      </c>
      <c r="AC46" s="1538">
        <f t="shared" si="17"/>
        <v>1</v>
      </c>
    </row>
    <row r="47" spans="1:29" ht="15">
      <c r="A47" s="438" t="s">
        <v>2398</v>
      </c>
      <c r="B47" s="439"/>
      <c r="C47" s="1316" t="s">
        <v>19</v>
      </c>
      <c r="D47" s="1317"/>
      <c r="E47" s="1318"/>
      <c r="F47" s="1319"/>
      <c r="G47" s="1320"/>
      <c r="H47" s="1321"/>
      <c r="I47" s="1318"/>
      <c r="J47" s="1321"/>
      <c r="K47" s="2100"/>
      <c r="L47" s="2948"/>
      <c r="M47" s="2949"/>
      <c r="N47" s="2940"/>
      <c r="O47" s="2949"/>
      <c r="P47" s="3447" t="str">
        <f>A47</f>
        <v>成交单价（元/平方米）</v>
      </c>
      <c r="Q47" s="3447"/>
      <c r="R47" s="3523">
        <f>E47</f>
        <v>0</v>
      </c>
      <c r="S47" s="3523"/>
      <c r="T47" s="3523">
        <f>G47</f>
        <v>0</v>
      </c>
      <c r="U47" s="3523"/>
      <c r="V47" s="3523">
        <f>I47</f>
        <v>0</v>
      </c>
      <c r="W47" s="3523"/>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48"/>
      <c r="M48" s="2949"/>
      <c r="N48" s="2949"/>
      <c r="O48" s="2949"/>
      <c r="P48" s="3447" t="str">
        <f>A48</f>
        <v>比较价值（元/平方米）</v>
      </c>
      <c r="Q48" s="3447"/>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48"/>
      <c r="M49" s="2949"/>
      <c r="N49" s="2949"/>
      <c r="O49" s="2949"/>
      <c r="P49" s="3467" t="str">
        <f>A49</f>
        <v>估价对象XX用房的比较价值（楼面单价，元/平方米）</v>
      </c>
      <c r="Q49" s="3468"/>
      <c r="R49" s="3522" t="e">
        <f>IF(F1="售价",ROUND(IF(D48="简单平均",AVERAGE(R48:V48),R48*F48+T48*H48+V48*J48),0),ROUND(IF(D48="简单平均",AVERAGE(R48:V48),R48*F48+T48*H48+V48*J48),1))</f>
        <v>#DIV/0!</v>
      </c>
      <c r="S49" s="3522"/>
      <c r="T49" s="3522"/>
      <c r="U49" s="3522"/>
      <c r="V49" s="3522"/>
      <c r="W49" s="3522"/>
      <c r="X49" s="699"/>
      <c r="Y49" s="699"/>
      <c r="Z49" s="699"/>
      <c r="AA49" s="699"/>
      <c r="AB49" s="699"/>
      <c r="AC49" s="699"/>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4"/>
      <c r="L52" s="2950"/>
      <c r="M52" s="2949"/>
      <c r="N52" s="2949"/>
      <c r="O52" s="2949"/>
    </row>
    <row r="53" spans="1:29" ht="13.5" customHeight="1">
      <c r="A53" s="2949"/>
      <c r="B53" s="2949"/>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4"/>
      <c r="L53" s="2950"/>
      <c r="M53" s="2949"/>
      <c r="N53" s="2949"/>
      <c r="O53" s="2949"/>
    </row>
    <row r="54" spans="1:29" s="459" customFormat="1" ht="13.5" customHeight="1">
      <c r="A54" s="2952"/>
      <c r="B54" s="2952"/>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7"/>
      <c r="L54" s="2951"/>
      <c r="M54" s="2952"/>
      <c r="N54" s="2952"/>
      <c r="O54" s="2952"/>
      <c r="P54" s="2103"/>
    </row>
    <row r="55" spans="1:29" s="459" customFormat="1">
      <c r="A55" s="2952"/>
      <c r="B55" s="2955"/>
      <c r="C55" s="2956"/>
      <c r="D55" s="2952"/>
      <c r="E55" s="2952"/>
      <c r="F55" s="2952"/>
      <c r="G55" s="2952"/>
      <c r="H55" s="2952"/>
      <c r="I55" s="2952"/>
      <c r="J55" s="2952"/>
      <c r="K55" s="2957"/>
      <c r="L55" s="2951"/>
      <c r="M55" s="2952"/>
      <c r="N55" s="2952"/>
      <c r="O55" s="2952"/>
      <c r="P55" s="2103"/>
    </row>
    <row r="56" spans="1:29">
      <c r="A56" s="2949"/>
      <c r="B56" s="2955"/>
      <c r="C56" s="2956"/>
      <c r="D56" s="2949"/>
      <c r="E56" s="2949"/>
      <c r="F56" s="2949"/>
      <c r="G56" s="2949"/>
      <c r="H56" s="2949"/>
      <c r="I56" s="2949"/>
      <c r="J56" s="2949"/>
      <c r="K56" s="2954"/>
      <c r="L56" s="2950"/>
      <c r="M56" s="2949"/>
      <c r="N56" s="2949"/>
      <c r="O56" s="2949"/>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2021-3</v>
      </c>
      <c r="D58" s="1347">
        <f>EDATE(C58,-1)</f>
        <v>44228</v>
      </c>
      <c r="E58" s="1347">
        <f>EDATE(D58,-1)</f>
        <v>44197</v>
      </c>
      <c r="F58" s="1347">
        <f t="shared" ref="F58:O58" si="19">EDATE(E58,-1)</f>
        <v>44166</v>
      </c>
      <c r="G58" s="1347">
        <f t="shared" si="19"/>
        <v>44136</v>
      </c>
      <c r="H58" s="1347">
        <f t="shared" si="19"/>
        <v>44105</v>
      </c>
      <c r="I58" s="1347">
        <f t="shared" si="19"/>
        <v>44075</v>
      </c>
      <c r="J58" s="1347">
        <f t="shared" si="19"/>
        <v>44044</v>
      </c>
      <c r="K58" s="1347">
        <f t="shared" si="19"/>
        <v>44013</v>
      </c>
      <c r="L58" s="1347">
        <f t="shared" si="19"/>
        <v>43983</v>
      </c>
      <c r="M58" s="1347">
        <f t="shared" si="19"/>
        <v>43952</v>
      </c>
      <c r="N58" s="1347">
        <f t="shared" si="19"/>
        <v>43922</v>
      </c>
      <c r="O58" s="1347">
        <f t="shared" si="19"/>
        <v>43891</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V4" sqref="V4:W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58"/>
      <c r="M2" s="2959"/>
      <c r="N2" s="2959"/>
      <c r="O2" s="2959"/>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44859.7</v>
      </c>
      <c r="E3" s="2140"/>
      <c r="F3" s="1040"/>
      <c r="G3" s="1039"/>
      <c r="H3" s="1039"/>
      <c r="I3" s="1039"/>
      <c r="J3" s="1039"/>
      <c r="K3" s="1041"/>
      <c r="L3" s="2958"/>
      <c r="M3" s="2959"/>
      <c r="N3" s="2959"/>
      <c r="O3" s="2959"/>
      <c r="P3" s="2138"/>
      <c r="Q3" s="1043"/>
      <c r="R3" s="1043"/>
      <c r="S3" s="1043"/>
      <c r="T3" s="1043"/>
      <c r="U3" s="1043"/>
      <c r="V3" s="1043"/>
      <c r="W3" s="1043"/>
      <c r="X3" s="1043"/>
      <c r="Y3" s="1043"/>
      <c r="Z3" s="1043"/>
      <c r="AA3" s="1043"/>
      <c r="AB3" s="1043"/>
      <c r="AC3" s="2140"/>
    </row>
    <row r="4" spans="1:29" ht="15">
      <c r="A4" s="361" t="s">
        <v>2466</v>
      </c>
      <c r="B4" s="362"/>
      <c r="C4" s="3448" t="s">
        <v>2467</v>
      </c>
      <c r="D4" s="3449"/>
      <c r="E4" s="3450" t="s">
        <v>2468</v>
      </c>
      <c r="F4" s="3451"/>
      <c r="G4" s="3448" t="s">
        <v>2469</v>
      </c>
      <c r="H4" s="3449"/>
      <c r="I4" s="3448" t="s">
        <v>2470</v>
      </c>
      <c r="J4" s="3449"/>
      <c r="K4" s="567" t="s">
        <v>2471</v>
      </c>
      <c r="L4" s="2939"/>
      <c r="M4" s="2940"/>
      <c r="N4" s="2940"/>
      <c r="O4" s="2940"/>
      <c r="P4" s="3452" t="s">
        <v>2472</v>
      </c>
      <c r="Q4" s="3453"/>
      <c r="R4" s="3435" t="s">
        <v>2468</v>
      </c>
      <c r="S4" s="3436"/>
      <c r="T4" s="3435" t="s">
        <v>2469</v>
      </c>
      <c r="U4" s="3436"/>
      <c r="V4" s="3460" t="s">
        <v>2470</v>
      </c>
      <c r="W4" s="3460"/>
      <c r="X4" s="1540"/>
      <c r="Y4" s="3435" t="s">
        <v>2472</v>
      </c>
      <c r="Z4" s="3436"/>
      <c r="AA4" s="3430" t="s">
        <v>2468</v>
      </c>
      <c r="AB4" s="3460" t="s">
        <v>2469</v>
      </c>
      <c r="AC4" s="3430" t="s">
        <v>2470</v>
      </c>
    </row>
    <row r="5" spans="1:29" ht="15">
      <c r="A5" s="364"/>
      <c r="B5" s="365"/>
      <c r="C5" s="3441" t="s">
        <v>2363</v>
      </c>
      <c r="D5" s="3442"/>
      <c r="E5" s="3439" t="s">
        <v>2364</v>
      </c>
      <c r="F5" s="3440"/>
      <c r="G5" s="3441" t="s">
        <v>2365</v>
      </c>
      <c r="H5" s="3442"/>
      <c r="I5" s="3441" t="s">
        <v>2366</v>
      </c>
      <c r="J5" s="3442"/>
      <c r="K5" s="567"/>
      <c r="L5" s="2939"/>
      <c r="M5" s="2940"/>
      <c r="N5" s="2940"/>
      <c r="O5" s="2940"/>
      <c r="P5" s="3454"/>
      <c r="Q5" s="3455"/>
      <c r="R5" s="3437"/>
      <c r="S5" s="3438"/>
      <c r="T5" s="3437"/>
      <c r="U5" s="3438"/>
      <c r="V5" s="3460"/>
      <c r="W5" s="3460"/>
      <c r="X5" s="1540"/>
      <c r="Y5" s="3437"/>
      <c r="Z5" s="3438"/>
      <c r="AA5" s="3431"/>
      <c r="AB5" s="3460"/>
      <c r="AC5" s="3431"/>
    </row>
    <row r="6" spans="1:29" ht="15.75" thickBot="1">
      <c r="A6" s="366"/>
      <c r="B6" s="367"/>
      <c r="C6" s="3443" t="s">
        <v>2367</v>
      </c>
      <c r="D6" s="3444"/>
      <c r="E6" s="3445" t="s">
        <v>2367</v>
      </c>
      <c r="F6" s="3446"/>
      <c r="G6" s="3443" t="s">
        <v>2367</v>
      </c>
      <c r="H6" s="3444"/>
      <c r="I6" s="3443" t="s">
        <v>2367</v>
      </c>
      <c r="J6" s="3444"/>
      <c r="K6" s="567" t="s">
        <v>2368</v>
      </c>
      <c r="L6" s="2939"/>
      <c r="M6" s="2940"/>
      <c r="N6" s="2940"/>
      <c r="O6" s="2940"/>
      <c r="P6" s="3456"/>
      <c r="Q6" s="3457"/>
      <c r="R6" s="3437"/>
      <c r="S6" s="3438"/>
      <c r="T6" s="3458"/>
      <c r="U6" s="3459"/>
      <c r="V6" s="3460"/>
      <c r="W6" s="3460"/>
      <c r="X6" s="1540"/>
      <c r="Y6" s="3458"/>
      <c r="Z6" s="3459"/>
      <c r="AA6" s="3432"/>
      <c r="AB6" s="3460"/>
      <c r="AC6" s="3432"/>
    </row>
    <row r="7" spans="1:29" s="113" customFormat="1" ht="15.75" thickBot="1">
      <c r="A7" s="368" t="s">
        <v>2369</v>
      </c>
      <c r="B7" s="369"/>
      <c r="C7" s="370">
        <f>'数据-取费表'!B2</f>
        <v>44280</v>
      </c>
      <c r="D7" s="371">
        <v>100</v>
      </c>
      <c r="E7" s="372"/>
      <c r="F7" s="373">
        <f>SUMIF(58:58,YEAR(E7)&amp;"-"&amp;MONTH(E7),59:59)</f>
        <v>0</v>
      </c>
      <c r="G7" s="372"/>
      <c r="H7" s="371">
        <f>SUMIF(58:58,YEAR(G7)&amp;"-"&amp;MONTH(G7),59:59)</f>
        <v>0</v>
      </c>
      <c r="I7" s="372"/>
      <c r="J7" s="371">
        <f>SUMIF(58:58,YEAR(I7)&amp;"-"&amp;MONTH(I7),59:59)</f>
        <v>0</v>
      </c>
      <c r="K7" s="568"/>
      <c r="L7" s="2941"/>
      <c r="M7" s="2942"/>
      <c r="N7" s="2942"/>
      <c r="O7" s="2942"/>
      <c r="P7" s="3433" t="s">
        <v>2370</v>
      </c>
      <c r="Q7" s="3461"/>
      <c r="R7" s="710" t="s">
        <v>17</v>
      </c>
      <c r="S7" s="711">
        <f t="shared" ref="S7:S15" si="0">F7</f>
        <v>0</v>
      </c>
      <c r="T7" s="710" t="s">
        <v>17</v>
      </c>
      <c r="U7" s="711">
        <f t="shared" ref="U7:U15" si="1">H7</f>
        <v>0</v>
      </c>
      <c r="V7" s="710" t="s">
        <v>17</v>
      </c>
      <c r="W7" s="711">
        <f t="shared" ref="W7:W15" si="2">J7</f>
        <v>0</v>
      </c>
      <c r="X7" s="712"/>
      <c r="Y7" s="3433" t="s">
        <v>2370</v>
      </c>
      <c r="Z7" s="3434"/>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1"/>
      <c r="M8" s="2942"/>
      <c r="N8" s="2942"/>
      <c r="O8" s="2942"/>
      <c r="P8" s="3433" t="s">
        <v>2373</v>
      </c>
      <c r="Q8" s="3434"/>
      <c r="R8" s="710" t="s">
        <v>17</v>
      </c>
      <c r="S8" s="711">
        <f t="shared" si="0"/>
        <v>0</v>
      </c>
      <c r="T8" s="710" t="s">
        <v>17</v>
      </c>
      <c r="U8" s="711">
        <f t="shared" si="1"/>
        <v>0</v>
      </c>
      <c r="V8" s="710" t="s">
        <v>17</v>
      </c>
      <c r="W8" s="711">
        <f t="shared" si="2"/>
        <v>0</v>
      </c>
      <c r="X8" s="712"/>
      <c r="Y8" s="3433" t="s">
        <v>2373</v>
      </c>
      <c r="Z8" s="3434"/>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1"/>
      <c r="M9" s="2942"/>
      <c r="N9" s="2942"/>
      <c r="O9" s="2942"/>
      <c r="P9" s="3471" t="s">
        <v>2376</v>
      </c>
      <c r="Q9" s="1528" t="str">
        <f t="shared" ref="Q9:Q15" si="6">B9</f>
        <v>用途</v>
      </c>
      <c r="R9" s="710" t="s">
        <v>17</v>
      </c>
      <c r="S9" s="711">
        <f t="shared" si="0"/>
        <v>100</v>
      </c>
      <c r="T9" s="710" t="s">
        <v>17</v>
      </c>
      <c r="U9" s="711">
        <f t="shared" si="1"/>
        <v>100</v>
      </c>
      <c r="V9" s="710" t="s">
        <v>17</v>
      </c>
      <c r="W9" s="711">
        <f t="shared" si="2"/>
        <v>100</v>
      </c>
      <c r="X9" s="712"/>
      <c r="Y9" s="339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3"/>
      <c r="M10" s="2944"/>
      <c r="N10" s="2944"/>
      <c r="O10" s="2944"/>
      <c r="P10" s="3471"/>
      <c r="Q10" s="152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5"/>
      <c r="M11" s="2940"/>
      <c r="N11" s="2940"/>
      <c r="O11" s="2940"/>
      <c r="P11" s="3471"/>
      <c r="Q11" s="152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1"/>
      <c r="M12" s="2942"/>
      <c r="N12" s="2942"/>
      <c r="O12" s="2942"/>
      <c r="P12" s="3471"/>
      <c r="Q12" s="152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6"/>
      <c r="M13" s="2940"/>
      <c r="N13" s="2940"/>
      <c r="O13" s="2940"/>
      <c r="P13" s="3471"/>
      <c r="Q13" s="152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6"/>
      <c r="M14" s="2940"/>
      <c r="N14" s="2940"/>
      <c r="O14" s="2940"/>
      <c r="P14" s="3471"/>
      <c r="Q14" s="152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15">
      <c r="A15" s="399" t="s">
        <v>2380</v>
      </c>
      <c r="B15" s="65" t="s">
        <v>2474</v>
      </c>
      <c r="C15" s="2082" t="str">
        <f>估价对象房地状况!C4</f>
        <v>一般</v>
      </c>
      <c r="D15" s="400">
        <v>100</v>
      </c>
      <c r="E15" s="401"/>
      <c r="F15" s="402">
        <f>SUMIF(76:76,E16,77:77)-SUMIF(76:76,C16,77:77)+100</f>
        <v>100</v>
      </c>
      <c r="G15" s="403"/>
      <c r="H15" s="400">
        <f>SUMIF(76:76,G16,77:77)-SUMIF(76:76,C16,77:77)+100</f>
        <v>100</v>
      </c>
      <c r="I15" s="401"/>
      <c r="J15" s="400">
        <f>SUMIF(76:76,I16,77:77)-SUMIF(76:76,C16,77:77)+100</f>
        <v>100</v>
      </c>
      <c r="K15" s="571"/>
      <c r="L15" s="2946"/>
      <c r="M15" s="2940"/>
      <c r="N15" s="2940"/>
      <c r="O15" s="2940"/>
      <c r="P15" s="3528" t="s">
        <v>2381</v>
      </c>
      <c r="Q15" s="1537" t="str">
        <f t="shared" si="6"/>
        <v>商业繁华度</v>
      </c>
      <c r="R15" s="714" t="s">
        <v>17</v>
      </c>
      <c r="S15" s="715">
        <f t="shared" si="0"/>
        <v>100</v>
      </c>
      <c r="T15" s="714" t="s">
        <v>17</v>
      </c>
      <c r="U15" s="715">
        <f t="shared" si="1"/>
        <v>100</v>
      </c>
      <c r="V15" s="714" t="s">
        <v>17</v>
      </c>
      <c r="W15" s="715">
        <f t="shared" si="2"/>
        <v>100</v>
      </c>
      <c r="X15" s="1540"/>
      <c r="Y15" s="3462" t="s">
        <v>2381</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46"/>
      <c r="M16" s="2940"/>
      <c r="N16" s="2940"/>
      <c r="O16" s="2940"/>
      <c r="P16" s="3529"/>
      <c r="Q16" s="1537"/>
      <c r="R16" s="714"/>
      <c r="S16" s="715"/>
      <c r="T16" s="714"/>
      <c r="U16" s="715"/>
      <c r="V16" s="714"/>
      <c r="W16" s="715"/>
      <c r="X16" s="1540"/>
      <c r="Y16" s="3463"/>
      <c r="Z16" s="1541"/>
      <c r="AA16" s="1538">
        <v>1</v>
      </c>
      <c r="AB16" s="1538">
        <v>1</v>
      </c>
      <c r="AC16" s="1538">
        <v>1</v>
      </c>
    </row>
    <row r="17" spans="1:29" ht="15">
      <c r="A17" s="387"/>
      <c r="B17" s="410" t="s">
        <v>1945</v>
      </c>
      <c r="C17" s="2086"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46"/>
      <c r="M17" s="2940"/>
      <c r="N17" s="2940"/>
      <c r="O17" s="2940"/>
      <c r="P17" s="3529"/>
      <c r="Q17" s="1537" t="str">
        <f>B17</f>
        <v>交通便捷度</v>
      </c>
      <c r="R17" s="714" t="s">
        <v>17</v>
      </c>
      <c r="S17" s="715">
        <f>F17</f>
        <v>100</v>
      </c>
      <c r="T17" s="714" t="s">
        <v>17</v>
      </c>
      <c r="U17" s="715">
        <f>H17</f>
        <v>100</v>
      </c>
      <c r="V17" s="714" t="s">
        <v>17</v>
      </c>
      <c r="W17" s="715">
        <f>J17</f>
        <v>100</v>
      </c>
      <c r="X17" s="1540"/>
      <c r="Y17" s="3463"/>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46"/>
      <c r="M18" s="2940"/>
      <c r="N18" s="2940"/>
      <c r="O18" s="2940"/>
      <c r="P18" s="3529"/>
      <c r="Q18" s="1537"/>
      <c r="R18" s="714"/>
      <c r="S18" s="715"/>
      <c r="T18" s="714"/>
      <c r="U18" s="715"/>
      <c r="V18" s="714"/>
      <c r="W18" s="715"/>
      <c r="X18" s="1540"/>
      <c r="Y18" s="3463"/>
      <c r="Z18" s="1541"/>
      <c r="AA18" s="1538">
        <v>1</v>
      </c>
      <c r="AB18" s="1538">
        <v>1</v>
      </c>
      <c r="AC18" s="1538">
        <v>1</v>
      </c>
    </row>
    <row r="19" spans="1:29" ht="15">
      <c r="A19" s="387"/>
      <c r="B19" s="410" t="s">
        <v>2475</v>
      </c>
      <c r="C19" s="2086"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46"/>
      <c r="M19" s="2940"/>
      <c r="N19" s="2940"/>
      <c r="O19" s="2940"/>
      <c r="P19" s="3529"/>
      <c r="Q19" s="1537" t="str">
        <f>B19</f>
        <v>公共配套设施</v>
      </c>
      <c r="R19" s="714" t="s">
        <v>17</v>
      </c>
      <c r="S19" s="715">
        <f>F19</f>
        <v>100</v>
      </c>
      <c r="T19" s="714" t="s">
        <v>17</v>
      </c>
      <c r="U19" s="715">
        <f>H19</f>
        <v>100</v>
      </c>
      <c r="V19" s="714" t="s">
        <v>17</v>
      </c>
      <c r="W19" s="715">
        <f>J19</f>
        <v>100</v>
      </c>
      <c r="X19" s="1540"/>
      <c r="Y19" s="3463"/>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46"/>
      <c r="M20" s="2940"/>
      <c r="N20" s="2940"/>
      <c r="O20" s="2940"/>
      <c r="P20" s="3529"/>
      <c r="Q20" s="1537"/>
      <c r="R20" s="714"/>
      <c r="S20" s="715"/>
      <c r="T20" s="714"/>
      <c r="U20" s="715"/>
      <c r="V20" s="714"/>
      <c r="W20" s="715"/>
      <c r="X20" s="1540"/>
      <c r="Y20" s="3463"/>
      <c r="Z20" s="1541"/>
      <c r="AA20" s="1538">
        <v>1</v>
      </c>
      <c r="AB20" s="1538">
        <v>1</v>
      </c>
      <c r="AC20" s="1538">
        <v>1</v>
      </c>
    </row>
    <row r="21" spans="1:29" ht="15">
      <c r="A21" s="387"/>
      <c r="B21" s="1293" t="s">
        <v>2476</v>
      </c>
      <c r="C21" s="2086" t="str">
        <f>估价对象房地状况!C8</f>
        <v>六通</v>
      </c>
      <c r="D21" s="414">
        <v>100</v>
      </c>
      <c r="E21" s="416"/>
      <c r="F21" s="417">
        <f>SUMIF(82:82,E22,83:83)-SUMIF(82:82,C22,83:83)+100</f>
        <v>100</v>
      </c>
      <c r="G21" s="418"/>
      <c r="H21" s="409">
        <f>SUMIF(82:82,G22,83:83)-SUMIF(82:82,C22,83:83)+100</f>
        <v>100</v>
      </c>
      <c r="I21" s="416"/>
      <c r="J21" s="409">
        <f>SUMIF(82:82,I22,83:83)-SUMIF(82:82,C22,83:83)+100</f>
        <v>100</v>
      </c>
      <c r="K21" s="571"/>
      <c r="L21" s="2946"/>
      <c r="M21" s="2940"/>
      <c r="N21" s="2940"/>
      <c r="O21" s="2940"/>
      <c r="P21" s="3529"/>
      <c r="Q21" s="1537" t="str">
        <f>B21</f>
        <v>基础设施水平</v>
      </c>
      <c r="R21" s="714" t="s">
        <v>17</v>
      </c>
      <c r="S21" s="715">
        <f>F21</f>
        <v>100</v>
      </c>
      <c r="T21" s="714" t="s">
        <v>17</v>
      </c>
      <c r="U21" s="715">
        <f>H21</f>
        <v>100</v>
      </c>
      <c r="V21" s="714" t="s">
        <v>17</v>
      </c>
      <c r="W21" s="715">
        <f>J21</f>
        <v>100</v>
      </c>
      <c r="X21" s="1540"/>
      <c r="Y21" s="3463"/>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46"/>
      <c r="M22" s="2940"/>
      <c r="N22" s="2940"/>
      <c r="O22" s="2940"/>
      <c r="P22" s="3529"/>
      <c r="Q22" s="1537"/>
      <c r="R22" s="714"/>
      <c r="S22" s="715"/>
      <c r="T22" s="714"/>
      <c r="U22" s="715"/>
      <c r="V22" s="714"/>
      <c r="W22" s="715"/>
      <c r="X22" s="1540"/>
      <c r="Y22" s="3463"/>
      <c r="Z22" s="1541"/>
      <c r="AA22" s="1538">
        <v>1</v>
      </c>
      <c r="AB22" s="1538">
        <v>1</v>
      </c>
      <c r="AC22" s="1538">
        <v>1</v>
      </c>
    </row>
    <row r="23" spans="1:29" ht="15">
      <c r="A23" s="387"/>
      <c r="B23" s="410" t="s">
        <v>1947</v>
      </c>
      <c r="C23" s="2141"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6"/>
      <c r="M23" s="2940"/>
      <c r="N23" s="2940"/>
      <c r="O23" s="2940"/>
      <c r="P23" s="3529"/>
      <c r="Q23" s="1537" t="str">
        <f>B23</f>
        <v>自然及人文环境</v>
      </c>
      <c r="R23" s="714" t="s">
        <v>17</v>
      </c>
      <c r="S23" s="715">
        <f>F23</f>
        <v>100</v>
      </c>
      <c r="T23" s="714" t="s">
        <v>17</v>
      </c>
      <c r="U23" s="715">
        <f>H23</f>
        <v>100</v>
      </c>
      <c r="V23" s="714" t="s">
        <v>17</v>
      </c>
      <c r="W23" s="715">
        <f>J23</f>
        <v>100</v>
      </c>
      <c r="X23" s="1540"/>
      <c r="Y23" s="3463"/>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46"/>
      <c r="M24" s="2940"/>
      <c r="N24" s="2940"/>
      <c r="O24" s="2940"/>
      <c r="P24" s="3529"/>
      <c r="Q24" s="1537"/>
      <c r="R24" s="714"/>
      <c r="S24" s="715"/>
      <c r="T24" s="714"/>
      <c r="U24" s="715"/>
      <c r="V24" s="714"/>
      <c r="W24" s="715"/>
      <c r="X24" s="1540"/>
      <c r="Y24" s="3463"/>
      <c r="Z24" s="1541"/>
      <c r="AA24" s="1538">
        <v>1</v>
      </c>
      <c r="AB24" s="1538">
        <v>1</v>
      </c>
      <c r="AC24" s="1538">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6"/>
      <c r="M25" s="2940"/>
      <c r="N25" s="2940"/>
      <c r="O25" s="2940"/>
      <c r="P25" s="3529"/>
      <c r="Q25" s="1537" t="str">
        <f t="shared" ref="Q25:Q46" si="11">B25</f>
        <v>临街状况</v>
      </c>
      <c r="R25" s="714" t="s">
        <v>17</v>
      </c>
      <c r="S25" s="715">
        <f>F25</f>
        <v>100</v>
      </c>
      <c r="T25" s="714" t="s">
        <v>17</v>
      </c>
      <c r="U25" s="715">
        <f>H25</f>
        <v>100</v>
      </c>
      <c r="V25" s="714" t="s">
        <v>17</v>
      </c>
      <c r="W25" s="715">
        <f>J25</f>
        <v>100</v>
      </c>
      <c r="X25" s="1540"/>
      <c r="Y25" s="3463"/>
      <c r="Z25" s="1541" t="str">
        <f>Q25</f>
        <v>临街状况</v>
      </c>
      <c r="AA25" s="1538">
        <f t="shared" si="3"/>
        <v>1</v>
      </c>
      <c r="AB25" s="1538">
        <f t="shared" si="4"/>
        <v>1</v>
      </c>
      <c r="AC25" s="1538">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6"/>
      <c r="M26" s="2940"/>
      <c r="N26" s="2940"/>
      <c r="O26" s="2940"/>
      <c r="P26" s="3529"/>
      <c r="Q26" s="1537" t="str">
        <f t="shared" si="11"/>
        <v>平面位置/可视性</v>
      </c>
      <c r="R26" s="714" t="s">
        <v>17</v>
      </c>
      <c r="S26" s="715">
        <f>F26</f>
        <v>100</v>
      </c>
      <c r="T26" s="714" t="s">
        <v>17</v>
      </c>
      <c r="U26" s="715">
        <f>H26</f>
        <v>100</v>
      </c>
      <c r="V26" s="714" t="s">
        <v>17</v>
      </c>
      <c r="W26" s="715">
        <f>J26</f>
        <v>100</v>
      </c>
      <c r="X26" s="1540"/>
      <c r="Y26" s="3463"/>
      <c r="Z26" s="1541" t="str">
        <f>Q26</f>
        <v>平面位置/可视性</v>
      </c>
      <c r="AA26" s="1538">
        <f t="shared" si="3"/>
        <v>1</v>
      </c>
      <c r="AB26" s="1538">
        <f t="shared" si="4"/>
        <v>1</v>
      </c>
      <c r="AC26" s="1538">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1"/>
      <c r="M27" s="2942"/>
      <c r="N27" s="2942"/>
      <c r="O27" s="2942"/>
      <c r="P27" s="3529"/>
      <c r="Q27" s="1528" t="str">
        <f t="shared" si="11"/>
        <v>人流量</v>
      </c>
      <c r="R27" s="710" t="s">
        <v>17</v>
      </c>
      <c r="S27" s="711">
        <f>F27</f>
        <v>100</v>
      </c>
      <c r="T27" s="710" t="s">
        <v>17</v>
      </c>
      <c r="U27" s="711">
        <f>H27</f>
        <v>100</v>
      </c>
      <c r="V27" s="710" t="s">
        <v>17</v>
      </c>
      <c r="W27" s="711">
        <f>J27</f>
        <v>100</v>
      </c>
      <c r="X27" s="712"/>
      <c r="Y27" s="3463"/>
      <c r="Z27" s="55" t="str">
        <f>Q27</f>
        <v>人流量</v>
      </c>
      <c r="AA27" s="1538">
        <f>D27/F27</f>
        <v>1</v>
      </c>
      <c r="AB27" s="1538">
        <f>D27/H27</f>
        <v>1</v>
      </c>
      <c r="AC27" s="1538">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6"/>
      <c r="M28" s="2940"/>
      <c r="N28" s="2940"/>
      <c r="O28" s="2940"/>
      <c r="P28" s="3529"/>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463"/>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6"/>
      <c r="M29" s="2940"/>
      <c r="N29" s="2940"/>
      <c r="O29" s="2940"/>
      <c r="P29" s="3529"/>
      <c r="Q29" s="1537">
        <f t="shared" si="11"/>
        <v>111</v>
      </c>
      <c r="R29" s="714" t="s">
        <v>17</v>
      </c>
      <c r="S29" s="715">
        <f t="shared" si="12"/>
        <v>100</v>
      </c>
      <c r="T29" s="714" t="s">
        <v>17</v>
      </c>
      <c r="U29" s="715">
        <f t="shared" si="13"/>
        <v>100</v>
      </c>
      <c r="V29" s="714" t="s">
        <v>17</v>
      </c>
      <c r="W29" s="715">
        <f t="shared" si="14"/>
        <v>100</v>
      </c>
      <c r="X29" s="1540"/>
      <c r="Y29" s="3463"/>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6"/>
      <c r="M30" s="2940"/>
      <c r="N30" s="2940"/>
      <c r="O30" s="2940"/>
      <c r="P30" s="3529"/>
      <c r="Q30" s="1537">
        <f t="shared" si="11"/>
        <v>111</v>
      </c>
      <c r="R30" s="714" t="s">
        <v>17</v>
      </c>
      <c r="S30" s="715">
        <f t="shared" si="12"/>
        <v>100</v>
      </c>
      <c r="T30" s="714" t="s">
        <v>17</v>
      </c>
      <c r="U30" s="715">
        <f t="shared" si="13"/>
        <v>100</v>
      </c>
      <c r="V30" s="714" t="s">
        <v>17</v>
      </c>
      <c r="W30" s="715">
        <f t="shared" si="14"/>
        <v>100</v>
      </c>
      <c r="X30" s="1540"/>
      <c r="Y30" s="3463"/>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6"/>
      <c r="M31" s="2940"/>
      <c r="N31" s="2940"/>
      <c r="O31" s="2940"/>
      <c r="P31" s="3529"/>
      <c r="Q31" s="1537">
        <f t="shared" si="11"/>
        <v>111</v>
      </c>
      <c r="R31" s="714" t="s">
        <v>17</v>
      </c>
      <c r="S31" s="715">
        <f t="shared" si="12"/>
        <v>100</v>
      </c>
      <c r="T31" s="714" t="s">
        <v>17</v>
      </c>
      <c r="U31" s="715">
        <f t="shared" si="13"/>
        <v>100</v>
      </c>
      <c r="V31" s="714" t="s">
        <v>17</v>
      </c>
      <c r="W31" s="715">
        <f t="shared" si="14"/>
        <v>100</v>
      </c>
      <c r="X31" s="1540"/>
      <c r="Y31" s="3463"/>
      <c r="Z31" s="1541">
        <f t="shared" si="15"/>
        <v>111</v>
      </c>
      <c r="AA31" s="1538">
        <f t="shared" si="3"/>
        <v>1</v>
      </c>
      <c r="AB31" s="1538">
        <f t="shared" si="4"/>
        <v>1</v>
      </c>
      <c r="AC31" s="1538">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6"/>
      <c r="M32" s="2940"/>
      <c r="N32" s="2940"/>
      <c r="O32" s="2940"/>
      <c r="P32" s="3524" t="s">
        <v>2386</v>
      </c>
      <c r="Q32" s="1537" t="str">
        <f t="shared" si="11"/>
        <v>商业类型</v>
      </c>
      <c r="R32" s="714" t="s">
        <v>17</v>
      </c>
      <c r="S32" s="715">
        <f t="shared" si="12"/>
        <v>100</v>
      </c>
      <c r="T32" s="714" t="s">
        <v>17</v>
      </c>
      <c r="U32" s="715">
        <f t="shared" si="13"/>
        <v>100</v>
      </c>
      <c r="V32" s="714" t="s">
        <v>17</v>
      </c>
      <c r="W32" s="715">
        <f t="shared" si="14"/>
        <v>100</v>
      </c>
      <c r="X32" s="1540"/>
      <c r="Y32" s="3465" t="s">
        <v>2386</v>
      </c>
      <c r="Z32" s="1541" t="str">
        <f t="shared" si="15"/>
        <v>商业类型</v>
      </c>
      <c r="AA32" s="1538">
        <f t="shared" si="3"/>
        <v>1</v>
      </c>
      <c r="AB32" s="1538">
        <f t="shared" si="4"/>
        <v>1</v>
      </c>
      <c r="AC32" s="1538">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5"/>
      <c r="M33" s="2947"/>
      <c r="N33" s="2947"/>
      <c r="O33" s="2947"/>
      <c r="P33" s="3525"/>
      <c r="Q33" s="716" t="str">
        <f t="shared" si="11"/>
        <v>项目建筑规模</v>
      </c>
      <c r="R33" s="717" t="s">
        <v>17</v>
      </c>
      <c r="S33" s="718" t="e">
        <f t="shared" si="12"/>
        <v>#N/A</v>
      </c>
      <c r="T33" s="717" t="s">
        <v>17</v>
      </c>
      <c r="U33" s="718" t="e">
        <f t="shared" si="13"/>
        <v>#N/A</v>
      </c>
      <c r="V33" s="717" t="s">
        <v>17</v>
      </c>
      <c r="W33" s="718" t="e">
        <f t="shared" si="14"/>
        <v>#N/A</v>
      </c>
      <c r="X33" s="719"/>
      <c r="Y33" s="3465"/>
      <c r="Z33" s="720" t="str">
        <f t="shared" si="15"/>
        <v>项目建筑规模</v>
      </c>
      <c r="AA33" s="1538" t="e">
        <f t="shared" si="3"/>
        <v>#N/A</v>
      </c>
      <c r="AB33" s="1538" t="e">
        <f t="shared" si="4"/>
        <v>#N/A</v>
      </c>
      <c r="AC33" s="1538"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6"/>
      <c r="M34" s="2940"/>
      <c r="N34" s="2940"/>
      <c r="O34" s="2940"/>
      <c r="P34" s="3525"/>
      <c r="Q34" s="1537" t="str">
        <f t="shared" si="11"/>
        <v>建筑结构</v>
      </c>
      <c r="R34" s="714" t="s">
        <v>17</v>
      </c>
      <c r="S34" s="715">
        <f t="shared" si="12"/>
        <v>100</v>
      </c>
      <c r="T34" s="714" t="s">
        <v>17</v>
      </c>
      <c r="U34" s="715">
        <f t="shared" si="13"/>
        <v>100</v>
      </c>
      <c r="V34" s="714" t="s">
        <v>17</v>
      </c>
      <c r="W34" s="715">
        <f t="shared" si="14"/>
        <v>100</v>
      </c>
      <c r="X34" s="1540"/>
      <c r="Y34" s="3465"/>
      <c r="Z34" s="1541" t="str">
        <f t="shared" si="15"/>
        <v>建筑结构</v>
      </c>
      <c r="AA34" s="1538">
        <f t="shared" si="3"/>
        <v>1</v>
      </c>
      <c r="AB34" s="1538">
        <f t="shared" si="4"/>
        <v>1</v>
      </c>
      <c r="AC34" s="1538">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6"/>
      <c r="M35" s="2940"/>
      <c r="N35" s="2940"/>
      <c r="O35" s="2940"/>
      <c r="P35" s="3525"/>
      <c r="Q35" s="1537" t="str">
        <f t="shared" si="11"/>
        <v>公共部分装修</v>
      </c>
      <c r="R35" s="714" t="s">
        <v>17</v>
      </c>
      <c r="S35" s="715">
        <f t="shared" si="12"/>
        <v>100</v>
      </c>
      <c r="T35" s="714" t="s">
        <v>17</v>
      </c>
      <c r="U35" s="715">
        <f t="shared" si="13"/>
        <v>100</v>
      </c>
      <c r="V35" s="714" t="s">
        <v>17</v>
      </c>
      <c r="W35" s="715">
        <f t="shared" si="14"/>
        <v>100</v>
      </c>
      <c r="X35" s="1540"/>
      <c r="Y35" s="3465"/>
      <c r="Z35" s="1541" t="str">
        <f t="shared" si="15"/>
        <v>公共部分装修</v>
      </c>
      <c r="AA35" s="1538">
        <f t="shared" si="3"/>
        <v>1</v>
      </c>
      <c r="AB35" s="1538">
        <f t="shared" si="4"/>
        <v>1</v>
      </c>
      <c r="AC35" s="1538">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6"/>
      <c r="M36" s="2940"/>
      <c r="N36" s="2940"/>
      <c r="O36" s="2940"/>
      <c r="P36" s="3525"/>
      <c r="Q36" s="1537" t="str">
        <f t="shared" si="11"/>
        <v>成新度</v>
      </c>
      <c r="R36" s="714" t="s">
        <v>17</v>
      </c>
      <c r="S36" s="715" t="e">
        <f t="shared" si="12"/>
        <v>#N/A</v>
      </c>
      <c r="T36" s="714" t="s">
        <v>17</v>
      </c>
      <c r="U36" s="715" t="e">
        <f t="shared" si="13"/>
        <v>#N/A</v>
      </c>
      <c r="V36" s="714" t="s">
        <v>17</v>
      </c>
      <c r="W36" s="715" t="e">
        <f t="shared" si="14"/>
        <v>#N/A</v>
      </c>
      <c r="X36" s="1540"/>
      <c r="Y36" s="3465"/>
      <c r="Z36" s="1541" t="str">
        <f t="shared" si="15"/>
        <v>成新度</v>
      </c>
      <c r="AA36" s="1538" t="e">
        <f t="shared" si="3"/>
        <v>#N/A</v>
      </c>
      <c r="AB36" s="1538" t="e">
        <f t="shared" si="4"/>
        <v>#N/A</v>
      </c>
      <c r="AC36" s="1538"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1"/>
      <c r="M37" s="2942"/>
      <c r="N37" s="2942"/>
      <c r="O37" s="2942"/>
      <c r="P37" s="3525"/>
      <c r="Q37" s="1528" t="str">
        <f t="shared" si="11"/>
        <v>市政基础设施</v>
      </c>
      <c r="R37" s="710" t="s">
        <v>17</v>
      </c>
      <c r="S37" s="711">
        <f t="shared" si="12"/>
        <v>100</v>
      </c>
      <c r="T37" s="710" t="s">
        <v>17</v>
      </c>
      <c r="U37" s="711">
        <f t="shared" si="13"/>
        <v>100</v>
      </c>
      <c r="V37" s="710" t="s">
        <v>17</v>
      </c>
      <c r="W37" s="711">
        <f t="shared" si="14"/>
        <v>100</v>
      </c>
      <c r="X37" s="712"/>
      <c r="Y37" s="3465"/>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6"/>
      <c r="M38" s="2940"/>
      <c r="N38" s="2940"/>
      <c r="O38" s="2940"/>
      <c r="P38" s="3525" t="s">
        <v>2386</v>
      </c>
      <c r="Q38" s="1537" t="str">
        <f t="shared" si="11"/>
        <v>业态</v>
      </c>
      <c r="R38" s="714" t="s">
        <v>17</v>
      </c>
      <c r="S38" s="715">
        <f t="shared" si="12"/>
        <v>100</v>
      </c>
      <c r="T38" s="714" t="s">
        <v>17</v>
      </c>
      <c r="U38" s="715">
        <f t="shared" si="13"/>
        <v>100</v>
      </c>
      <c r="V38" s="714" t="s">
        <v>17</v>
      </c>
      <c r="W38" s="715">
        <f t="shared" si="14"/>
        <v>100</v>
      </c>
      <c r="X38" s="1540"/>
      <c r="Y38" s="3465" t="s">
        <v>2386</v>
      </c>
      <c r="Z38" s="1541" t="str">
        <f t="shared" si="15"/>
        <v>业态</v>
      </c>
      <c r="AA38" s="1538">
        <f t="shared" si="3"/>
        <v>1</v>
      </c>
      <c r="AB38" s="1538">
        <f t="shared" si="4"/>
        <v>1</v>
      </c>
      <c r="AC38" s="1538">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6"/>
      <c r="M39" s="2940"/>
      <c r="N39" s="2940"/>
      <c r="O39" s="2940"/>
      <c r="P39" s="3525"/>
      <c r="Q39" s="1537" t="str">
        <f t="shared" si="11"/>
        <v>层高</v>
      </c>
      <c r="R39" s="714" t="s">
        <v>17</v>
      </c>
      <c r="S39" s="715">
        <f t="shared" si="12"/>
        <v>100</v>
      </c>
      <c r="T39" s="714" t="s">
        <v>17</v>
      </c>
      <c r="U39" s="715">
        <f t="shared" si="13"/>
        <v>100</v>
      </c>
      <c r="V39" s="714" t="s">
        <v>17</v>
      </c>
      <c r="W39" s="715">
        <f t="shared" si="14"/>
        <v>100</v>
      </c>
      <c r="X39" s="1540"/>
      <c r="Y39" s="3465"/>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6"/>
      <c r="M40" s="2940"/>
      <c r="N40" s="2940"/>
      <c r="O40" s="2940"/>
      <c r="P40" s="3525"/>
      <c r="Q40" s="1537" t="str">
        <f t="shared" si="11"/>
        <v>单套建筑面积</v>
      </c>
      <c r="R40" s="714" t="s">
        <v>17</v>
      </c>
      <c r="S40" s="715">
        <f t="shared" si="12"/>
        <v>100</v>
      </c>
      <c r="T40" s="714" t="s">
        <v>17</v>
      </c>
      <c r="U40" s="715">
        <f t="shared" si="13"/>
        <v>100</v>
      </c>
      <c r="V40" s="714" t="s">
        <v>17</v>
      </c>
      <c r="W40" s="715">
        <f t="shared" si="14"/>
        <v>100</v>
      </c>
      <c r="X40" s="1540"/>
      <c r="Y40" s="3465"/>
      <c r="Z40" s="1541" t="str">
        <f t="shared" si="15"/>
        <v>单套建筑面积</v>
      </c>
      <c r="AA40" s="1538">
        <f t="shared" si="3"/>
        <v>1</v>
      </c>
      <c r="AB40" s="1538">
        <f t="shared" si="4"/>
        <v>1</v>
      </c>
      <c r="AC40" s="1538">
        <f t="shared" si="5"/>
        <v>1</v>
      </c>
    </row>
    <row r="41" spans="1:29" s="430" customFormat="1" ht="15">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5"/>
      <c r="M41" s="2947"/>
      <c r="N41" s="2947"/>
      <c r="O41" s="2947"/>
      <c r="P41" s="3525"/>
      <c r="Q41" s="716" t="str">
        <f t="shared" si="11"/>
        <v>进深比</v>
      </c>
      <c r="R41" s="717" t="s">
        <v>17</v>
      </c>
      <c r="S41" s="718">
        <f t="shared" si="12"/>
        <v>100</v>
      </c>
      <c r="T41" s="717" t="s">
        <v>17</v>
      </c>
      <c r="U41" s="718">
        <f t="shared" si="13"/>
        <v>100</v>
      </c>
      <c r="V41" s="717" t="s">
        <v>17</v>
      </c>
      <c r="W41" s="718">
        <f t="shared" si="14"/>
        <v>100</v>
      </c>
      <c r="X41" s="719"/>
      <c r="Y41" s="3465"/>
      <c r="Z41" s="720" t="str">
        <f t="shared" si="15"/>
        <v>进深比</v>
      </c>
      <c r="AA41" s="1538">
        <f t="shared" si="3"/>
        <v>1</v>
      </c>
      <c r="AB41" s="1538">
        <f t="shared" si="4"/>
        <v>1</v>
      </c>
      <c r="AC41" s="1538">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6"/>
      <c r="M42" s="2940"/>
      <c r="N42" s="2940"/>
      <c r="O42" s="2940"/>
      <c r="P42" s="3525"/>
      <c r="Q42" s="1537" t="str">
        <f t="shared" si="11"/>
        <v>内部装修</v>
      </c>
      <c r="R42" s="714" t="s">
        <v>17</v>
      </c>
      <c r="S42" s="715">
        <f t="shared" si="12"/>
        <v>100</v>
      </c>
      <c r="T42" s="714" t="s">
        <v>17</v>
      </c>
      <c r="U42" s="715">
        <f t="shared" si="13"/>
        <v>100</v>
      </c>
      <c r="V42" s="714" t="s">
        <v>17</v>
      </c>
      <c r="W42" s="715">
        <f t="shared" si="14"/>
        <v>100</v>
      </c>
      <c r="X42" s="1540"/>
      <c r="Y42" s="3465"/>
      <c r="Z42" s="1541" t="str">
        <f t="shared" si="15"/>
        <v>内部装修</v>
      </c>
      <c r="AA42" s="1538">
        <f t="shared" si="3"/>
        <v>1</v>
      </c>
      <c r="AB42" s="1538">
        <f t="shared" si="4"/>
        <v>1</v>
      </c>
      <c r="AC42" s="1538">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6"/>
      <c r="M43" s="2940"/>
      <c r="N43" s="2940"/>
      <c r="O43" s="2940"/>
      <c r="P43" s="3525"/>
      <c r="Q43" s="1537" t="str">
        <f t="shared" si="11"/>
        <v>内部装修维护情况</v>
      </c>
      <c r="R43" s="714" t="s">
        <v>17</v>
      </c>
      <c r="S43" s="715">
        <f t="shared" si="12"/>
        <v>100</v>
      </c>
      <c r="T43" s="714" t="s">
        <v>17</v>
      </c>
      <c r="U43" s="715">
        <f t="shared" si="13"/>
        <v>100</v>
      </c>
      <c r="V43" s="714" t="s">
        <v>17</v>
      </c>
      <c r="W43" s="715">
        <f t="shared" si="14"/>
        <v>100</v>
      </c>
      <c r="X43" s="1540"/>
      <c r="Y43" s="3465"/>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1"/>
      <c r="M44" s="2942"/>
      <c r="N44" s="2942"/>
      <c r="O44" s="2942"/>
      <c r="P44" s="3525"/>
      <c r="Q44" s="1528">
        <f t="shared" si="11"/>
        <v>111</v>
      </c>
      <c r="R44" s="710" t="s">
        <v>17</v>
      </c>
      <c r="S44" s="711">
        <f t="shared" si="12"/>
        <v>100</v>
      </c>
      <c r="T44" s="710" t="s">
        <v>17</v>
      </c>
      <c r="U44" s="711">
        <f t="shared" si="13"/>
        <v>100</v>
      </c>
      <c r="V44" s="710" t="s">
        <v>17</v>
      </c>
      <c r="W44" s="711">
        <f t="shared" si="14"/>
        <v>100</v>
      </c>
      <c r="X44" s="712"/>
      <c r="Y44" s="346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6"/>
      <c r="M45" s="2940"/>
      <c r="N45" s="2940"/>
      <c r="O45" s="2940"/>
      <c r="P45" s="3525"/>
      <c r="Q45" s="1537">
        <f t="shared" si="11"/>
        <v>111</v>
      </c>
      <c r="R45" s="714" t="s">
        <v>17</v>
      </c>
      <c r="S45" s="715">
        <f t="shared" si="12"/>
        <v>100</v>
      </c>
      <c r="T45" s="714" t="s">
        <v>17</v>
      </c>
      <c r="U45" s="715">
        <f t="shared" si="13"/>
        <v>100</v>
      </c>
      <c r="V45" s="714" t="s">
        <v>17</v>
      </c>
      <c r="W45" s="715">
        <f t="shared" si="14"/>
        <v>100</v>
      </c>
      <c r="X45" s="1540"/>
      <c r="Y45" s="3465"/>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6"/>
      <c r="M46" s="2940"/>
      <c r="N46" s="2940"/>
      <c r="O46" s="2940"/>
      <c r="P46" s="3526"/>
      <c r="Q46" s="1537">
        <f t="shared" si="11"/>
        <v>111</v>
      </c>
      <c r="R46" s="714" t="s">
        <v>17</v>
      </c>
      <c r="S46" s="715">
        <f t="shared" si="12"/>
        <v>100</v>
      </c>
      <c r="T46" s="714" t="s">
        <v>17</v>
      </c>
      <c r="U46" s="715">
        <f t="shared" si="13"/>
        <v>100</v>
      </c>
      <c r="V46" s="714" t="s">
        <v>17</v>
      </c>
      <c r="W46" s="715">
        <f t="shared" si="14"/>
        <v>100</v>
      </c>
      <c r="X46" s="1540"/>
      <c r="Y46" s="3527"/>
      <c r="Z46" s="1541">
        <f t="shared" si="15"/>
        <v>111</v>
      </c>
      <c r="AA46" s="1538">
        <f t="shared" si="3"/>
        <v>1</v>
      </c>
      <c r="AB46" s="1538">
        <f t="shared" si="4"/>
        <v>1</v>
      </c>
      <c r="AC46" s="1538">
        <f t="shared" si="5"/>
        <v>1</v>
      </c>
    </row>
    <row r="47" spans="1:29" ht="15">
      <c r="A47" s="438" t="s">
        <v>2398</v>
      </c>
      <c r="B47" s="439"/>
      <c r="C47" s="1316" t="s">
        <v>1</v>
      </c>
      <c r="D47" s="1317"/>
      <c r="E47" s="1318"/>
      <c r="F47" s="1319"/>
      <c r="G47" s="1320"/>
      <c r="H47" s="1321"/>
      <c r="I47" s="1318"/>
      <c r="J47" s="1321"/>
      <c r="K47" s="723"/>
      <c r="L47" s="2948"/>
      <c r="M47" s="2949"/>
      <c r="N47" s="2940"/>
      <c r="O47" s="2949"/>
      <c r="P47" s="3447" t="str">
        <f>A47</f>
        <v>成交单价（元/平方米）</v>
      </c>
      <c r="Q47" s="3447"/>
      <c r="R47" s="3460">
        <f>E47</f>
        <v>0</v>
      </c>
      <c r="S47" s="3460"/>
      <c r="T47" s="3460">
        <f>G47</f>
        <v>0</v>
      </c>
      <c r="U47" s="3460"/>
      <c r="V47" s="3460">
        <f>I47</f>
        <v>0</v>
      </c>
      <c r="W47" s="3460"/>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48"/>
      <c r="M48" s="2949"/>
      <c r="N48" s="2940"/>
      <c r="O48" s="2949"/>
      <c r="P48" s="3447" t="str">
        <f>A48</f>
        <v>比较价值（元/平方米）</v>
      </c>
      <c r="Q48" s="3447"/>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48"/>
      <c r="M49" s="2949"/>
      <c r="N49" s="2940"/>
      <c r="O49" s="2949"/>
      <c r="P49" s="3467" t="str">
        <f>A49</f>
        <v>估价对象XX用房的比较价值（楼面单价，元/平方米）</v>
      </c>
      <c r="Q49" s="3468"/>
      <c r="R49" s="3522" t="e">
        <f>IF(F1="售价",ROUND(IF(D48="简单平均",AVERAGE(R48:V48),R48*F48+T48*H48+V48*J48),0),ROUND(IF(D48="简单平均",AVERAGE(R48:V48),R48*F48+T48*H48+V48*J48),1))</f>
        <v>#DIV/0!</v>
      </c>
      <c r="S49" s="3522"/>
      <c r="T49" s="3522"/>
      <c r="U49" s="3522"/>
      <c r="V49" s="3522"/>
      <c r="W49" s="3522"/>
      <c r="X49" s="699"/>
      <c r="Y49" s="699"/>
      <c r="Z49" s="699"/>
      <c r="AA49" s="699"/>
      <c r="AB49" s="699"/>
      <c r="AC49" s="699"/>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4"/>
      <c r="L53" s="2950"/>
      <c r="M53" s="2949"/>
      <c r="N53" s="2949"/>
      <c r="O53" s="2949"/>
      <c r="P53" s="2960"/>
      <c r="Q53" s="2949"/>
      <c r="R53" s="2949"/>
      <c r="S53" s="2949"/>
      <c r="T53" s="2949"/>
      <c r="U53" s="2949"/>
      <c r="V53" s="2949"/>
      <c r="W53" s="2949"/>
      <c r="X53" s="2949"/>
      <c r="Y53" s="2949"/>
      <c r="Z53" s="2949"/>
      <c r="AA53" s="2949"/>
      <c r="AB53" s="2949"/>
      <c r="AC53" s="2949"/>
    </row>
    <row r="54" spans="1:29" s="459" customFormat="1" ht="13.5" customHeight="1">
      <c r="A54" s="2952"/>
      <c r="B54" s="2952"/>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7"/>
      <c r="L54" s="2951"/>
      <c r="M54" s="2952"/>
      <c r="N54" s="2952"/>
      <c r="O54" s="2952"/>
      <c r="P54" s="2961"/>
      <c r="Q54" s="2952"/>
      <c r="R54" s="2952"/>
      <c r="S54" s="2952"/>
      <c r="T54" s="2952"/>
      <c r="U54" s="2952"/>
      <c r="V54" s="2952"/>
      <c r="W54" s="2952"/>
      <c r="X54" s="2952"/>
      <c r="Y54" s="2952"/>
      <c r="Z54" s="2952"/>
      <c r="AA54" s="2952"/>
      <c r="AB54" s="2952"/>
      <c r="AC54" s="2952"/>
    </row>
    <row r="55" spans="1:29" s="459"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703" t="s">
        <v>2495</v>
      </c>
      <c r="B57" s="699"/>
      <c r="C57" s="704"/>
      <c r="D57" s="704"/>
      <c r="E57" s="704"/>
      <c r="F57" s="705"/>
      <c r="G57" s="705"/>
      <c r="H57" s="704"/>
      <c r="I57" s="704"/>
      <c r="J57" s="704"/>
      <c r="K57" s="706"/>
      <c r="L57" s="1073"/>
      <c r="M57" s="1071"/>
      <c r="N57" s="1071"/>
      <c r="O57" s="1071"/>
      <c r="P57" s="2962"/>
      <c r="Q57" s="2963"/>
      <c r="R57" s="2949"/>
      <c r="S57" s="2949"/>
      <c r="T57" s="2949"/>
      <c r="U57" s="2949"/>
      <c r="V57" s="2949"/>
      <c r="W57" s="2949"/>
      <c r="X57" s="2949"/>
      <c r="Y57" s="2949"/>
      <c r="Z57" s="2949"/>
      <c r="AA57" s="2949"/>
      <c r="AB57" s="2949"/>
      <c r="AC57" s="2949"/>
    </row>
    <row r="58" spans="1:29" s="465" customFormat="1" ht="15">
      <c r="A58" s="462" t="s">
        <v>2369</v>
      </c>
      <c r="B58" s="463"/>
      <c r="C58" s="1346" t="str">
        <f>YEAR(C7)&amp;"-"&amp;MONTH(C7)</f>
        <v>2021-3</v>
      </c>
      <c r="D58" s="1347">
        <f>EDATE(C58,-1)</f>
        <v>44228</v>
      </c>
      <c r="E58" s="1347">
        <f t="shared" ref="E58:N58" si="16">EDATE(D58,-1)</f>
        <v>44197</v>
      </c>
      <c r="F58" s="1347">
        <f t="shared" si="16"/>
        <v>44166</v>
      </c>
      <c r="G58" s="1347">
        <f t="shared" si="16"/>
        <v>44136</v>
      </c>
      <c r="H58" s="1347">
        <f t="shared" si="16"/>
        <v>44105</v>
      </c>
      <c r="I58" s="1347">
        <f t="shared" si="16"/>
        <v>44075</v>
      </c>
      <c r="J58" s="1347">
        <f t="shared" si="16"/>
        <v>44044</v>
      </c>
      <c r="K58" s="1347">
        <f t="shared" si="16"/>
        <v>44013</v>
      </c>
      <c r="L58" s="1347">
        <f t="shared" si="16"/>
        <v>43983</v>
      </c>
      <c r="M58" s="1347">
        <f t="shared" si="16"/>
        <v>43952</v>
      </c>
      <c r="N58" s="1347">
        <f t="shared" si="16"/>
        <v>43922</v>
      </c>
      <c r="O58" s="1347">
        <f>EDATE(N58,-1)</f>
        <v>43891</v>
      </c>
      <c r="P58" s="2964"/>
      <c r="Q58" s="2965"/>
      <c r="R58" s="2965"/>
      <c r="S58" s="2965"/>
      <c r="T58" s="2965"/>
      <c r="U58" s="2965"/>
      <c r="V58" s="2965"/>
      <c r="W58" s="2965"/>
      <c r="X58" s="2965"/>
      <c r="Y58" s="2965"/>
      <c r="Z58" s="2965"/>
      <c r="AA58" s="2965"/>
      <c r="AB58" s="2965"/>
      <c r="AC58" s="2965"/>
    </row>
    <row r="59" spans="1:29" s="113" customFormat="1" ht="15">
      <c r="A59" s="466"/>
      <c r="B59" s="467"/>
      <c r="C59" s="1345">
        <v>100</v>
      </c>
      <c r="D59" s="469"/>
      <c r="E59" s="469"/>
      <c r="F59" s="469"/>
      <c r="G59" s="469"/>
      <c r="H59" s="469"/>
      <c r="I59" s="469"/>
      <c r="J59" s="469"/>
      <c r="K59" s="469"/>
      <c r="L59" s="469"/>
      <c r="M59" s="470"/>
      <c r="N59" s="469"/>
      <c r="O59" s="470"/>
      <c r="P59" s="2966"/>
      <c r="Q59" s="2884"/>
      <c r="R59" s="2884"/>
      <c r="S59" s="2884"/>
      <c r="T59" s="2884"/>
      <c r="U59" s="2884"/>
      <c r="V59" s="2884"/>
      <c r="W59" s="2884"/>
      <c r="X59" s="2884"/>
      <c r="Y59" s="2884"/>
      <c r="Z59" s="2884"/>
      <c r="AA59" s="2884"/>
      <c r="AB59" s="2884"/>
      <c r="AC59" s="2884"/>
    </row>
    <row r="60" spans="1:29" s="113" customFormat="1" ht="15.75" thickBot="1">
      <c r="A60" s="472" t="s">
        <v>2406</v>
      </c>
      <c r="B60" s="473"/>
      <c r="C60" s="474"/>
      <c r="D60" s="475"/>
      <c r="E60" s="475"/>
      <c r="F60" s="475"/>
      <c r="G60" s="475"/>
      <c r="H60" s="475"/>
      <c r="I60" s="475"/>
      <c r="J60" s="475"/>
      <c r="K60" s="475"/>
      <c r="L60" s="475"/>
      <c r="M60" s="476"/>
      <c r="N60" s="475"/>
      <c r="O60" s="476"/>
      <c r="P60" s="2966"/>
      <c r="Q60" s="2963"/>
      <c r="R60" s="2884"/>
      <c r="S60" s="2884"/>
      <c r="T60" s="2884"/>
      <c r="U60" s="2884"/>
      <c r="V60" s="2884"/>
      <c r="W60" s="2884"/>
      <c r="X60" s="2884"/>
      <c r="Y60" s="2884"/>
      <c r="Z60" s="2884"/>
      <c r="AA60" s="2884"/>
      <c r="AB60" s="2884"/>
      <c r="AC60" s="2884"/>
    </row>
    <row r="61" spans="1:29" s="113" customFormat="1" ht="15">
      <c r="A61" s="478" t="s">
        <v>2371</v>
      </c>
      <c r="B61" s="467"/>
      <c r="C61" s="479" t="s">
        <v>2473</v>
      </c>
      <c r="D61" s="480"/>
      <c r="E61" s="480"/>
      <c r="F61" s="480"/>
      <c r="G61" s="480"/>
      <c r="H61" s="480"/>
      <c r="I61" s="480"/>
      <c r="J61" s="480"/>
      <c r="K61" s="480"/>
      <c r="L61" s="481"/>
      <c r="M61" s="482"/>
      <c r="N61" s="2976"/>
      <c r="O61" s="2976"/>
      <c r="P61" s="2967"/>
      <c r="Q61" s="2963"/>
      <c r="R61" s="2884"/>
      <c r="S61" s="2884"/>
      <c r="T61" s="2884"/>
      <c r="U61" s="2884"/>
      <c r="V61" s="2884"/>
      <c r="W61" s="2884"/>
      <c r="X61" s="2884"/>
      <c r="Y61" s="2884"/>
      <c r="Z61" s="2884"/>
      <c r="AA61" s="2884"/>
      <c r="AB61" s="2884"/>
      <c r="AC61" s="2884"/>
    </row>
    <row r="62" spans="1:29" s="113" customFormat="1" ht="15.75" thickBot="1">
      <c r="A62" s="478"/>
      <c r="B62" s="467"/>
      <c r="C62" s="468">
        <v>100</v>
      </c>
      <c r="D62" s="469"/>
      <c r="E62" s="469"/>
      <c r="F62" s="469"/>
      <c r="G62" s="469"/>
      <c r="H62" s="469"/>
      <c r="I62" s="469"/>
      <c r="J62" s="469"/>
      <c r="K62" s="469"/>
      <c r="L62" s="469"/>
      <c r="M62" s="471"/>
      <c r="N62" s="2976"/>
      <c r="O62" s="2976"/>
      <c r="P62" s="2966"/>
      <c r="Q62" s="2963"/>
      <c r="R62" s="2884"/>
      <c r="S62" s="2884"/>
      <c r="T62" s="2884"/>
      <c r="U62" s="2884"/>
      <c r="V62" s="2884"/>
      <c r="W62" s="2884"/>
      <c r="X62" s="2884"/>
      <c r="Y62" s="2884"/>
      <c r="Z62" s="2884"/>
      <c r="AA62" s="2884"/>
      <c r="AB62" s="2884"/>
      <c r="AC62" s="2884"/>
    </row>
    <row r="63" spans="1:29">
      <c r="A63" s="484" t="s">
        <v>2409</v>
      </c>
      <c r="B63" s="485" t="s">
        <v>2375</v>
      </c>
      <c r="C63" s="486">
        <f>C9</f>
        <v>0</v>
      </c>
      <c r="D63" s="487"/>
      <c r="E63" s="487"/>
      <c r="F63" s="487"/>
      <c r="G63" s="487"/>
      <c r="H63" s="487"/>
      <c r="I63" s="487"/>
      <c r="J63" s="487"/>
      <c r="K63" s="488"/>
      <c r="L63" s="489"/>
      <c r="M63" s="490"/>
      <c r="N63" s="2977"/>
      <c r="O63" s="2977"/>
      <c r="P63" s="2968"/>
      <c r="Q63" s="2963"/>
      <c r="R63" s="2949"/>
      <c r="S63" s="2949"/>
      <c r="T63" s="2949"/>
      <c r="U63" s="2949"/>
      <c r="V63" s="2949"/>
      <c r="W63" s="2949"/>
      <c r="X63" s="2949"/>
      <c r="Y63" s="2949"/>
      <c r="Z63" s="2949"/>
      <c r="AA63" s="2949"/>
      <c r="AB63" s="2949"/>
      <c r="AC63" s="2949"/>
    </row>
    <row r="64" spans="1:29" ht="15.75" thickBot="1">
      <c r="A64" s="491"/>
      <c r="B64" s="492"/>
      <c r="C64" s="493">
        <v>100</v>
      </c>
      <c r="D64" s="493"/>
      <c r="E64" s="493"/>
      <c r="F64" s="493"/>
      <c r="G64" s="493"/>
      <c r="H64" s="493"/>
      <c r="I64" s="493"/>
      <c r="J64" s="493"/>
      <c r="K64" s="493"/>
      <c r="L64" s="493"/>
      <c r="M64" s="494"/>
      <c r="N64" s="2978"/>
      <c r="O64" s="2978"/>
      <c r="P64" s="2968"/>
      <c r="Q64" s="2963"/>
      <c r="R64" s="2949"/>
      <c r="S64" s="2949"/>
      <c r="T64" s="2949"/>
      <c r="U64" s="2949"/>
      <c r="V64" s="2949"/>
      <c r="W64" s="2949"/>
      <c r="X64" s="2949"/>
      <c r="Y64" s="2949"/>
      <c r="Z64" s="2949"/>
      <c r="AA64" s="2949"/>
      <c r="AB64" s="2949"/>
      <c r="AC64" s="2949"/>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7"/>
      <c r="O65" s="2977"/>
      <c r="P65" s="2968"/>
      <c r="Q65" s="2963"/>
      <c r="R65" s="2949"/>
      <c r="S65" s="2949"/>
      <c r="T65" s="2949"/>
      <c r="U65" s="2949"/>
      <c r="V65" s="2949"/>
      <c r="W65" s="2949"/>
      <c r="X65" s="2949"/>
      <c r="Y65" s="2949"/>
      <c r="Z65" s="2949"/>
      <c r="AA65" s="2949"/>
      <c r="AB65" s="2949"/>
      <c r="AC65" s="294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8"/>
      <c r="O66" s="2978"/>
      <c r="P66" s="2968"/>
      <c r="Q66" s="2963"/>
      <c r="R66" s="2949"/>
      <c r="S66" s="2949"/>
      <c r="T66" s="2949"/>
      <c r="U66" s="2949"/>
      <c r="V66" s="2949"/>
      <c r="W66" s="2949"/>
      <c r="X66" s="2949"/>
      <c r="Y66" s="2949"/>
      <c r="Z66" s="2949"/>
      <c r="AA66" s="2949"/>
      <c r="AB66" s="2949"/>
      <c r="AC66" s="2949"/>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91"/>
      <c r="B68" s="505"/>
      <c r="C68" s="506"/>
      <c r="D68" s="506"/>
      <c r="E68" s="506"/>
      <c r="F68" s="506"/>
      <c r="G68" s="506"/>
      <c r="H68" s="506"/>
      <c r="I68" s="506"/>
      <c r="J68" s="506"/>
      <c r="K68" s="507"/>
      <c r="L68" s="508"/>
      <c r="M68" s="509"/>
      <c r="N68" s="2977"/>
      <c r="O68" s="2977"/>
      <c r="P68" s="2968"/>
      <c r="Q68" s="2963"/>
      <c r="R68" s="2949"/>
      <c r="S68" s="2949"/>
      <c r="T68" s="2949"/>
      <c r="U68" s="2949"/>
      <c r="V68" s="2949"/>
      <c r="W68" s="2949"/>
      <c r="X68" s="2949"/>
      <c r="Y68" s="2949"/>
      <c r="Z68" s="2949"/>
      <c r="AA68" s="2949"/>
      <c r="AB68" s="2949"/>
      <c r="AC68" s="294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8"/>
      <c r="O69" s="2978"/>
      <c r="P69" s="2968"/>
      <c r="Q69" s="2963"/>
      <c r="R69" s="2949"/>
      <c r="S69" s="2949"/>
      <c r="T69" s="2949"/>
      <c r="U69" s="2949"/>
      <c r="V69" s="2949"/>
      <c r="W69" s="2949"/>
      <c r="X69" s="2949"/>
      <c r="Y69" s="2949"/>
      <c r="Z69" s="2949"/>
      <c r="AA69" s="2949"/>
      <c r="AB69" s="2949"/>
      <c r="AC69" s="2949"/>
    </row>
    <row r="70" spans="1:29" s="430" customFormat="1" ht="15.75" thickTop="1">
      <c r="A70" s="510"/>
      <c r="B70" s="495">
        <f>B12</f>
        <v>111</v>
      </c>
      <c r="C70" s="511"/>
      <c r="D70" s="511"/>
      <c r="E70" s="511"/>
      <c r="F70" s="511"/>
      <c r="G70" s="511"/>
      <c r="H70" s="512"/>
      <c r="I70" s="512"/>
      <c r="J70" s="512"/>
      <c r="K70" s="512"/>
      <c r="L70" s="513"/>
      <c r="M70" s="514"/>
      <c r="N70" s="2979"/>
      <c r="O70" s="2979"/>
      <c r="P70" s="2969"/>
      <c r="Q70" s="2970"/>
      <c r="R70" s="2971"/>
      <c r="S70" s="2971"/>
      <c r="T70" s="2971"/>
      <c r="U70" s="2971"/>
      <c r="V70" s="2971"/>
      <c r="W70" s="2971"/>
      <c r="X70" s="2971"/>
      <c r="Y70" s="2971"/>
      <c r="Z70" s="2971"/>
      <c r="AA70" s="2971"/>
      <c r="AB70" s="2971"/>
      <c r="AC70" s="2971"/>
    </row>
    <row r="71" spans="1:29" s="430" customFormat="1" ht="15.75" thickBot="1">
      <c r="A71" s="510"/>
      <c r="B71" s="500"/>
      <c r="C71" s="517"/>
      <c r="D71" s="493"/>
      <c r="E71" s="493"/>
      <c r="F71" s="493"/>
      <c r="G71" s="493"/>
      <c r="H71" s="493"/>
      <c r="I71" s="493"/>
      <c r="J71" s="493"/>
      <c r="K71" s="493"/>
      <c r="L71" s="493"/>
      <c r="M71" s="494"/>
      <c r="N71" s="2978"/>
      <c r="O71" s="2978"/>
      <c r="P71" s="2969"/>
      <c r="Q71" s="2970"/>
      <c r="R71" s="2971"/>
      <c r="S71" s="2971"/>
      <c r="T71" s="2971"/>
      <c r="U71" s="2971"/>
      <c r="V71" s="2971"/>
      <c r="W71" s="2971"/>
      <c r="X71" s="2971"/>
      <c r="Y71" s="2971"/>
      <c r="Z71" s="2971"/>
      <c r="AA71" s="2971"/>
      <c r="AB71" s="2971"/>
      <c r="AC71" s="2971"/>
    </row>
    <row r="72" spans="1:29" s="430" customFormat="1" ht="15.75" thickTop="1">
      <c r="A72" s="510"/>
      <c r="B72" s="495">
        <f>B13</f>
        <v>111</v>
      </c>
      <c r="C72" s="511"/>
      <c r="D72" s="511"/>
      <c r="E72" s="511"/>
      <c r="F72" s="511"/>
      <c r="G72" s="511"/>
      <c r="H72" s="512"/>
      <c r="I72" s="512"/>
      <c r="J72" s="512"/>
      <c r="K72" s="512"/>
      <c r="L72" s="513"/>
      <c r="M72" s="514"/>
      <c r="N72" s="2979"/>
      <c r="O72" s="2979"/>
      <c r="P72" s="2972"/>
      <c r="Q72" s="2973"/>
      <c r="R72" s="2971"/>
      <c r="S72" s="2971"/>
      <c r="T72" s="2971"/>
      <c r="U72" s="2971"/>
      <c r="V72" s="2971"/>
      <c r="W72" s="2971"/>
      <c r="X72" s="2971"/>
      <c r="Y72" s="2971"/>
      <c r="Z72" s="2971"/>
      <c r="AA72" s="2971"/>
      <c r="AB72" s="2971"/>
      <c r="AC72" s="2971"/>
    </row>
    <row r="73" spans="1:29" s="430" customFormat="1" ht="15.75" thickBot="1">
      <c r="A73" s="510"/>
      <c r="B73" s="500"/>
      <c r="C73" s="517"/>
      <c r="D73" s="493"/>
      <c r="E73" s="493"/>
      <c r="F73" s="493"/>
      <c r="G73" s="517"/>
      <c r="H73" s="519"/>
      <c r="I73" s="519"/>
      <c r="J73" s="519"/>
      <c r="K73" s="519"/>
      <c r="L73" s="519"/>
      <c r="M73" s="520"/>
      <c r="N73" s="2979"/>
      <c r="O73" s="2979"/>
      <c r="P73" s="2969"/>
      <c r="Q73" s="2970"/>
      <c r="R73" s="2971"/>
      <c r="S73" s="2971"/>
      <c r="T73" s="2971"/>
      <c r="U73" s="2971"/>
      <c r="V73" s="2971"/>
      <c r="W73" s="2971"/>
      <c r="X73" s="2971"/>
      <c r="Y73" s="2971"/>
      <c r="Z73" s="2971"/>
      <c r="AA73" s="2971"/>
      <c r="AB73" s="2971"/>
      <c r="AC73" s="2971"/>
    </row>
    <row r="74" spans="1:29" s="430" customFormat="1" ht="15.75" thickTop="1">
      <c r="A74" s="510"/>
      <c r="B74" s="503">
        <f>B14</f>
        <v>111</v>
      </c>
      <c r="C74" s="511"/>
      <c r="D74" s="511"/>
      <c r="E74" s="511"/>
      <c r="F74" s="511"/>
      <c r="G74" s="480"/>
      <c r="H74" s="521"/>
      <c r="I74" s="521"/>
      <c r="J74" s="521"/>
      <c r="K74" s="521"/>
      <c r="L74" s="522"/>
      <c r="M74" s="523"/>
      <c r="N74" s="2979"/>
      <c r="O74" s="2979"/>
      <c r="P74" s="2974"/>
      <c r="Q74" s="2970"/>
      <c r="R74" s="2971"/>
      <c r="S74" s="2971"/>
      <c r="T74" s="2971"/>
      <c r="U74" s="2971"/>
      <c r="V74" s="2971"/>
      <c r="W74" s="2971"/>
      <c r="X74" s="2971"/>
      <c r="Y74" s="2971"/>
      <c r="Z74" s="2971"/>
      <c r="AA74" s="2971"/>
      <c r="AB74" s="2971"/>
      <c r="AC74" s="2971"/>
    </row>
    <row r="75" spans="1:29" s="430" customFormat="1" ht="15.75" thickBot="1">
      <c r="A75" s="525"/>
      <c r="B75" s="526"/>
      <c r="C75" s="527"/>
      <c r="D75" s="527"/>
      <c r="E75" s="527"/>
      <c r="F75" s="527"/>
      <c r="G75" s="527"/>
      <c r="H75" s="528"/>
      <c r="I75" s="528"/>
      <c r="J75" s="528"/>
      <c r="K75" s="528"/>
      <c r="L75" s="528"/>
      <c r="M75" s="529"/>
      <c r="N75" s="2979"/>
      <c r="O75" s="2979"/>
      <c r="P75" s="2969"/>
      <c r="Q75" s="2970"/>
      <c r="R75" s="2971"/>
      <c r="S75" s="2971"/>
      <c r="T75" s="2971"/>
      <c r="U75" s="2971"/>
      <c r="V75" s="2971"/>
      <c r="W75" s="2971"/>
      <c r="X75" s="2971"/>
      <c r="Y75" s="2971"/>
      <c r="Z75" s="2971"/>
      <c r="AA75" s="2971"/>
      <c r="AB75" s="2971"/>
      <c r="AC75" s="2971"/>
    </row>
    <row r="76" spans="1:29">
      <c r="A76" s="484" t="s">
        <v>2380</v>
      </c>
      <c r="B76" s="485" t="s">
        <v>2417</v>
      </c>
      <c r="C76" s="530" t="s">
        <v>2418</v>
      </c>
      <c r="D76" s="530" t="s">
        <v>2419</v>
      </c>
      <c r="E76" s="530" t="s">
        <v>2420</v>
      </c>
      <c r="F76" s="530" t="s">
        <v>2421</v>
      </c>
      <c r="G76" s="530" t="s">
        <v>2422</v>
      </c>
      <c r="H76" s="486"/>
      <c r="I76" s="486"/>
      <c r="J76" s="486"/>
      <c r="K76" s="531"/>
      <c r="L76" s="532"/>
      <c r="M76" s="533"/>
      <c r="N76" s="2977"/>
      <c r="O76" s="2977"/>
      <c r="P76" s="2975"/>
      <c r="Q76" s="2963"/>
      <c r="R76" s="2949"/>
      <c r="S76" s="2949"/>
      <c r="T76" s="2949"/>
      <c r="U76" s="2949"/>
      <c r="V76" s="2949"/>
      <c r="W76" s="2949"/>
      <c r="X76" s="2949"/>
      <c r="Y76" s="2949"/>
      <c r="Z76" s="2949"/>
      <c r="AA76" s="2949"/>
      <c r="AB76" s="2949"/>
      <c r="AC76" s="294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8"/>
      <c r="O77" s="2978"/>
      <c r="P77" s="2968"/>
      <c r="Q77" s="2963"/>
      <c r="R77" s="2949"/>
      <c r="S77" s="2949"/>
      <c r="T77" s="2949"/>
      <c r="U77" s="2949"/>
      <c r="V77" s="2949"/>
      <c r="W77" s="2949"/>
      <c r="X77" s="2949"/>
      <c r="Y77" s="2949"/>
      <c r="Z77" s="2949"/>
      <c r="AA77" s="2949"/>
      <c r="AB77" s="2949"/>
      <c r="AC77" s="2949"/>
    </row>
    <row r="78" spans="1:29" ht="15.75" thickTop="1">
      <c r="A78" s="491"/>
      <c r="B78" s="495" t="s">
        <v>2423</v>
      </c>
      <c r="C78" s="535" t="s">
        <v>2418</v>
      </c>
      <c r="D78" s="535" t="s">
        <v>2419</v>
      </c>
      <c r="E78" s="535" t="s">
        <v>2420</v>
      </c>
      <c r="F78" s="535" t="s">
        <v>2421</v>
      </c>
      <c r="G78" s="535" t="s">
        <v>2422</v>
      </c>
      <c r="H78" s="496"/>
      <c r="I78" s="496"/>
      <c r="J78" s="496"/>
      <c r="K78" s="497"/>
      <c r="L78" s="498"/>
      <c r="M78" s="499"/>
      <c r="N78" s="2977"/>
      <c r="O78" s="2977"/>
      <c r="P78" s="2968"/>
      <c r="Q78" s="2963"/>
      <c r="R78" s="2949"/>
      <c r="S78" s="2949"/>
      <c r="T78" s="2949"/>
      <c r="U78" s="2949"/>
      <c r="V78" s="2949"/>
      <c r="W78" s="2949"/>
      <c r="X78" s="2949"/>
      <c r="Y78" s="2949"/>
      <c r="Z78" s="2949"/>
      <c r="AA78" s="2949"/>
      <c r="AB78" s="2949"/>
      <c r="AC78" s="294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8"/>
      <c r="O79" s="2978"/>
      <c r="P79" s="2968"/>
      <c r="Q79" s="2963"/>
      <c r="R79" s="2949"/>
      <c r="S79" s="2949"/>
      <c r="T79" s="2949"/>
      <c r="U79" s="2949"/>
      <c r="V79" s="2949"/>
      <c r="W79" s="2949"/>
      <c r="X79" s="2949"/>
      <c r="Y79" s="2949"/>
      <c r="Z79" s="2949"/>
      <c r="AA79" s="2949"/>
      <c r="AB79" s="2949"/>
      <c r="AC79" s="2949"/>
    </row>
    <row r="80" spans="1:29" ht="15.75" thickTop="1">
      <c r="A80" s="491"/>
      <c r="B80" s="495" t="s">
        <v>2424</v>
      </c>
      <c r="C80" s="535" t="s">
        <v>2418</v>
      </c>
      <c r="D80" s="535" t="s">
        <v>2419</v>
      </c>
      <c r="E80" s="535" t="s">
        <v>2420</v>
      </c>
      <c r="F80" s="535" t="s">
        <v>2421</v>
      </c>
      <c r="G80" s="535" t="s">
        <v>2422</v>
      </c>
      <c r="H80" s="496"/>
      <c r="I80" s="496"/>
      <c r="J80" s="496"/>
      <c r="K80" s="497"/>
      <c r="L80" s="498"/>
      <c r="M80" s="499"/>
      <c r="N80" s="2977"/>
      <c r="O80" s="2977"/>
      <c r="P80" s="2968"/>
      <c r="Q80" s="2963"/>
      <c r="R80" s="2949"/>
      <c r="S80" s="2949"/>
      <c r="T80" s="2949"/>
      <c r="U80" s="2949"/>
      <c r="V80" s="2949"/>
      <c r="W80" s="2949"/>
      <c r="X80" s="2949"/>
      <c r="Y80" s="2949"/>
      <c r="Z80" s="2949"/>
      <c r="AA80" s="2949"/>
      <c r="AB80" s="2949"/>
      <c r="AC80" s="294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8"/>
      <c r="O81" s="2978"/>
      <c r="P81" s="2968"/>
      <c r="Q81" s="2963"/>
      <c r="R81" s="2949"/>
      <c r="S81" s="2949"/>
      <c r="T81" s="2949"/>
      <c r="U81" s="2949"/>
      <c r="V81" s="2949"/>
      <c r="W81" s="2949"/>
      <c r="X81" s="2949"/>
      <c r="Y81" s="2949"/>
      <c r="Z81" s="2949"/>
      <c r="AA81" s="2949"/>
      <c r="AB81" s="2949"/>
      <c r="AC81" s="2949"/>
    </row>
    <row r="82" spans="1:29" ht="15.75" thickTop="1">
      <c r="A82" s="491"/>
      <c r="B82" s="503" t="s">
        <v>2476</v>
      </c>
      <c r="C82" s="616" t="s">
        <v>2496</v>
      </c>
      <c r="D82" s="616" t="s">
        <v>2497</v>
      </c>
      <c r="E82" s="616" t="s">
        <v>2498</v>
      </c>
      <c r="F82" s="616" t="s">
        <v>2499</v>
      </c>
      <c r="G82" s="616" t="s">
        <v>2500</v>
      </c>
      <c r="H82" s="496"/>
      <c r="I82" s="496"/>
      <c r="J82" s="496"/>
      <c r="K82" s="496"/>
      <c r="L82" s="496"/>
      <c r="M82" s="1291"/>
      <c r="N82" s="2978"/>
      <c r="O82" s="2978"/>
      <c r="P82" s="2968"/>
      <c r="Q82" s="2963"/>
      <c r="R82" s="2949"/>
      <c r="S82" s="2949"/>
      <c r="T82" s="2949"/>
      <c r="U82" s="2949"/>
      <c r="V82" s="2949"/>
      <c r="W82" s="2949"/>
      <c r="X82" s="2949"/>
      <c r="Y82" s="2949"/>
      <c r="Z82" s="2949"/>
      <c r="AA82" s="2949"/>
      <c r="AB82" s="2949"/>
      <c r="AC82" s="294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8"/>
      <c r="O83" s="2978"/>
      <c r="P83" s="2968"/>
      <c r="Q83" s="2963"/>
      <c r="R83" s="2949"/>
      <c r="S83" s="2949"/>
      <c r="T83" s="2949"/>
      <c r="U83" s="2949"/>
      <c r="V83" s="2949"/>
      <c r="W83" s="2949"/>
      <c r="X83" s="2949"/>
      <c r="Y83" s="2949"/>
      <c r="Z83" s="2949"/>
      <c r="AA83" s="2949"/>
      <c r="AB83" s="2949"/>
      <c r="AC83" s="2949"/>
    </row>
    <row r="84" spans="1:29" ht="15.75" thickTop="1">
      <c r="A84" s="491"/>
      <c r="B84" s="495" t="s">
        <v>2430</v>
      </c>
      <c r="C84" s="535" t="s">
        <v>2418</v>
      </c>
      <c r="D84" s="535" t="s">
        <v>2419</v>
      </c>
      <c r="E84" s="535" t="s">
        <v>2420</v>
      </c>
      <c r="F84" s="535" t="s">
        <v>2421</v>
      </c>
      <c r="G84" s="535" t="s">
        <v>2422</v>
      </c>
      <c r="H84" s="496"/>
      <c r="I84" s="496"/>
      <c r="J84" s="496"/>
      <c r="K84" s="497"/>
      <c r="L84" s="498"/>
      <c r="M84" s="499"/>
      <c r="N84" s="2977"/>
      <c r="O84" s="2977"/>
      <c r="P84" s="2968"/>
      <c r="Q84" s="2963"/>
      <c r="R84" s="2949"/>
      <c r="S84" s="2949"/>
      <c r="T84" s="2949"/>
      <c r="U84" s="2949"/>
      <c r="V84" s="2949"/>
      <c r="W84" s="2949"/>
      <c r="X84" s="2949"/>
      <c r="Y84" s="2949"/>
      <c r="Z84" s="2949"/>
      <c r="AA84" s="2949"/>
      <c r="AB84" s="2949"/>
      <c r="AC84" s="294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8"/>
      <c r="O85" s="2978"/>
      <c r="P85" s="2968"/>
      <c r="Q85" s="2963"/>
      <c r="R85" s="2949"/>
      <c r="S85" s="2949"/>
      <c r="T85" s="2949"/>
      <c r="U85" s="2949"/>
      <c r="V85" s="2949"/>
      <c r="W85" s="2949"/>
      <c r="X85" s="2949"/>
      <c r="Y85" s="2949"/>
      <c r="Z85" s="2949"/>
      <c r="AA85" s="2949"/>
      <c r="AB85" s="2949"/>
      <c r="AC85" s="2949"/>
    </row>
    <row r="86" spans="1:29" s="113" customFormat="1" ht="15.75" thickTop="1">
      <c r="A86" s="536"/>
      <c r="B86" s="495" t="s">
        <v>2501</v>
      </c>
      <c r="C86" s="511"/>
      <c r="D86" s="511"/>
      <c r="E86" s="511"/>
      <c r="F86" s="511"/>
      <c r="G86" s="511"/>
      <c r="H86" s="511"/>
      <c r="I86" s="511"/>
      <c r="J86" s="511"/>
      <c r="K86" s="511"/>
      <c r="L86" s="537"/>
      <c r="M86" s="538"/>
      <c r="N86" s="2976"/>
      <c r="O86" s="2976"/>
      <c r="P86" s="2968"/>
      <c r="Q86" s="2963"/>
      <c r="R86" s="2884"/>
      <c r="S86" s="2884"/>
      <c r="T86" s="2884"/>
      <c r="U86" s="2884"/>
      <c r="V86" s="2884"/>
      <c r="W86" s="2884"/>
      <c r="X86" s="2884"/>
      <c r="Y86" s="2884"/>
      <c r="Z86" s="2884"/>
      <c r="AA86" s="2884"/>
      <c r="AB86" s="2884"/>
      <c r="AC86" s="288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8"/>
      <c r="O87" s="2978"/>
      <c r="P87" s="2968"/>
      <c r="Q87" s="2963"/>
      <c r="R87" s="2884"/>
      <c r="S87" s="2884"/>
      <c r="T87" s="2884"/>
      <c r="U87" s="2884"/>
      <c r="V87" s="2884"/>
      <c r="W87" s="2884"/>
      <c r="X87" s="2884"/>
      <c r="Y87" s="2884"/>
      <c r="Z87" s="2884"/>
      <c r="AA87" s="2884"/>
      <c r="AB87" s="2884"/>
      <c r="AC87" s="2884"/>
    </row>
    <row r="88" spans="1:29" s="113" customFormat="1" ht="15.75" thickTop="1">
      <c r="A88" s="536"/>
      <c r="B88" s="495" t="str">
        <f>B26</f>
        <v>平面位置/可视性</v>
      </c>
      <c r="C88" s="511"/>
      <c r="D88" s="511"/>
      <c r="E88" s="511"/>
      <c r="F88" s="2113"/>
      <c r="G88" s="511"/>
      <c r="H88" s="511"/>
      <c r="I88" s="511"/>
      <c r="J88" s="511"/>
      <c r="K88" s="511"/>
      <c r="L88" s="511"/>
      <c r="M88" s="538"/>
      <c r="N88" s="2976"/>
      <c r="O88" s="2976"/>
      <c r="P88" s="2968"/>
      <c r="Q88" s="2963"/>
      <c r="R88" s="2884"/>
      <c r="S88" s="2884"/>
      <c r="T88" s="2884"/>
      <c r="U88" s="2884"/>
      <c r="V88" s="2884"/>
      <c r="W88" s="2884"/>
      <c r="X88" s="2884"/>
      <c r="Y88" s="2884"/>
      <c r="Z88" s="2884"/>
      <c r="AA88" s="2884"/>
      <c r="AB88" s="2884"/>
      <c r="AC88" s="2884"/>
    </row>
    <row r="89" spans="1:29" s="113" customFormat="1" ht="15.75" thickBot="1">
      <c r="A89" s="536"/>
      <c r="B89" s="500"/>
      <c r="C89" s="517"/>
      <c r="D89" s="493"/>
      <c r="E89" s="493"/>
      <c r="F89" s="493"/>
      <c r="G89" s="493"/>
      <c r="H89" s="493"/>
      <c r="I89" s="493"/>
      <c r="J89" s="493"/>
      <c r="K89" s="493"/>
      <c r="L89" s="493"/>
      <c r="M89" s="493"/>
      <c r="N89" s="2978"/>
      <c r="O89" s="2978"/>
      <c r="P89" s="2968"/>
      <c r="Q89" s="2963"/>
      <c r="R89" s="2884"/>
      <c r="S89" s="2884"/>
      <c r="T89" s="2884"/>
      <c r="U89" s="2884"/>
      <c r="V89" s="2884"/>
      <c r="W89" s="2884"/>
      <c r="X89" s="2884"/>
      <c r="Y89" s="2884"/>
      <c r="Z89" s="2884"/>
      <c r="AA89" s="2884"/>
      <c r="AB89" s="2884"/>
      <c r="AC89" s="2884"/>
    </row>
    <row r="90" spans="1:29" s="430" customFormat="1" ht="15.75" thickTop="1">
      <c r="A90" s="510"/>
      <c r="B90" s="495" t="str">
        <f>B27</f>
        <v>人流量</v>
      </c>
      <c r="C90" s="511"/>
      <c r="D90" s="511"/>
      <c r="E90" s="511"/>
      <c r="F90" s="511"/>
      <c r="G90" s="511"/>
      <c r="H90" s="512"/>
      <c r="I90" s="512"/>
      <c r="J90" s="512"/>
      <c r="K90" s="512"/>
      <c r="L90" s="513"/>
      <c r="M90" s="514"/>
      <c r="N90" s="2979"/>
      <c r="O90" s="2979"/>
      <c r="P90" s="2969"/>
      <c r="Q90" s="2970"/>
      <c r="R90" s="2971"/>
      <c r="S90" s="2971"/>
      <c r="T90" s="2971"/>
      <c r="U90" s="2971"/>
      <c r="V90" s="2971"/>
      <c r="W90" s="2971"/>
      <c r="X90" s="2971"/>
      <c r="Y90" s="2971"/>
      <c r="Z90" s="2971"/>
      <c r="AA90" s="2971"/>
      <c r="AB90" s="2971"/>
      <c r="AC90" s="297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9"/>
      <c r="O91" s="2979"/>
      <c r="P91" s="2969"/>
      <c r="Q91" s="2970"/>
      <c r="R91" s="2971"/>
      <c r="S91" s="2971"/>
      <c r="T91" s="2971"/>
      <c r="U91" s="2971"/>
      <c r="V91" s="2971"/>
      <c r="W91" s="2971"/>
      <c r="X91" s="2971"/>
      <c r="Y91" s="2971"/>
      <c r="Z91" s="2971"/>
      <c r="AA91" s="2971"/>
      <c r="AB91" s="2971"/>
      <c r="AC91" s="2971"/>
    </row>
    <row r="92" spans="1:29" ht="15.75" thickTop="1">
      <c r="A92" s="491"/>
      <c r="B92" s="495" t="str">
        <f>B28</f>
        <v>楼层</v>
      </c>
      <c r="C92" s="511"/>
      <c r="D92" s="511"/>
      <c r="E92" s="511"/>
      <c r="F92" s="511"/>
      <c r="G92" s="511"/>
      <c r="H92" s="511"/>
      <c r="I92" s="511"/>
      <c r="J92" s="511"/>
      <c r="K92" s="511"/>
      <c r="L92" s="537"/>
      <c r="M92" s="538"/>
      <c r="N92" s="2977"/>
      <c r="O92" s="2977"/>
      <c r="P92" s="2968"/>
      <c r="Q92" s="2963"/>
      <c r="R92" s="2949"/>
      <c r="S92" s="2949"/>
      <c r="T92" s="2949"/>
      <c r="U92" s="2949"/>
      <c r="V92" s="2949"/>
      <c r="W92" s="2949"/>
      <c r="X92" s="2949"/>
      <c r="Y92" s="2949"/>
      <c r="Z92" s="2949"/>
      <c r="AA92" s="2949"/>
      <c r="AB92" s="2949"/>
      <c r="AC92" s="2949"/>
    </row>
    <row r="93" spans="1:29" ht="15.75" thickBot="1">
      <c r="A93" s="491"/>
      <c r="B93" s="500"/>
      <c r="C93" s="493"/>
      <c r="D93" s="493"/>
      <c r="E93" s="493"/>
      <c r="F93" s="493"/>
      <c r="G93" s="493"/>
      <c r="H93" s="493"/>
      <c r="I93" s="493"/>
      <c r="J93" s="493"/>
      <c r="K93" s="493"/>
      <c r="L93" s="493"/>
      <c r="M93" s="494"/>
      <c r="N93" s="2978"/>
      <c r="O93" s="2978"/>
      <c r="P93" s="2968"/>
      <c r="Q93" s="2963"/>
      <c r="R93" s="2949"/>
      <c r="S93" s="2949"/>
      <c r="T93" s="2949"/>
      <c r="U93" s="2949"/>
      <c r="V93" s="2949"/>
      <c r="W93" s="2949"/>
      <c r="X93" s="2949"/>
      <c r="Y93" s="2949"/>
      <c r="Z93" s="2949"/>
      <c r="AA93" s="2949"/>
      <c r="AB93" s="2949"/>
      <c r="AC93" s="2949"/>
    </row>
    <row r="94" spans="1:29" ht="15.75" thickTop="1">
      <c r="A94" s="491"/>
      <c r="B94" s="495">
        <f>B29</f>
        <v>111</v>
      </c>
      <c r="C94" s="511"/>
      <c r="D94" s="511"/>
      <c r="E94" s="511"/>
      <c r="F94" s="511"/>
      <c r="G94" s="540"/>
      <c r="H94" s="540"/>
      <c r="I94" s="540"/>
      <c r="J94" s="540"/>
      <c r="K94" s="541"/>
      <c r="L94" s="542"/>
      <c r="M94" s="543"/>
      <c r="N94" s="2977"/>
      <c r="O94" s="2977"/>
      <c r="P94" s="2968"/>
      <c r="Q94" s="2963"/>
      <c r="R94" s="2949"/>
      <c r="S94" s="2949"/>
      <c r="T94" s="2949"/>
      <c r="U94" s="2949"/>
      <c r="V94" s="2949"/>
      <c r="W94" s="2949"/>
      <c r="X94" s="2949"/>
      <c r="Y94" s="2949"/>
      <c r="Z94" s="2949"/>
      <c r="AA94" s="2949"/>
      <c r="AB94" s="2949"/>
      <c r="AC94" s="2949"/>
    </row>
    <row r="95" spans="1:29" ht="15.75" thickBot="1">
      <c r="A95" s="491"/>
      <c r="B95" s="500"/>
      <c r="C95" s="517"/>
      <c r="D95" s="493"/>
      <c r="E95" s="493"/>
      <c r="F95" s="493"/>
      <c r="G95" s="493"/>
      <c r="H95" s="493"/>
      <c r="I95" s="493"/>
      <c r="J95" s="493"/>
      <c r="K95" s="493"/>
      <c r="L95" s="493"/>
      <c r="M95" s="494"/>
      <c r="N95" s="2978"/>
      <c r="O95" s="2978"/>
      <c r="P95" s="2968"/>
      <c r="Q95" s="2963"/>
      <c r="R95" s="2949"/>
      <c r="S95" s="2949"/>
      <c r="T95" s="2949"/>
      <c r="U95" s="2949"/>
      <c r="V95" s="2949"/>
      <c r="W95" s="2949"/>
      <c r="X95" s="2949"/>
      <c r="Y95" s="2949"/>
      <c r="Z95" s="2949"/>
      <c r="AA95" s="2949"/>
      <c r="AB95" s="2949"/>
      <c r="AC95" s="2949"/>
    </row>
    <row r="96" spans="1:29" ht="15.75" thickTop="1">
      <c r="A96" s="491"/>
      <c r="B96" s="495">
        <f>B30</f>
        <v>111</v>
      </c>
      <c r="C96" s="511"/>
      <c r="D96" s="511"/>
      <c r="E96" s="511"/>
      <c r="F96" s="511"/>
      <c r="G96" s="540"/>
      <c r="H96" s="540"/>
      <c r="I96" s="540"/>
      <c r="J96" s="540"/>
      <c r="K96" s="541"/>
      <c r="L96" s="542"/>
      <c r="M96" s="543"/>
      <c r="N96" s="2977"/>
      <c r="O96" s="2977"/>
      <c r="P96" s="2968"/>
      <c r="Q96" s="2963"/>
      <c r="R96" s="2949"/>
      <c r="S96" s="2949"/>
      <c r="T96" s="2949"/>
      <c r="U96" s="2949"/>
      <c r="V96" s="2949"/>
      <c r="W96" s="2949"/>
      <c r="X96" s="2949"/>
      <c r="Y96" s="2949"/>
      <c r="Z96" s="2949"/>
      <c r="AA96" s="2949"/>
      <c r="AB96" s="2949"/>
      <c r="AC96" s="2949"/>
    </row>
    <row r="97" spans="1:29" ht="15.75" thickBot="1">
      <c r="A97" s="491"/>
      <c r="B97" s="500"/>
      <c r="C97" s="517"/>
      <c r="D97" s="493"/>
      <c r="E97" s="493"/>
      <c r="F97" s="493"/>
      <c r="G97" s="493"/>
      <c r="H97" s="493"/>
      <c r="I97" s="493"/>
      <c r="J97" s="493"/>
      <c r="K97" s="493"/>
      <c r="L97" s="493"/>
      <c r="M97" s="494"/>
      <c r="N97" s="2978"/>
      <c r="O97" s="2978"/>
      <c r="P97" s="2968"/>
      <c r="Q97" s="2963"/>
      <c r="R97" s="2949"/>
      <c r="S97" s="2949"/>
      <c r="T97" s="2949"/>
      <c r="U97" s="2949"/>
      <c r="V97" s="2949"/>
      <c r="W97" s="2949"/>
      <c r="X97" s="2949"/>
      <c r="Y97" s="2949"/>
      <c r="Z97" s="2949"/>
      <c r="AA97" s="2949"/>
      <c r="AB97" s="2949"/>
      <c r="AC97" s="2949"/>
    </row>
    <row r="98" spans="1:29" ht="15.75" thickTop="1">
      <c r="A98" s="491"/>
      <c r="B98" s="503">
        <f>B31</f>
        <v>111</v>
      </c>
      <c r="C98" s="511"/>
      <c r="D98" s="511"/>
      <c r="E98" s="511"/>
      <c r="F98" s="511"/>
      <c r="G98" s="544"/>
      <c r="H98" s="544"/>
      <c r="I98" s="544"/>
      <c r="J98" s="544"/>
      <c r="K98" s="545"/>
      <c r="L98" s="546"/>
      <c r="M98" s="547"/>
      <c r="N98" s="2977"/>
      <c r="O98" s="2977"/>
      <c r="P98" s="2968"/>
      <c r="Q98" s="2963"/>
      <c r="R98" s="2949"/>
      <c r="S98" s="2949"/>
      <c r="T98" s="2949"/>
      <c r="U98" s="2949"/>
      <c r="V98" s="2949"/>
      <c r="W98" s="2949"/>
      <c r="X98" s="2949"/>
      <c r="Y98" s="2949"/>
      <c r="Z98" s="2949"/>
      <c r="AA98" s="2949"/>
      <c r="AB98" s="2949"/>
      <c r="AC98" s="2949"/>
    </row>
    <row r="99" spans="1:29" ht="15.75" thickBot="1">
      <c r="A99" s="2114"/>
      <c r="B99" s="526"/>
      <c r="C99" s="527"/>
      <c r="D99" s="527"/>
      <c r="E99" s="527"/>
      <c r="F99" s="527"/>
      <c r="G99" s="548"/>
      <c r="H99" s="548"/>
      <c r="I99" s="548"/>
      <c r="J99" s="548"/>
      <c r="K99" s="548"/>
      <c r="L99" s="548"/>
      <c r="M99" s="549"/>
      <c r="N99" s="2978"/>
      <c r="O99" s="2978"/>
      <c r="P99" s="2968"/>
      <c r="Q99" s="2963"/>
      <c r="R99" s="2949"/>
      <c r="S99" s="2949"/>
      <c r="T99" s="2949"/>
      <c r="U99" s="2949"/>
      <c r="V99" s="2949"/>
      <c r="W99" s="2949"/>
      <c r="X99" s="2949"/>
      <c r="Y99" s="2949"/>
      <c r="Z99" s="2949"/>
      <c r="AA99" s="2949"/>
      <c r="AB99" s="2949"/>
      <c r="AC99" s="2949"/>
    </row>
    <row r="100" spans="1:29">
      <c r="A100" s="484" t="s">
        <v>2384</v>
      </c>
      <c r="B100" s="485" t="s">
        <v>2502</v>
      </c>
      <c r="C100" s="487"/>
      <c r="D100" s="487"/>
      <c r="E100" s="487"/>
      <c r="F100" s="487"/>
      <c r="G100" s="487"/>
      <c r="H100" s="487"/>
      <c r="I100" s="487"/>
      <c r="J100" s="487"/>
      <c r="K100" s="488"/>
      <c r="L100" s="489"/>
      <c r="M100" s="490"/>
      <c r="N100" s="2977"/>
      <c r="O100" s="2977"/>
      <c r="P100" s="2968"/>
      <c r="Q100" s="2963"/>
      <c r="R100" s="2949"/>
      <c r="S100" s="2949"/>
      <c r="T100" s="2949"/>
      <c r="U100" s="2949"/>
      <c r="V100" s="2949"/>
      <c r="W100" s="2949"/>
      <c r="X100" s="2949"/>
      <c r="Y100" s="2949"/>
      <c r="Z100" s="2949"/>
      <c r="AA100" s="2949"/>
      <c r="AB100" s="2949"/>
      <c r="AC100" s="294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8"/>
      <c r="O101" s="2978"/>
      <c r="P101" s="2968"/>
      <c r="Q101" s="2963"/>
      <c r="R101" s="2949"/>
      <c r="S101" s="2949"/>
      <c r="T101" s="2949"/>
      <c r="U101" s="2949"/>
      <c r="V101" s="2949"/>
      <c r="W101" s="2949"/>
      <c r="X101" s="2949"/>
      <c r="Y101" s="2949"/>
      <c r="Z101" s="2949"/>
      <c r="AA101" s="2949"/>
      <c r="AB101" s="2949"/>
      <c r="AC101" s="2949"/>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30" customFormat="1">
      <c r="A103" s="550"/>
      <c r="B103" s="551"/>
      <c r="C103" s="552"/>
      <c r="D103" s="552"/>
      <c r="E103" s="552"/>
      <c r="F103" s="552"/>
      <c r="G103" s="552"/>
      <c r="H103" s="552"/>
      <c r="I103" s="552"/>
      <c r="J103" s="553"/>
      <c r="K103" s="553"/>
      <c r="L103" s="554"/>
      <c r="M103" s="555"/>
      <c r="N103" s="2979"/>
      <c r="O103" s="2979"/>
      <c r="P103" s="2969"/>
      <c r="Q103" s="2970"/>
      <c r="R103" s="2971"/>
      <c r="S103" s="2971"/>
      <c r="T103" s="2971"/>
      <c r="U103" s="2971"/>
      <c r="V103" s="2971"/>
      <c r="W103" s="2971"/>
      <c r="X103" s="2971"/>
      <c r="Y103" s="2971"/>
      <c r="Z103" s="2971"/>
      <c r="AA103" s="2971"/>
      <c r="AB103" s="2971"/>
      <c r="AC103" s="2971"/>
    </row>
    <row r="104" spans="1:29" s="430" customFormat="1" ht="15.75" thickBot="1">
      <c r="A104" s="510"/>
      <c r="B104" s="500"/>
      <c r="C104" s="517"/>
      <c r="D104" s="493"/>
      <c r="E104" s="493"/>
      <c r="F104" s="493"/>
      <c r="G104" s="493"/>
      <c r="H104" s="493"/>
      <c r="I104" s="493"/>
      <c r="J104" s="493"/>
      <c r="K104" s="493"/>
      <c r="L104" s="493"/>
      <c r="M104" s="494"/>
      <c r="N104" s="2978"/>
      <c r="O104" s="2978"/>
      <c r="P104" s="2969"/>
      <c r="Q104" s="2970"/>
      <c r="R104" s="2971"/>
      <c r="S104" s="2971"/>
      <c r="T104" s="2971"/>
      <c r="U104" s="2971"/>
      <c r="V104" s="2971"/>
      <c r="W104" s="2971"/>
      <c r="X104" s="2971"/>
      <c r="Y104" s="2971"/>
      <c r="Z104" s="2971"/>
      <c r="AA104" s="2971"/>
      <c r="AB104" s="2971"/>
      <c r="AC104" s="2971"/>
    </row>
    <row r="105" spans="1:29" ht="15" thickTop="1">
      <c r="A105" s="556"/>
      <c r="B105" s="495" t="s">
        <v>2435</v>
      </c>
      <c r="C105" s="511"/>
      <c r="D105" s="511"/>
      <c r="E105" s="540"/>
      <c r="F105" s="540"/>
      <c r="G105" s="540"/>
      <c r="H105" s="540"/>
      <c r="I105" s="540"/>
      <c r="J105" s="540"/>
      <c r="K105" s="541"/>
      <c r="L105" s="542"/>
      <c r="M105" s="543"/>
      <c r="N105" s="2977"/>
      <c r="O105" s="2977"/>
      <c r="P105" s="2968"/>
      <c r="Q105" s="2963"/>
      <c r="R105" s="2949"/>
      <c r="S105" s="2949"/>
      <c r="T105" s="2949"/>
      <c r="U105" s="2949"/>
      <c r="V105" s="2949"/>
      <c r="W105" s="2949"/>
      <c r="X105" s="2949"/>
      <c r="Y105" s="2949"/>
      <c r="Z105" s="2949"/>
      <c r="AA105" s="2949"/>
      <c r="AB105" s="2949"/>
      <c r="AC105" s="294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6"/>
      <c r="B107" s="495" t="s">
        <v>2437</v>
      </c>
      <c r="C107" s="511"/>
      <c r="D107" s="511"/>
      <c r="E107" s="511"/>
      <c r="F107" s="540"/>
      <c r="G107" s="540"/>
      <c r="H107" s="540"/>
      <c r="I107" s="540"/>
      <c r="J107" s="540"/>
      <c r="K107" s="541"/>
      <c r="L107" s="542"/>
      <c r="M107" s="543"/>
      <c r="N107" s="2977"/>
      <c r="O107" s="2977"/>
      <c r="P107" s="2968"/>
      <c r="Q107" s="2963"/>
      <c r="R107" s="2949"/>
      <c r="S107" s="2949"/>
      <c r="T107" s="2949"/>
      <c r="U107" s="2949"/>
      <c r="V107" s="2949"/>
      <c r="W107" s="2949"/>
      <c r="X107" s="2949"/>
      <c r="Y107" s="2949"/>
      <c r="Z107" s="2949"/>
      <c r="AA107" s="2949"/>
      <c r="AB107" s="2949"/>
      <c r="AC107" s="294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7"/>
      <c r="O109" s="2977"/>
      <c r="P109" s="2968"/>
      <c r="Q109" s="2963"/>
      <c r="R109" s="2949"/>
      <c r="S109" s="2949"/>
      <c r="T109" s="2949"/>
      <c r="U109" s="2949"/>
      <c r="V109" s="2949"/>
      <c r="W109" s="2949"/>
      <c r="X109" s="2949"/>
      <c r="Y109" s="2949"/>
      <c r="Z109" s="2949"/>
      <c r="AA109" s="2949"/>
      <c r="AB109" s="2949"/>
      <c r="AC109" s="2949"/>
    </row>
    <row r="110" spans="1:29">
      <c r="A110" s="556"/>
      <c r="B110" s="503"/>
      <c r="C110" s="560">
        <v>0.5</v>
      </c>
      <c r="D110" s="560">
        <v>0.6</v>
      </c>
      <c r="E110" s="560">
        <v>0.7</v>
      </c>
      <c r="F110" s="560">
        <v>0.8</v>
      </c>
      <c r="G110" s="560">
        <v>0.9</v>
      </c>
      <c r="H110" s="560">
        <v>1.0001</v>
      </c>
      <c r="I110" s="579"/>
      <c r="J110" s="579"/>
      <c r="K110" s="580"/>
      <c r="L110" s="581"/>
      <c r="M110" s="582"/>
      <c r="N110" s="2977"/>
      <c r="O110" s="2977"/>
      <c r="P110" s="2968"/>
      <c r="Q110" s="2963"/>
      <c r="R110" s="2949"/>
      <c r="S110" s="2949"/>
      <c r="T110" s="2949"/>
      <c r="U110" s="2949"/>
      <c r="V110" s="2949"/>
      <c r="W110" s="2949"/>
      <c r="X110" s="2949"/>
      <c r="Y110" s="2949"/>
      <c r="Z110" s="2949"/>
      <c r="AA110" s="2949"/>
      <c r="AB110" s="2949"/>
      <c r="AC110" s="294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8"/>
      <c r="O111" s="2978"/>
      <c r="P111" s="2968"/>
      <c r="Q111" s="2963"/>
      <c r="R111" s="2949"/>
      <c r="S111" s="2949"/>
      <c r="T111" s="2949"/>
      <c r="U111" s="2949"/>
      <c r="V111" s="2949"/>
      <c r="W111" s="2949"/>
      <c r="X111" s="2949"/>
      <c r="Y111" s="2949"/>
      <c r="Z111" s="2949"/>
      <c r="AA111" s="2949"/>
      <c r="AB111" s="2949"/>
      <c r="AC111" s="2949"/>
    </row>
    <row r="112" spans="1:29" s="430" customFormat="1" ht="15" thickTop="1">
      <c r="A112" s="550"/>
      <c r="B112" s="495" t="s">
        <v>2439</v>
      </c>
      <c r="C112" s="511"/>
      <c r="D112" s="511"/>
      <c r="E112" s="511"/>
      <c r="F112" s="511"/>
      <c r="G112" s="511"/>
      <c r="H112" s="540"/>
      <c r="I112" s="540"/>
      <c r="J112" s="540"/>
      <c r="K112" s="541"/>
      <c r="L112" s="542"/>
      <c r="M112" s="543"/>
      <c r="N112" s="2979"/>
      <c r="O112" s="2979"/>
      <c r="P112" s="2969"/>
      <c r="Q112" s="2970"/>
      <c r="R112" s="2971"/>
      <c r="S112" s="2971"/>
      <c r="T112" s="2971"/>
      <c r="U112" s="2971"/>
      <c r="V112" s="2971"/>
      <c r="W112" s="2971"/>
      <c r="X112" s="2971"/>
      <c r="Y112" s="2971"/>
      <c r="Z112" s="2971"/>
      <c r="AA112" s="2971"/>
      <c r="AB112" s="2971"/>
      <c r="AC112" s="297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6"/>
      <c r="B114" s="495" t="s">
        <v>2503</v>
      </c>
      <c r="C114" s="511"/>
      <c r="D114" s="511"/>
      <c r="E114" s="540"/>
      <c r="F114" s="540"/>
      <c r="G114" s="540"/>
      <c r="H114" s="540"/>
      <c r="I114" s="540"/>
      <c r="J114" s="540"/>
      <c r="K114" s="541"/>
      <c r="L114" s="542"/>
      <c r="M114" s="543"/>
      <c r="N114" s="2977"/>
      <c r="O114" s="2977"/>
      <c r="P114" s="2968"/>
      <c r="Q114" s="2963"/>
      <c r="R114" s="2949"/>
      <c r="S114" s="2949"/>
      <c r="T114" s="2949"/>
      <c r="U114" s="2949"/>
      <c r="V114" s="2949"/>
      <c r="W114" s="2949"/>
      <c r="X114" s="2949"/>
      <c r="Y114" s="2949"/>
      <c r="Z114" s="2949"/>
      <c r="AA114" s="2949"/>
      <c r="AB114" s="2949"/>
      <c r="AC114" s="294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6"/>
      <c r="B116" s="495" t="s">
        <v>2504</v>
      </c>
      <c r="C116" s="511"/>
      <c r="D116" s="511"/>
      <c r="E116" s="511"/>
      <c r="F116" s="511"/>
      <c r="G116" s="511"/>
      <c r="H116" s="540"/>
      <c r="I116" s="540"/>
      <c r="J116" s="540"/>
      <c r="K116" s="541"/>
      <c r="L116" s="542"/>
      <c r="M116" s="543"/>
      <c r="N116" s="2977"/>
      <c r="O116" s="2977"/>
      <c r="P116" s="2968"/>
      <c r="Q116" s="2963"/>
      <c r="R116" s="2949"/>
      <c r="S116" s="2949"/>
      <c r="T116" s="2949"/>
      <c r="U116" s="2949"/>
      <c r="V116" s="2949"/>
      <c r="W116" s="2949"/>
      <c r="X116" s="2949"/>
      <c r="Y116" s="2949"/>
      <c r="Z116" s="2949"/>
      <c r="AA116" s="2949"/>
      <c r="AB116" s="2949"/>
      <c r="AC116" s="294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8"/>
      <c r="O117" s="2978"/>
      <c r="P117" s="2968"/>
      <c r="Q117" s="2963"/>
      <c r="R117" s="2949"/>
      <c r="S117" s="2949"/>
      <c r="T117" s="2949"/>
      <c r="U117" s="2949"/>
      <c r="V117" s="2949"/>
      <c r="W117" s="2949"/>
      <c r="X117" s="2949"/>
      <c r="Y117" s="2949"/>
      <c r="Z117" s="2949"/>
      <c r="AA117" s="2949"/>
      <c r="AB117" s="2949"/>
      <c r="AC117" s="2949"/>
    </row>
    <row r="118" spans="1:29" ht="15" thickTop="1">
      <c r="A118" s="556"/>
      <c r="B118" s="495" t="s">
        <v>2505</v>
      </c>
      <c r="C118" s="583"/>
      <c r="D118" s="583"/>
      <c r="E118" s="583"/>
      <c r="F118" s="583"/>
      <c r="G118" s="583"/>
      <c r="H118" s="512"/>
      <c r="I118" s="512"/>
      <c r="J118" s="512"/>
      <c r="K118" s="512"/>
      <c r="L118" s="513"/>
      <c r="M118" s="514"/>
      <c r="N118" s="2977"/>
      <c r="O118" s="2977"/>
      <c r="P118" s="2968"/>
      <c r="Q118" s="2963"/>
      <c r="R118" s="2949"/>
      <c r="S118" s="2949"/>
      <c r="T118" s="2949"/>
      <c r="U118" s="2949"/>
      <c r="V118" s="2949"/>
      <c r="W118" s="2949"/>
      <c r="X118" s="2949"/>
      <c r="Y118" s="2949"/>
      <c r="Z118" s="2949"/>
      <c r="AA118" s="2949"/>
      <c r="AB118" s="2949"/>
      <c r="AC118" s="2949"/>
    </row>
    <row r="119" spans="1:29" ht="15.75" thickBot="1">
      <c r="A119" s="491"/>
      <c r="B119" s="500"/>
      <c r="C119" s="517"/>
      <c r="D119" s="493"/>
      <c r="E119" s="493"/>
      <c r="F119" s="493"/>
      <c r="G119" s="493"/>
      <c r="H119" s="493"/>
      <c r="I119" s="493"/>
      <c r="J119" s="493"/>
      <c r="K119" s="493"/>
      <c r="L119" s="493"/>
      <c r="M119" s="494"/>
      <c r="N119" s="2978"/>
      <c r="O119" s="2978"/>
      <c r="P119" s="2968"/>
      <c r="Q119" s="2963"/>
      <c r="R119" s="2949"/>
      <c r="S119" s="2949"/>
      <c r="T119" s="2949"/>
      <c r="U119" s="2949"/>
      <c r="V119" s="2949"/>
      <c r="W119" s="2949"/>
      <c r="X119" s="2949"/>
      <c r="Y119" s="2949"/>
      <c r="Z119" s="2949"/>
      <c r="AA119" s="2949"/>
      <c r="AB119" s="2949"/>
      <c r="AC119" s="2949"/>
    </row>
    <row r="120" spans="1:29" s="430" customFormat="1" ht="15" thickTop="1">
      <c r="A120" s="550"/>
      <c r="B120" s="495" t="s">
        <v>2506</v>
      </c>
      <c r="C120" s="540"/>
      <c r="D120" s="540"/>
      <c r="E120" s="540"/>
      <c r="F120" s="540"/>
      <c r="G120" s="512"/>
      <c r="H120" s="512"/>
      <c r="I120" s="512"/>
      <c r="J120" s="512"/>
      <c r="K120" s="512"/>
      <c r="L120" s="513"/>
      <c r="M120" s="514"/>
      <c r="N120" s="2979"/>
      <c r="O120" s="2979"/>
      <c r="P120" s="2969"/>
      <c r="Q120" s="2970"/>
      <c r="R120" s="2971"/>
      <c r="S120" s="2971"/>
      <c r="T120" s="2971"/>
      <c r="U120" s="2971"/>
      <c r="V120" s="2971"/>
      <c r="W120" s="2971"/>
      <c r="X120" s="2971"/>
      <c r="Y120" s="2971"/>
      <c r="Z120" s="2971"/>
      <c r="AA120" s="2971"/>
      <c r="AB120" s="2971"/>
      <c r="AC120" s="297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6"/>
      <c r="B122" s="495" t="s">
        <v>2441</v>
      </c>
      <c r="C122" s="511"/>
      <c r="D122" s="511"/>
      <c r="E122" s="511"/>
      <c r="F122" s="540"/>
      <c r="G122" s="540"/>
      <c r="H122" s="540"/>
      <c r="I122" s="540"/>
      <c r="J122" s="540"/>
      <c r="K122" s="541"/>
      <c r="L122" s="542"/>
      <c r="M122" s="543"/>
      <c r="N122" s="2977"/>
      <c r="O122" s="2977"/>
      <c r="P122" s="2968"/>
      <c r="Q122" s="2963"/>
      <c r="R122" s="2949"/>
      <c r="S122" s="2949"/>
      <c r="T122" s="2949"/>
      <c r="U122" s="2949"/>
      <c r="V122" s="2949"/>
      <c r="W122" s="2949"/>
      <c r="X122" s="2949"/>
      <c r="Y122" s="2949"/>
      <c r="Z122" s="2949"/>
      <c r="AA122" s="2949"/>
      <c r="AB122" s="2949"/>
      <c r="AC122" s="294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7"/>
      <c r="O124" s="2977"/>
      <c r="P124" s="2969"/>
      <c r="Q124" s="2963"/>
      <c r="R124" s="2949"/>
      <c r="S124" s="2949"/>
      <c r="T124" s="2949"/>
      <c r="U124" s="2949"/>
      <c r="V124" s="2949"/>
      <c r="W124" s="2949"/>
      <c r="X124" s="2949"/>
      <c r="Y124" s="2949"/>
      <c r="Z124" s="2949"/>
      <c r="AA124" s="2949"/>
      <c r="AB124" s="2949"/>
      <c r="AC124" s="294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8"/>
      <c r="O125" s="2978"/>
      <c r="P125" s="2968"/>
      <c r="Q125" s="2963"/>
      <c r="R125" s="2949"/>
      <c r="S125" s="2949"/>
      <c r="T125" s="2949"/>
      <c r="U125" s="2949"/>
      <c r="V125" s="2949"/>
      <c r="W125" s="2949"/>
      <c r="X125" s="2949"/>
      <c r="Y125" s="2949"/>
      <c r="Z125" s="2949"/>
      <c r="AA125" s="2949"/>
      <c r="AB125" s="2949"/>
      <c r="AC125" s="2949"/>
    </row>
    <row r="126" spans="1:29" s="430" customFormat="1" ht="15" thickTop="1">
      <c r="A126" s="550"/>
      <c r="B126" s="495">
        <f>B44</f>
        <v>111</v>
      </c>
      <c r="C126" s="511"/>
      <c r="D126" s="511"/>
      <c r="E126" s="511"/>
      <c r="F126" s="511"/>
      <c r="G126" s="511"/>
      <c r="H126" s="512"/>
      <c r="I126" s="512"/>
      <c r="J126" s="512"/>
      <c r="K126" s="512"/>
      <c r="L126" s="513"/>
      <c r="M126" s="514"/>
      <c r="N126" s="2979"/>
      <c r="O126" s="2979"/>
      <c r="P126" s="2969"/>
      <c r="Q126" s="2970"/>
      <c r="R126" s="2971"/>
      <c r="S126" s="2971"/>
      <c r="T126" s="2971"/>
      <c r="U126" s="2971"/>
      <c r="V126" s="2971"/>
      <c r="W126" s="2971"/>
      <c r="X126" s="2971"/>
      <c r="Y126" s="2971"/>
      <c r="Z126" s="2971"/>
      <c r="AA126" s="2971"/>
      <c r="AB126" s="2971"/>
      <c r="AC126" s="2971"/>
    </row>
    <row r="127" spans="1:29" s="430" customFormat="1" ht="15.75" thickBot="1">
      <c r="A127" s="510"/>
      <c r="B127" s="500"/>
      <c r="C127" s="517"/>
      <c r="D127" s="493"/>
      <c r="E127" s="493"/>
      <c r="F127" s="493"/>
      <c r="G127" s="517"/>
      <c r="H127" s="519"/>
      <c r="I127" s="519"/>
      <c r="J127" s="519"/>
      <c r="K127" s="519"/>
      <c r="L127" s="519"/>
      <c r="M127" s="520"/>
      <c r="N127" s="2979"/>
      <c r="O127" s="2979"/>
      <c r="P127" s="2969"/>
      <c r="Q127" s="2970"/>
      <c r="R127" s="2971"/>
      <c r="S127" s="2971"/>
      <c r="T127" s="2971"/>
      <c r="U127" s="2971"/>
      <c r="V127" s="2971"/>
      <c r="W127" s="2971"/>
      <c r="X127" s="2971"/>
      <c r="Y127" s="2971"/>
      <c r="Z127" s="2971"/>
      <c r="AA127" s="2971"/>
      <c r="AB127" s="2971"/>
      <c r="AC127" s="2971"/>
    </row>
    <row r="128" spans="1:29" ht="15" thickTop="1">
      <c r="A128" s="556"/>
      <c r="B128" s="495">
        <f>B45</f>
        <v>111</v>
      </c>
      <c r="C128" s="511"/>
      <c r="D128" s="511"/>
      <c r="E128" s="511"/>
      <c r="F128" s="511"/>
      <c r="G128" s="540"/>
      <c r="H128" s="540"/>
      <c r="I128" s="540"/>
      <c r="J128" s="540"/>
      <c r="K128" s="541"/>
      <c r="L128" s="542"/>
      <c r="M128" s="543"/>
      <c r="N128" s="2977"/>
      <c r="O128" s="2977"/>
      <c r="P128" s="2968"/>
      <c r="Q128" s="2963"/>
      <c r="R128" s="2949"/>
      <c r="S128" s="2949"/>
      <c r="T128" s="2949"/>
      <c r="U128" s="2949"/>
      <c r="V128" s="2949"/>
      <c r="W128" s="2949"/>
      <c r="X128" s="2949"/>
      <c r="Y128" s="2949"/>
      <c r="Z128" s="2949"/>
      <c r="AA128" s="2949"/>
      <c r="AB128" s="2949"/>
      <c r="AC128" s="2949"/>
    </row>
    <row r="129" spans="1:29" ht="15.75" thickBot="1">
      <c r="A129" s="491"/>
      <c r="B129" s="500"/>
      <c r="C129" s="517"/>
      <c r="D129" s="493"/>
      <c r="E129" s="493"/>
      <c r="F129" s="493"/>
      <c r="G129" s="493"/>
      <c r="H129" s="493"/>
      <c r="I129" s="493"/>
      <c r="J129" s="493"/>
      <c r="K129" s="493"/>
      <c r="L129" s="493"/>
      <c r="M129" s="494"/>
      <c r="N129" s="2978"/>
      <c r="O129" s="2978"/>
      <c r="P129" s="2968"/>
      <c r="Q129" s="2963"/>
      <c r="R129" s="2949"/>
      <c r="S129" s="2949"/>
      <c r="T129" s="2949"/>
      <c r="U129" s="2949"/>
      <c r="V129" s="2949"/>
      <c r="W129" s="2949"/>
      <c r="X129" s="2949"/>
      <c r="Y129" s="2949"/>
      <c r="Z129" s="2949"/>
      <c r="AA129" s="2949"/>
      <c r="AB129" s="2949"/>
      <c r="AC129" s="2949"/>
    </row>
    <row r="130" spans="1:29" ht="15" thickTop="1">
      <c r="A130" s="556"/>
      <c r="B130" s="503">
        <f>B46</f>
        <v>111</v>
      </c>
      <c r="C130" s="511"/>
      <c r="D130" s="511"/>
      <c r="E130" s="511"/>
      <c r="F130" s="511"/>
      <c r="G130" s="544"/>
      <c r="H130" s="544"/>
      <c r="I130" s="544"/>
      <c r="J130" s="544"/>
      <c r="K130" s="480"/>
      <c r="L130" s="481"/>
      <c r="M130" s="547"/>
      <c r="N130" s="2977"/>
      <c r="O130" s="2977"/>
      <c r="P130" s="2968"/>
      <c r="Q130" s="2963"/>
      <c r="R130" s="2949"/>
      <c r="S130" s="2949"/>
      <c r="T130" s="2949"/>
      <c r="U130" s="2949"/>
      <c r="V130" s="2949"/>
      <c r="W130" s="2949"/>
      <c r="X130" s="2949"/>
      <c r="Y130" s="2949"/>
      <c r="Z130" s="2949"/>
      <c r="AA130" s="2949"/>
      <c r="AB130" s="2949"/>
      <c r="AC130" s="2949"/>
    </row>
    <row r="131" spans="1:29" ht="15.75" thickBot="1">
      <c r="A131" s="2114"/>
      <c r="B131" s="526"/>
      <c r="C131" s="527"/>
      <c r="D131" s="527"/>
      <c r="E131" s="527"/>
      <c r="F131" s="527"/>
      <c r="G131" s="548"/>
      <c r="H131" s="548"/>
      <c r="I131" s="548"/>
      <c r="J131" s="548"/>
      <c r="K131" s="548"/>
      <c r="L131" s="548"/>
      <c r="M131" s="549"/>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V4" sqref="V4:W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58"/>
      <c r="M2" s="2959"/>
      <c r="N2" s="2959"/>
      <c r="O2" s="2959"/>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44859.7</v>
      </c>
      <c r="E3" s="2140"/>
      <c r="F3" s="1040"/>
      <c r="G3" s="1039"/>
      <c r="H3" s="1039"/>
      <c r="I3" s="1039"/>
      <c r="J3" s="1039"/>
      <c r="K3" s="1041"/>
      <c r="L3" s="2958"/>
      <c r="M3" s="2959"/>
      <c r="N3" s="2959"/>
      <c r="O3" s="2959"/>
      <c r="P3" s="708"/>
      <c r="Q3" s="708"/>
      <c r="R3" s="708"/>
      <c r="S3" s="708"/>
      <c r="T3" s="708"/>
      <c r="U3" s="708"/>
      <c r="V3" s="708"/>
      <c r="W3" s="708"/>
      <c r="X3" s="708"/>
      <c r="Y3" s="708"/>
      <c r="Z3" s="708"/>
      <c r="AA3" s="708"/>
      <c r="AB3" s="708"/>
      <c r="AC3" s="709"/>
    </row>
    <row r="4" spans="1:29" ht="15">
      <c r="A4" s="361" t="s">
        <v>2466</v>
      </c>
      <c r="B4" s="362"/>
      <c r="C4" s="3448" t="s">
        <v>2467</v>
      </c>
      <c r="D4" s="3449"/>
      <c r="E4" s="3450" t="s">
        <v>2468</v>
      </c>
      <c r="F4" s="3451"/>
      <c r="G4" s="3448" t="s">
        <v>2469</v>
      </c>
      <c r="H4" s="3449"/>
      <c r="I4" s="3448" t="s">
        <v>2470</v>
      </c>
      <c r="J4" s="3449"/>
      <c r="K4" s="567" t="s">
        <v>2471</v>
      </c>
      <c r="L4" s="2939"/>
      <c r="M4" s="2940"/>
      <c r="N4" s="2940"/>
      <c r="O4" s="2940"/>
      <c r="P4" s="3536" t="s">
        <v>2472</v>
      </c>
      <c r="Q4" s="3537"/>
      <c r="R4" s="3531" t="s">
        <v>2468</v>
      </c>
      <c r="S4" s="3532"/>
      <c r="T4" s="3531" t="s">
        <v>2469</v>
      </c>
      <c r="U4" s="3532"/>
      <c r="V4" s="3540" t="s">
        <v>2470</v>
      </c>
      <c r="W4" s="3540"/>
      <c r="X4" s="2144"/>
      <c r="Y4" s="3531" t="s">
        <v>2472</v>
      </c>
      <c r="Z4" s="3532"/>
      <c r="AA4" s="3530" t="s">
        <v>2468</v>
      </c>
      <c r="AB4" s="3530" t="s">
        <v>2469</v>
      </c>
      <c r="AC4" s="3533" t="s">
        <v>2470</v>
      </c>
    </row>
    <row r="5" spans="1:29" ht="15">
      <c r="A5" s="364"/>
      <c r="B5" s="365"/>
      <c r="C5" s="3441" t="s">
        <v>2363</v>
      </c>
      <c r="D5" s="3442"/>
      <c r="E5" s="3439" t="s">
        <v>2364</v>
      </c>
      <c r="F5" s="3440"/>
      <c r="G5" s="3441" t="s">
        <v>2365</v>
      </c>
      <c r="H5" s="3442"/>
      <c r="I5" s="3441" t="s">
        <v>2366</v>
      </c>
      <c r="J5" s="3442"/>
      <c r="K5" s="567"/>
      <c r="L5" s="2939"/>
      <c r="M5" s="2940"/>
      <c r="N5" s="2940"/>
      <c r="O5" s="2940"/>
      <c r="P5" s="3538"/>
      <c r="Q5" s="3455"/>
      <c r="R5" s="3437"/>
      <c r="S5" s="3438"/>
      <c r="T5" s="3437"/>
      <c r="U5" s="3438"/>
      <c r="V5" s="3460"/>
      <c r="W5" s="3460"/>
      <c r="X5" s="1540"/>
      <c r="Y5" s="3437"/>
      <c r="Z5" s="3438"/>
      <c r="AA5" s="3431"/>
      <c r="AB5" s="3431"/>
      <c r="AC5" s="3534"/>
    </row>
    <row r="6" spans="1:29" ht="15.75" thickBot="1">
      <c r="A6" s="366"/>
      <c r="B6" s="367"/>
      <c r="C6" s="3443" t="s">
        <v>2367</v>
      </c>
      <c r="D6" s="3444"/>
      <c r="E6" s="3445" t="s">
        <v>2367</v>
      </c>
      <c r="F6" s="3446"/>
      <c r="G6" s="3443" t="s">
        <v>2367</v>
      </c>
      <c r="H6" s="3444"/>
      <c r="I6" s="3443" t="s">
        <v>2367</v>
      </c>
      <c r="J6" s="3444"/>
      <c r="K6" s="567" t="s">
        <v>2368</v>
      </c>
      <c r="L6" s="2939"/>
      <c r="M6" s="2940"/>
      <c r="N6" s="2940"/>
      <c r="O6" s="2940"/>
      <c r="P6" s="3539"/>
      <c r="Q6" s="3457"/>
      <c r="R6" s="3437"/>
      <c r="S6" s="3438"/>
      <c r="T6" s="3458"/>
      <c r="U6" s="3459"/>
      <c r="V6" s="3460"/>
      <c r="W6" s="3460"/>
      <c r="X6" s="1540"/>
      <c r="Y6" s="3458"/>
      <c r="Z6" s="3459"/>
      <c r="AA6" s="3432"/>
      <c r="AB6" s="3432"/>
      <c r="AC6" s="3535"/>
    </row>
    <row r="7" spans="1:29" s="113" customFormat="1" ht="15.75" thickBot="1">
      <c r="A7" s="368" t="s">
        <v>2369</v>
      </c>
      <c r="B7" s="369"/>
      <c r="C7" s="370">
        <f>'数据-取费表'!B2</f>
        <v>44280</v>
      </c>
      <c r="D7" s="371">
        <v>100</v>
      </c>
      <c r="E7" s="372"/>
      <c r="F7" s="373">
        <f>SUMIF(59:59,YEAR(E7)&amp;"-"&amp;MONTH(E7),60:60)</f>
        <v>0</v>
      </c>
      <c r="G7" s="372"/>
      <c r="H7" s="371">
        <f>SUMIF(59:59,YEAR(G7)&amp;"-"&amp;MONTH(G7),60:60)</f>
        <v>0</v>
      </c>
      <c r="I7" s="372"/>
      <c r="J7" s="371">
        <f>SUMIF(59:59,YEAR(I7)&amp;"-"&amp;MONTH(I7),60:60)</f>
        <v>0</v>
      </c>
      <c r="K7" s="568"/>
      <c r="L7" s="2941"/>
      <c r="M7" s="2942"/>
      <c r="N7" s="2942"/>
      <c r="O7" s="2942"/>
      <c r="P7" s="3541" t="s">
        <v>2370</v>
      </c>
      <c r="Q7" s="3461"/>
      <c r="R7" s="710" t="s">
        <v>17</v>
      </c>
      <c r="S7" s="711">
        <f t="shared" ref="S7:S15" si="0">F7</f>
        <v>0</v>
      </c>
      <c r="T7" s="710" t="s">
        <v>17</v>
      </c>
      <c r="U7" s="711">
        <f t="shared" ref="U7:U15" si="1">H7</f>
        <v>0</v>
      </c>
      <c r="V7" s="710" t="s">
        <v>17</v>
      </c>
      <c r="W7" s="711">
        <f t="shared" ref="W7:W15" si="2">J7</f>
        <v>0</v>
      </c>
      <c r="X7" s="712"/>
      <c r="Y7" s="3433" t="s">
        <v>2370</v>
      </c>
      <c r="Z7" s="3434"/>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1"/>
      <c r="M8" s="2942"/>
      <c r="N8" s="2942"/>
      <c r="O8" s="2942"/>
      <c r="P8" s="3541" t="s">
        <v>2373</v>
      </c>
      <c r="Q8" s="3434"/>
      <c r="R8" s="710" t="s">
        <v>17</v>
      </c>
      <c r="S8" s="711">
        <f t="shared" si="0"/>
        <v>0</v>
      </c>
      <c r="T8" s="710" t="s">
        <v>17</v>
      </c>
      <c r="U8" s="711">
        <f t="shared" si="1"/>
        <v>0</v>
      </c>
      <c r="V8" s="710" t="s">
        <v>17</v>
      </c>
      <c r="W8" s="711">
        <f t="shared" si="2"/>
        <v>0</v>
      </c>
      <c r="X8" s="712"/>
      <c r="Y8" s="3433" t="s">
        <v>2373</v>
      </c>
      <c r="Z8" s="3434"/>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1"/>
      <c r="M9" s="2942"/>
      <c r="N9" s="2942"/>
      <c r="O9" s="2942"/>
      <c r="P9" s="3471" t="s">
        <v>2376</v>
      </c>
      <c r="Q9" s="1528" t="str">
        <f t="shared" ref="Q9:Q15" si="6">B9</f>
        <v>用途</v>
      </c>
      <c r="R9" s="710" t="s">
        <v>17</v>
      </c>
      <c r="S9" s="711">
        <f t="shared" si="0"/>
        <v>100</v>
      </c>
      <c r="T9" s="710" t="s">
        <v>17</v>
      </c>
      <c r="U9" s="711">
        <f t="shared" si="1"/>
        <v>100</v>
      </c>
      <c r="V9" s="710" t="s">
        <v>17</v>
      </c>
      <c r="W9" s="711">
        <f t="shared" si="2"/>
        <v>100</v>
      </c>
      <c r="X9" s="712"/>
      <c r="Y9" s="3399"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3"/>
      <c r="M10" s="2944"/>
      <c r="N10" s="2944"/>
      <c r="O10" s="2944"/>
      <c r="P10" s="3471"/>
      <c r="Q10" s="152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5"/>
      <c r="M11" s="2940"/>
      <c r="N11" s="2940"/>
      <c r="O11" s="2940"/>
      <c r="P11" s="3471"/>
      <c r="Q11" s="152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1"/>
      <c r="M12" s="2942"/>
      <c r="N12" s="2942"/>
      <c r="O12" s="2942"/>
      <c r="P12" s="3471"/>
      <c r="Q12" s="152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6"/>
      <c r="M13" s="2940"/>
      <c r="N13" s="2940"/>
      <c r="O13" s="2940"/>
      <c r="P13" s="3471"/>
      <c r="Q13" s="152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6"/>
      <c r="M14" s="2940"/>
      <c r="N14" s="2940"/>
      <c r="O14" s="2940"/>
      <c r="P14" s="3471"/>
      <c r="Q14" s="152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2145">
        <f t="shared" si="5"/>
        <v>1</v>
      </c>
    </row>
    <row r="15" spans="1:29" ht="15">
      <c r="A15" s="399" t="s">
        <v>2380</v>
      </c>
      <c r="B15" s="585" t="s">
        <v>2508</v>
      </c>
      <c r="C15" s="214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46"/>
      <c r="M15" s="2940"/>
      <c r="N15" s="2940"/>
      <c r="O15" s="2940"/>
      <c r="P15" s="3528" t="s">
        <v>2381</v>
      </c>
      <c r="Q15" s="1537" t="str">
        <f t="shared" si="6"/>
        <v>办公集聚程度</v>
      </c>
      <c r="R15" s="714" t="s">
        <v>17</v>
      </c>
      <c r="S15" s="715">
        <f t="shared" si="0"/>
        <v>100</v>
      </c>
      <c r="T15" s="714" t="s">
        <v>17</v>
      </c>
      <c r="U15" s="715">
        <f t="shared" si="1"/>
        <v>100</v>
      </c>
      <c r="V15" s="714" t="s">
        <v>17</v>
      </c>
      <c r="W15" s="715">
        <f t="shared" si="2"/>
        <v>100</v>
      </c>
      <c r="X15" s="1540"/>
      <c r="Y15" s="3462" t="s">
        <v>2381</v>
      </c>
      <c r="Z15" s="1541" t="str">
        <f t="shared" si="7"/>
        <v>办公集聚程度</v>
      </c>
      <c r="AA15" s="1538">
        <f t="shared" si="3"/>
        <v>1</v>
      </c>
      <c r="AB15" s="1538">
        <f t="shared" si="4"/>
        <v>1</v>
      </c>
      <c r="AC15" s="2148">
        <f t="shared" si="5"/>
        <v>1</v>
      </c>
    </row>
    <row r="16" spans="1:29" ht="15">
      <c r="A16" s="387"/>
      <c r="B16" s="586"/>
      <c r="C16" s="2090"/>
      <c r="D16" s="407"/>
      <c r="E16" s="406"/>
      <c r="F16" s="407"/>
      <c r="G16" s="2090"/>
      <c r="H16" s="409"/>
      <c r="I16" s="406"/>
      <c r="J16" s="407"/>
      <c r="K16" s="572"/>
      <c r="L16" s="2946"/>
      <c r="M16" s="2940"/>
      <c r="N16" s="2940"/>
      <c r="O16" s="2940"/>
      <c r="P16" s="3529"/>
      <c r="Q16" s="1537"/>
      <c r="R16" s="714"/>
      <c r="S16" s="715"/>
      <c r="T16" s="714"/>
      <c r="U16" s="715"/>
      <c r="V16" s="714"/>
      <c r="W16" s="715"/>
      <c r="X16" s="1540"/>
      <c r="Y16" s="3463"/>
      <c r="Z16" s="1541"/>
      <c r="AA16" s="1538">
        <v>1</v>
      </c>
      <c r="AB16" s="1538">
        <v>1</v>
      </c>
      <c r="AC16" s="2148">
        <v>1</v>
      </c>
    </row>
    <row r="17" spans="1:29" ht="15">
      <c r="A17" s="387"/>
      <c r="B17" s="587" t="s">
        <v>1945</v>
      </c>
      <c r="C17" s="2149"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46"/>
      <c r="M17" s="2940"/>
      <c r="N17" s="2940"/>
      <c r="O17" s="2940"/>
      <c r="P17" s="3529"/>
      <c r="Q17" s="1537" t="str">
        <f>B17</f>
        <v>交通便捷度</v>
      </c>
      <c r="R17" s="714" t="s">
        <v>17</v>
      </c>
      <c r="S17" s="715">
        <f>F17</f>
        <v>100</v>
      </c>
      <c r="T17" s="714" t="s">
        <v>17</v>
      </c>
      <c r="U17" s="715">
        <f>H17</f>
        <v>100</v>
      </c>
      <c r="V17" s="714" t="s">
        <v>17</v>
      </c>
      <c r="W17" s="715">
        <f>J17</f>
        <v>100</v>
      </c>
      <c r="X17" s="1540"/>
      <c r="Y17" s="3463"/>
      <c r="Z17" s="1541" t="str">
        <f>Q17</f>
        <v>交通便捷度</v>
      </c>
      <c r="AA17" s="1538">
        <f t="shared" si="3"/>
        <v>1</v>
      </c>
      <c r="AB17" s="1538">
        <f t="shared" si="4"/>
        <v>1</v>
      </c>
      <c r="AC17" s="2148">
        <f t="shared" si="5"/>
        <v>1</v>
      </c>
    </row>
    <row r="18" spans="1:29" ht="15">
      <c r="A18" s="387"/>
      <c r="B18" s="588"/>
      <c r="C18" s="2150"/>
      <c r="D18" s="409"/>
      <c r="E18" s="2088"/>
      <c r="F18" s="409"/>
      <c r="G18" s="2089"/>
      <c r="H18" s="407"/>
      <c r="I18" s="2089"/>
      <c r="J18" s="407"/>
      <c r="K18" s="572"/>
      <c r="L18" s="2946"/>
      <c r="M18" s="2940"/>
      <c r="N18" s="2940"/>
      <c r="O18" s="2940"/>
      <c r="P18" s="3529"/>
      <c r="Q18" s="1537"/>
      <c r="R18" s="714"/>
      <c r="S18" s="715"/>
      <c r="T18" s="714"/>
      <c r="U18" s="715"/>
      <c r="V18" s="714"/>
      <c r="W18" s="715"/>
      <c r="X18" s="1540"/>
      <c r="Y18" s="3463"/>
      <c r="Z18" s="1541"/>
      <c r="AA18" s="1538">
        <v>1</v>
      </c>
      <c r="AB18" s="1538">
        <v>1</v>
      </c>
      <c r="AC18" s="2148">
        <v>1</v>
      </c>
    </row>
    <row r="19" spans="1:29" ht="15">
      <c r="A19" s="387"/>
      <c r="B19" s="587" t="s">
        <v>2509</v>
      </c>
      <c r="C19" s="2149"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46"/>
      <c r="M19" s="2940"/>
      <c r="N19" s="2940"/>
      <c r="O19" s="2940"/>
      <c r="P19" s="3529"/>
      <c r="Q19" s="1537" t="str">
        <f>B19</f>
        <v>公共配套设施</v>
      </c>
      <c r="R19" s="714" t="s">
        <v>17</v>
      </c>
      <c r="S19" s="715">
        <f>F19</f>
        <v>100</v>
      </c>
      <c r="T19" s="714" t="s">
        <v>17</v>
      </c>
      <c r="U19" s="715">
        <f>H19</f>
        <v>100</v>
      </c>
      <c r="V19" s="714" t="s">
        <v>17</v>
      </c>
      <c r="W19" s="715">
        <f>J19</f>
        <v>100</v>
      </c>
      <c r="X19" s="1540"/>
      <c r="Y19" s="3463"/>
      <c r="Z19" s="1541" t="str">
        <f>Q19</f>
        <v>公共配套设施</v>
      </c>
      <c r="AA19" s="1538">
        <f t="shared" si="3"/>
        <v>1</v>
      </c>
      <c r="AB19" s="1538">
        <f t="shared" si="4"/>
        <v>1</v>
      </c>
      <c r="AC19" s="2148">
        <f t="shared" si="5"/>
        <v>1</v>
      </c>
    </row>
    <row r="20" spans="1:29" ht="15">
      <c r="A20" s="387"/>
      <c r="B20" s="588"/>
      <c r="C20" s="2090"/>
      <c r="D20" s="407"/>
      <c r="E20" s="2083"/>
      <c r="F20" s="407"/>
      <c r="G20" s="2084"/>
      <c r="H20" s="407"/>
      <c r="I20" s="2084"/>
      <c r="J20" s="407"/>
      <c r="K20" s="572"/>
      <c r="L20" s="2946"/>
      <c r="M20" s="2940"/>
      <c r="N20" s="2940"/>
      <c r="O20" s="2940"/>
      <c r="P20" s="3529"/>
      <c r="Q20" s="1537"/>
      <c r="R20" s="714"/>
      <c r="S20" s="715"/>
      <c r="T20" s="714"/>
      <c r="U20" s="715"/>
      <c r="V20" s="714"/>
      <c r="W20" s="715"/>
      <c r="X20" s="1540"/>
      <c r="Y20" s="3463"/>
      <c r="Z20" s="1541"/>
      <c r="AA20" s="1538">
        <v>1</v>
      </c>
      <c r="AB20" s="1538">
        <v>1</v>
      </c>
      <c r="AC20" s="2148">
        <v>1</v>
      </c>
    </row>
    <row r="21" spans="1:29" ht="15">
      <c r="A21" s="387"/>
      <c r="B21" s="589" t="s">
        <v>2510</v>
      </c>
      <c r="C21" s="2149" t="str">
        <f>估价对象房地状况!C8</f>
        <v>六通</v>
      </c>
      <c r="D21" s="409">
        <v>100</v>
      </c>
      <c r="E21" s="418"/>
      <c r="F21" s="414">
        <f>SUMIF(83:83,E22,84:84)-SUMIF(83:83,C22,84:84)+100</f>
        <v>100</v>
      </c>
      <c r="G21" s="416"/>
      <c r="H21" s="409">
        <f>SUMIF(83:83,G22,84:84)-SUMIF(83:83,C22,84:84)+100</f>
        <v>100</v>
      </c>
      <c r="I21" s="416"/>
      <c r="J21" s="409">
        <f>SUMIF(83:83,I22,84:84)-SUMIF(83:83,C22,84:84)+100</f>
        <v>100</v>
      </c>
      <c r="K21" s="571"/>
      <c r="L21" s="2946"/>
      <c r="M21" s="2940"/>
      <c r="N21" s="2940"/>
      <c r="O21" s="2940"/>
      <c r="P21" s="3529"/>
      <c r="Q21" s="1537" t="str">
        <f>B21</f>
        <v>基础设施水平</v>
      </c>
      <c r="R21" s="714" t="s">
        <v>17</v>
      </c>
      <c r="S21" s="715">
        <f>F21</f>
        <v>100</v>
      </c>
      <c r="T21" s="714" t="s">
        <v>17</v>
      </c>
      <c r="U21" s="715">
        <f>H21</f>
        <v>100</v>
      </c>
      <c r="V21" s="714" t="s">
        <v>17</v>
      </c>
      <c r="W21" s="715">
        <f>J21</f>
        <v>100</v>
      </c>
      <c r="X21" s="1540"/>
      <c r="Y21" s="3463"/>
      <c r="Z21" s="1541" t="str">
        <f>Q21</f>
        <v>基础设施水平</v>
      </c>
      <c r="AA21" s="1538">
        <f t="shared" ref="AA21" si="8">D21/F21</f>
        <v>1</v>
      </c>
      <c r="AB21" s="1538">
        <f t="shared" ref="AB21" si="9">D21/H21</f>
        <v>1</v>
      </c>
      <c r="AC21" s="2148">
        <f t="shared" ref="AC21" si="10">D21/J21</f>
        <v>1</v>
      </c>
    </row>
    <row r="22" spans="1:29" ht="15">
      <c r="A22" s="387"/>
      <c r="B22" s="589"/>
      <c r="C22" s="2150"/>
      <c r="D22" s="407"/>
      <c r="E22" s="406"/>
      <c r="F22" s="407"/>
      <c r="G22" s="2090"/>
      <c r="H22" s="407"/>
      <c r="I22" s="2090"/>
      <c r="J22" s="407"/>
      <c r="K22" s="1292"/>
      <c r="L22" s="2946"/>
      <c r="M22" s="2940"/>
      <c r="N22" s="2940"/>
      <c r="O22" s="2940"/>
      <c r="P22" s="3529"/>
      <c r="Q22" s="1537"/>
      <c r="R22" s="714"/>
      <c r="S22" s="715"/>
      <c r="T22" s="714"/>
      <c r="U22" s="715"/>
      <c r="V22" s="714"/>
      <c r="W22" s="715"/>
      <c r="X22" s="1540"/>
      <c r="Y22" s="3463"/>
      <c r="Z22" s="1541"/>
      <c r="AA22" s="1538">
        <v>1</v>
      </c>
      <c r="AB22" s="1538">
        <v>1</v>
      </c>
      <c r="AC22" s="2148">
        <v>1</v>
      </c>
    </row>
    <row r="23" spans="1:29" ht="15">
      <c r="A23" s="387"/>
      <c r="B23" s="587" t="s">
        <v>2511</v>
      </c>
      <c r="C23" s="2149"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46"/>
      <c r="M23" s="2940"/>
      <c r="N23" s="2940"/>
      <c r="O23" s="2940"/>
      <c r="P23" s="3529"/>
      <c r="Q23" s="1537" t="str">
        <f>B23</f>
        <v>环境质量</v>
      </c>
      <c r="R23" s="714" t="s">
        <v>17</v>
      </c>
      <c r="S23" s="715">
        <f>F23</f>
        <v>100</v>
      </c>
      <c r="T23" s="714" t="s">
        <v>17</v>
      </c>
      <c r="U23" s="715">
        <f>H23</f>
        <v>100</v>
      </c>
      <c r="V23" s="714" t="s">
        <v>17</v>
      </c>
      <c r="W23" s="715">
        <f>J23</f>
        <v>100</v>
      </c>
      <c r="X23" s="1540"/>
      <c r="Y23" s="3463"/>
      <c r="Z23" s="1541" t="str">
        <f>Q23</f>
        <v>环境质量</v>
      </c>
      <c r="AA23" s="1538">
        <f t="shared" si="3"/>
        <v>1</v>
      </c>
      <c r="AB23" s="1538">
        <f t="shared" si="4"/>
        <v>1</v>
      </c>
      <c r="AC23" s="2148">
        <f t="shared" si="5"/>
        <v>1</v>
      </c>
    </row>
    <row r="24" spans="1:29" ht="15">
      <c r="A24" s="387"/>
      <c r="B24" s="589"/>
      <c r="C24" s="2090"/>
      <c r="D24" s="407"/>
      <c r="E24" s="2083"/>
      <c r="F24" s="407"/>
      <c r="G24" s="2084"/>
      <c r="H24" s="407"/>
      <c r="I24" s="2084"/>
      <c r="J24" s="407"/>
      <c r="K24" s="572"/>
      <c r="L24" s="2946"/>
      <c r="M24" s="2940"/>
      <c r="N24" s="2940"/>
      <c r="O24" s="2940"/>
      <c r="P24" s="3529"/>
      <c r="Q24" s="1537"/>
      <c r="R24" s="714"/>
      <c r="S24" s="715"/>
      <c r="T24" s="714"/>
      <c r="U24" s="715"/>
      <c r="V24" s="714"/>
      <c r="W24" s="715"/>
      <c r="X24" s="1540"/>
      <c r="Y24" s="3463"/>
      <c r="Z24" s="1541"/>
      <c r="AA24" s="1538">
        <v>1</v>
      </c>
      <c r="AB24" s="1538">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6"/>
      <c r="M25" s="2940"/>
      <c r="N25" s="2940"/>
      <c r="O25" s="2940"/>
      <c r="P25" s="3529"/>
      <c r="Q25" s="1537" t="str">
        <f>B25</f>
        <v>毗邻道路的类型与等级</v>
      </c>
      <c r="R25" s="714" t="s">
        <v>17</v>
      </c>
      <c r="S25" s="715">
        <f>F25</f>
        <v>100</v>
      </c>
      <c r="T25" s="714" t="s">
        <v>17</v>
      </c>
      <c r="U25" s="715">
        <f>H25</f>
        <v>100</v>
      </c>
      <c r="V25" s="714" t="s">
        <v>17</v>
      </c>
      <c r="W25" s="715">
        <f>J25</f>
        <v>100</v>
      </c>
      <c r="X25" s="1540"/>
      <c r="Y25" s="3463"/>
      <c r="Z25" s="1541" t="str">
        <f>Q25</f>
        <v>毗邻道路的类型与等级</v>
      </c>
      <c r="AA25" s="1538">
        <f t="shared" si="3"/>
        <v>1</v>
      </c>
      <c r="AB25" s="1538">
        <f t="shared" si="4"/>
        <v>1</v>
      </c>
      <c r="AC25" s="2148">
        <f t="shared" si="5"/>
        <v>1</v>
      </c>
    </row>
    <row r="26" spans="1:29" ht="15">
      <c r="A26" s="364"/>
      <c r="B26" s="588"/>
      <c r="C26" s="590"/>
      <c r="D26" s="394"/>
      <c r="E26" s="573"/>
      <c r="F26" s="394"/>
      <c r="G26" s="590"/>
      <c r="H26" s="394"/>
      <c r="I26" s="573"/>
      <c r="J26" s="394"/>
      <c r="K26" s="572"/>
      <c r="L26" s="2946"/>
      <c r="M26" s="2940"/>
      <c r="N26" s="2940"/>
      <c r="O26" s="2940"/>
      <c r="P26" s="3529"/>
      <c r="Q26" s="1537"/>
      <c r="R26" s="714"/>
      <c r="S26" s="715"/>
      <c r="T26" s="714"/>
      <c r="U26" s="715"/>
      <c r="V26" s="714"/>
      <c r="W26" s="715"/>
      <c r="X26" s="1540"/>
      <c r="Y26" s="3463"/>
      <c r="Z26" s="1541"/>
      <c r="AA26" s="1538">
        <v>1</v>
      </c>
      <c r="AB26" s="1538">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6"/>
      <c r="M27" s="2940"/>
      <c r="N27" s="2940"/>
      <c r="O27" s="2940"/>
      <c r="P27" s="3529"/>
      <c r="Q27" s="1537" t="str">
        <f t="shared" ref="Q27:Q47" si="11">B27</f>
        <v>楼层</v>
      </c>
      <c r="R27" s="714" t="s">
        <v>17</v>
      </c>
      <c r="S27" s="715">
        <f>F27</f>
        <v>100</v>
      </c>
      <c r="T27" s="714" t="s">
        <v>17</v>
      </c>
      <c r="U27" s="715">
        <f>H27</f>
        <v>100</v>
      </c>
      <c r="V27" s="714" t="s">
        <v>17</v>
      </c>
      <c r="W27" s="715">
        <f>J27</f>
        <v>100</v>
      </c>
      <c r="X27" s="1540"/>
      <c r="Y27" s="3463"/>
      <c r="Z27" s="1541" t="str">
        <f>Q27</f>
        <v>楼层</v>
      </c>
      <c r="AA27" s="1538">
        <f t="shared" si="3"/>
        <v>1</v>
      </c>
      <c r="AB27" s="1538">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1"/>
      <c r="M28" s="2942"/>
      <c r="N28" s="2942"/>
      <c r="O28" s="2942"/>
      <c r="P28" s="3529"/>
      <c r="Q28" s="1528" t="str">
        <f t="shared" si="11"/>
        <v>朝向</v>
      </c>
      <c r="R28" s="710" t="s">
        <v>17</v>
      </c>
      <c r="S28" s="711">
        <f>F28</f>
        <v>100</v>
      </c>
      <c r="T28" s="710" t="s">
        <v>17</v>
      </c>
      <c r="U28" s="711">
        <f>H28</f>
        <v>100</v>
      </c>
      <c r="V28" s="710" t="s">
        <v>17</v>
      </c>
      <c r="W28" s="711">
        <f>J28</f>
        <v>100</v>
      </c>
      <c r="X28" s="712"/>
      <c r="Y28" s="3463"/>
      <c r="Z28" s="55" t="str">
        <f>Q28</f>
        <v>朝向</v>
      </c>
      <c r="AA28" s="1538">
        <f>D28/F28</f>
        <v>1</v>
      </c>
      <c r="AB28" s="1538">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6"/>
      <c r="M29" s="2940"/>
      <c r="N29" s="2940"/>
      <c r="O29" s="2940"/>
      <c r="P29" s="3529"/>
      <c r="Q29" s="1537">
        <f t="shared" si="11"/>
        <v>111</v>
      </c>
      <c r="R29" s="714" t="s">
        <v>17</v>
      </c>
      <c r="S29" s="715">
        <f t="shared" ref="S29:S47" si="12">F29</f>
        <v>100</v>
      </c>
      <c r="T29" s="714" t="s">
        <v>17</v>
      </c>
      <c r="U29" s="715">
        <f t="shared" ref="U29:U47" si="13">H29</f>
        <v>100</v>
      </c>
      <c r="V29" s="714" t="s">
        <v>17</v>
      </c>
      <c r="W29" s="715">
        <f t="shared" ref="W29:W47" si="14">J29</f>
        <v>100</v>
      </c>
      <c r="X29" s="1540"/>
      <c r="Y29" s="3463"/>
      <c r="Z29" s="1541">
        <f t="shared" ref="Z29:Z47" si="15">Q29</f>
        <v>111</v>
      </c>
      <c r="AA29" s="1538">
        <f t="shared" si="3"/>
        <v>1</v>
      </c>
      <c r="AB29" s="1538">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6"/>
      <c r="M30" s="2940"/>
      <c r="N30" s="2940"/>
      <c r="O30" s="2940"/>
      <c r="P30" s="3529"/>
      <c r="Q30" s="1537">
        <f t="shared" si="11"/>
        <v>111</v>
      </c>
      <c r="R30" s="714" t="s">
        <v>17</v>
      </c>
      <c r="S30" s="715">
        <f t="shared" si="12"/>
        <v>100</v>
      </c>
      <c r="T30" s="714" t="s">
        <v>17</v>
      </c>
      <c r="U30" s="715">
        <f t="shared" si="13"/>
        <v>100</v>
      </c>
      <c r="V30" s="714" t="s">
        <v>17</v>
      </c>
      <c r="W30" s="715">
        <f t="shared" si="14"/>
        <v>100</v>
      </c>
      <c r="X30" s="1540"/>
      <c r="Y30" s="3463"/>
      <c r="Z30" s="1541">
        <f t="shared" si="15"/>
        <v>111</v>
      </c>
      <c r="AA30" s="1538">
        <f t="shared" si="3"/>
        <v>1</v>
      </c>
      <c r="AB30" s="1538">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6"/>
      <c r="M31" s="2940"/>
      <c r="N31" s="2940"/>
      <c r="O31" s="2940"/>
      <c r="P31" s="3529"/>
      <c r="Q31" s="1537">
        <f t="shared" si="11"/>
        <v>111</v>
      </c>
      <c r="R31" s="714" t="s">
        <v>17</v>
      </c>
      <c r="S31" s="715">
        <f t="shared" si="12"/>
        <v>100</v>
      </c>
      <c r="T31" s="714" t="s">
        <v>17</v>
      </c>
      <c r="U31" s="715">
        <f t="shared" si="13"/>
        <v>100</v>
      </c>
      <c r="V31" s="714" t="s">
        <v>17</v>
      </c>
      <c r="W31" s="715">
        <f t="shared" si="14"/>
        <v>100</v>
      </c>
      <c r="X31" s="1540"/>
      <c r="Y31" s="3463"/>
      <c r="Z31" s="1541">
        <f t="shared" si="15"/>
        <v>111</v>
      </c>
      <c r="AA31" s="1538">
        <f t="shared" si="3"/>
        <v>1</v>
      </c>
      <c r="AB31" s="1538">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6"/>
      <c r="M32" s="2940"/>
      <c r="N32" s="2940"/>
      <c r="O32" s="2940"/>
      <c r="P32" s="3529"/>
      <c r="Q32" s="1537">
        <f t="shared" si="11"/>
        <v>111</v>
      </c>
      <c r="R32" s="714" t="s">
        <v>17</v>
      </c>
      <c r="S32" s="715">
        <f t="shared" si="12"/>
        <v>100</v>
      </c>
      <c r="T32" s="714" t="s">
        <v>17</v>
      </c>
      <c r="U32" s="715">
        <f t="shared" si="13"/>
        <v>100</v>
      </c>
      <c r="V32" s="714" t="s">
        <v>17</v>
      </c>
      <c r="W32" s="715">
        <f t="shared" si="14"/>
        <v>100</v>
      </c>
      <c r="X32" s="1540"/>
      <c r="Y32" s="3463"/>
      <c r="Z32" s="1541">
        <f t="shared" si="15"/>
        <v>111</v>
      </c>
      <c r="AA32" s="1538">
        <f t="shared" si="3"/>
        <v>1</v>
      </c>
      <c r="AB32" s="1538">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6"/>
      <c r="M33" s="2940"/>
      <c r="N33" s="2940"/>
      <c r="O33" s="2940"/>
      <c r="P33" s="3524" t="s">
        <v>2386</v>
      </c>
      <c r="Q33" s="1537" t="str">
        <f t="shared" si="11"/>
        <v>建筑类型</v>
      </c>
      <c r="R33" s="714" t="s">
        <v>17</v>
      </c>
      <c r="S33" s="715">
        <f t="shared" si="12"/>
        <v>100</v>
      </c>
      <c r="T33" s="714" t="s">
        <v>17</v>
      </c>
      <c r="U33" s="715">
        <f t="shared" si="13"/>
        <v>100</v>
      </c>
      <c r="V33" s="714" t="s">
        <v>17</v>
      </c>
      <c r="W33" s="715">
        <f t="shared" si="14"/>
        <v>100</v>
      </c>
      <c r="X33" s="1540"/>
      <c r="Y33" s="3465" t="s">
        <v>2386</v>
      </c>
      <c r="Z33" s="1541" t="str">
        <f t="shared" si="15"/>
        <v>建筑类型</v>
      </c>
      <c r="AA33" s="1538">
        <f t="shared" si="3"/>
        <v>1</v>
      </c>
      <c r="AB33" s="1538">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5"/>
      <c r="M34" s="2947"/>
      <c r="N34" s="2947"/>
      <c r="O34" s="2947"/>
      <c r="P34" s="3525"/>
      <c r="Q34" s="716" t="str">
        <f t="shared" si="11"/>
        <v>项目建筑规模</v>
      </c>
      <c r="R34" s="717" t="s">
        <v>17</v>
      </c>
      <c r="S34" s="718" t="e">
        <f t="shared" si="12"/>
        <v>#N/A</v>
      </c>
      <c r="T34" s="717" t="s">
        <v>17</v>
      </c>
      <c r="U34" s="718" t="e">
        <f t="shared" si="13"/>
        <v>#N/A</v>
      </c>
      <c r="V34" s="717" t="s">
        <v>17</v>
      </c>
      <c r="W34" s="718" t="e">
        <f t="shared" si="14"/>
        <v>#N/A</v>
      </c>
      <c r="X34" s="719"/>
      <c r="Y34" s="3465"/>
      <c r="Z34" s="720" t="str">
        <f t="shared" si="15"/>
        <v>项目建筑规模</v>
      </c>
      <c r="AA34" s="1538" t="e">
        <f t="shared" si="3"/>
        <v>#N/A</v>
      </c>
      <c r="AB34" s="1538"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6"/>
      <c r="M35" s="2940"/>
      <c r="N35" s="2940"/>
      <c r="O35" s="2940"/>
      <c r="P35" s="3525"/>
      <c r="Q35" s="1537" t="str">
        <f t="shared" si="11"/>
        <v>建筑结构</v>
      </c>
      <c r="R35" s="714" t="s">
        <v>17</v>
      </c>
      <c r="S35" s="715">
        <f t="shared" si="12"/>
        <v>100</v>
      </c>
      <c r="T35" s="714" t="s">
        <v>17</v>
      </c>
      <c r="U35" s="715">
        <f t="shared" si="13"/>
        <v>100</v>
      </c>
      <c r="V35" s="714" t="s">
        <v>17</v>
      </c>
      <c r="W35" s="715">
        <f t="shared" si="14"/>
        <v>100</v>
      </c>
      <c r="X35" s="1540"/>
      <c r="Y35" s="3465"/>
      <c r="Z35" s="1541" t="str">
        <f t="shared" si="15"/>
        <v>建筑结构</v>
      </c>
      <c r="AA35" s="1538">
        <f t="shared" si="3"/>
        <v>1</v>
      </c>
      <c r="AB35" s="1538">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6"/>
      <c r="M36" s="2940"/>
      <c r="N36" s="2940"/>
      <c r="O36" s="2940"/>
      <c r="P36" s="3525"/>
      <c r="Q36" s="1537" t="str">
        <f t="shared" si="11"/>
        <v>公共部分装修</v>
      </c>
      <c r="R36" s="714" t="s">
        <v>17</v>
      </c>
      <c r="S36" s="715">
        <f t="shared" si="12"/>
        <v>100</v>
      </c>
      <c r="T36" s="714" t="s">
        <v>17</v>
      </c>
      <c r="U36" s="715">
        <f t="shared" si="13"/>
        <v>100</v>
      </c>
      <c r="V36" s="714" t="s">
        <v>17</v>
      </c>
      <c r="W36" s="715">
        <f t="shared" si="14"/>
        <v>100</v>
      </c>
      <c r="X36" s="1540"/>
      <c r="Y36" s="3465"/>
      <c r="Z36" s="1541" t="str">
        <f t="shared" si="15"/>
        <v>公共部分装修</v>
      </c>
      <c r="AA36" s="1538">
        <f t="shared" si="3"/>
        <v>1</v>
      </c>
      <c r="AB36" s="1538">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6"/>
      <c r="M37" s="2940"/>
      <c r="N37" s="2940"/>
      <c r="O37" s="2940"/>
      <c r="P37" s="3525"/>
      <c r="Q37" s="1537" t="str">
        <f t="shared" si="11"/>
        <v>成新度</v>
      </c>
      <c r="R37" s="714" t="s">
        <v>17</v>
      </c>
      <c r="S37" s="715" t="e">
        <f t="shared" si="12"/>
        <v>#N/A</v>
      </c>
      <c r="T37" s="714" t="s">
        <v>17</v>
      </c>
      <c r="U37" s="715" t="e">
        <f t="shared" si="13"/>
        <v>#N/A</v>
      </c>
      <c r="V37" s="714" t="s">
        <v>17</v>
      </c>
      <c r="W37" s="715" t="e">
        <f t="shared" si="14"/>
        <v>#N/A</v>
      </c>
      <c r="X37" s="1540"/>
      <c r="Y37" s="3465"/>
      <c r="Z37" s="1541" t="str">
        <f t="shared" si="15"/>
        <v>成新度</v>
      </c>
      <c r="AA37" s="1538" t="e">
        <f t="shared" si="3"/>
        <v>#N/A</v>
      </c>
      <c r="AB37" s="1538"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1"/>
      <c r="M38" s="2942"/>
      <c r="N38" s="2942"/>
      <c r="O38" s="2942"/>
      <c r="P38" s="3525"/>
      <c r="Q38" s="1528" t="str">
        <f t="shared" si="11"/>
        <v>写字楼等级</v>
      </c>
      <c r="R38" s="710" t="s">
        <v>17</v>
      </c>
      <c r="S38" s="711">
        <f t="shared" si="12"/>
        <v>100</v>
      </c>
      <c r="T38" s="710" t="s">
        <v>17</v>
      </c>
      <c r="U38" s="711">
        <f t="shared" si="13"/>
        <v>100</v>
      </c>
      <c r="V38" s="710" t="s">
        <v>17</v>
      </c>
      <c r="W38" s="711">
        <f t="shared" si="14"/>
        <v>100</v>
      </c>
      <c r="X38" s="712"/>
      <c r="Y38" s="3465"/>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6"/>
      <c r="M39" s="2940"/>
      <c r="N39" s="2940"/>
      <c r="O39" s="2940"/>
      <c r="P39" s="3525" t="s">
        <v>2386</v>
      </c>
      <c r="Q39" s="1537" t="str">
        <f t="shared" si="11"/>
        <v>物业管理</v>
      </c>
      <c r="R39" s="714" t="s">
        <v>17</v>
      </c>
      <c r="S39" s="715">
        <f t="shared" si="12"/>
        <v>100</v>
      </c>
      <c r="T39" s="714" t="s">
        <v>17</v>
      </c>
      <c r="U39" s="715">
        <f t="shared" si="13"/>
        <v>100</v>
      </c>
      <c r="V39" s="714" t="s">
        <v>17</v>
      </c>
      <c r="W39" s="715">
        <f t="shared" si="14"/>
        <v>100</v>
      </c>
      <c r="X39" s="1540"/>
      <c r="Y39" s="3465" t="s">
        <v>2386</v>
      </c>
      <c r="Z39" s="1541" t="str">
        <f t="shared" si="15"/>
        <v>物业管理</v>
      </c>
      <c r="AA39" s="1538">
        <f t="shared" si="3"/>
        <v>1</v>
      </c>
      <c r="AB39" s="1538">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6"/>
      <c r="M40" s="2940"/>
      <c r="N40" s="2940"/>
      <c r="O40" s="2940"/>
      <c r="P40" s="3525"/>
      <c r="Q40" s="1537" t="str">
        <f t="shared" si="11"/>
        <v>市政基础设施</v>
      </c>
      <c r="R40" s="714" t="s">
        <v>17</v>
      </c>
      <c r="S40" s="715">
        <f t="shared" si="12"/>
        <v>100</v>
      </c>
      <c r="T40" s="714" t="s">
        <v>17</v>
      </c>
      <c r="U40" s="715">
        <f t="shared" si="13"/>
        <v>100</v>
      </c>
      <c r="V40" s="714" t="s">
        <v>17</v>
      </c>
      <c r="W40" s="715">
        <f t="shared" si="14"/>
        <v>100</v>
      </c>
      <c r="X40" s="1540"/>
      <c r="Y40" s="3465"/>
      <c r="Z40" s="1541" t="str">
        <f t="shared" si="15"/>
        <v>市政基础设施</v>
      </c>
      <c r="AA40" s="1538">
        <f t="shared" si="3"/>
        <v>1</v>
      </c>
      <c r="AB40" s="1538">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6"/>
      <c r="M41" s="2940"/>
      <c r="N41" s="2940"/>
      <c r="O41" s="2940"/>
      <c r="P41" s="3525"/>
      <c r="Q41" s="1537" t="str">
        <f t="shared" si="11"/>
        <v>层高</v>
      </c>
      <c r="R41" s="714" t="s">
        <v>17</v>
      </c>
      <c r="S41" s="715">
        <f t="shared" si="12"/>
        <v>100</v>
      </c>
      <c r="T41" s="714" t="s">
        <v>17</v>
      </c>
      <c r="U41" s="715">
        <f t="shared" si="13"/>
        <v>100</v>
      </c>
      <c r="V41" s="714" t="s">
        <v>17</v>
      </c>
      <c r="W41" s="715">
        <f t="shared" si="14"/>
        <v>100</v>
      </c>
      <c r="X41" s="1540"/>
      <c r="Y41" s="3465"/>
      <c r="Z41" s="1541" t="str">
        <f t="shared" si="15"/>
        <v>层高</v>
      </c>
      <c r="AA41" s="1538">
        <f t="shared" si="3"/>
        <v>1</v>
      </c>
      <c r="AB41" s="1538">
        <f t="shared" si="4"/>
        <v>1</v>
      </c>
      <c r="AC41" s="2148">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5"/>
      <c r="M42" s="2947"/>
      <c r="N42" s="2947"/>
      <c r="O42" s="2947"/>
      <c r="P42" s="3525"/>
      <c r="Q42" s="716" t="str">
        <f t="shared" si="11"/>
        <v>单套建筑面积</v>
      </c>
      <c r="R42" s="717" t="s">
        <v>17</v>
      </c>
      <c r="S42" s="718">
        <f t="shared" si="12"/>
        <v>100</v>
      </c>
      <c r="T42" s="717" t="s">
        <v>17</v>
      </c>
      <c r="U42" s="718">
        <f t="shared" si="13"/>
        <v>100</v>
      </c>
      <c r="V42" s="717" t="s">
        <v>17</v>
      </c>
      <c r="W42" s="718">
        <f t="shared" si="14"/>
        <v>100</v>
      </c>
      <c r="X42" s="719"/>
      <c r="Y42" s="3465"/>
      <c r="Z42" s="720" t="str">
        <f t="shared" si="15"/>
        <v>单套建筑面积</v>
      </c>
      <c r="AA42" s="1538">
        <f t="shared" si="3"/>
        <v>1</v>
      </c>
      <c r="AB42" s="1538">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6"/>
      <c r="M43" s="2940"/>
      <c r="N43" s="2940"/>
      <c r="O43" s="2940"/>
      <c r="P43" s="3525"/>
      <c r="Q43" s="1537" t="str">
        <f t="shared" si="11"/>
        <v>内部装修</v>
      </c>
      <c r="R43" s="714" t="s">
        <v>17</v>
      </c>
      <c r="S43" s="715">
        <f t="shared" si="12"/>
        <v>100</v>
      </c>
      <c r="T43" s="714" t="s">
        <v>17</v>
      </c>
      <c r="U43" s="715">
        <f t="shared" si="13"/>
        <v>100</v>
      </c>
      <c r="V43" s="714" t="s">
        <v>17</v>
      </c>
      <c r="W43" s="715">
        <f t="shared" si="14"/>
        <v>100</v>
      </c>
      <c r="X43" s="1540"/>
      <c r="Y43" s="3465"/>
      <c r="Z43" s="1541" t="str">
        <f t="shared" si="15"/>
        <v>内部装修</v>
      </c>
      <c r="AA43" s="1538">
        <f t="shared" si="3"/>
        <v>1</v>
      </c>
      <c r="AB43" s="1538">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6"/>
      <c r="M44" s="2940"/>
      <c r="N44" s="2940"/>
      <c r="O44" s="2940"/>
      <c r="P44" s="3525"/>
      <c r="Q44" s="1537" t="str">
        <f t="shared" si="11"/>
        <v>内部装修维护情况</v>
      </c>
      <c r="R44" s="714" t="s">
        <v>17</v>
      </c>
      <c r="S44" s="715">
        <f t="shared" si="12"/>
        <v>100</v>
      </c>
      <c r="T44" s="714" t="s">
        <v>17</v>
      </c>
      <c r="U44" s="715">
        <f t="shared" si="13"/>
        <v>100</v>
      </c>
      <c r="V44" s="714" t="s">
        <v>17</v>
      </c>
      <c r="W44" s="715">
        <f t="shared" si="14"/>
        <v>100</v>
      </c>
      <c r="X44" s="1540"/>
      <c r="Y44" s="3465"/>
      <c r="Z44" s="1541" t="str">
        <f t="shared" si="15"/>
        <v>内部装修维护情况</v>
      </c>
      <c r="AA44" s="1538">
        <f t="shared" si="3"/>
        <v>1</v>
      </c>
      <c r="AB44" s="1538">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1"/>
      <c r="M45" s="2942"/>
      <c r="N45" s="2942"/>
      <c r="O45" s="2942"/>
      <c r="P45" s="3525"/>
      <c r="Q45" s="1528">
        <f t="shared" si="11"/>
        <v>111</v>
      </c>
      <c r="R45" s="710" t="s">
        <v>17</v>
      </c>
      <c r="S45" s="711">
        <f t="shared" si="12"/>
        <v>100</v>
      </c>
      <c r="T45" s="710" t="s">
        <v>17</v>
      </c>
      <c r="U45" s="711">
        <f t="shared" si="13"/>
        <v>100</v>
      </c>
      <c r="V45" s="710" t="s">
        <v>17</v>
      </c>
      <c r="W45" s="711">
        <f t="shared" si="14"/>
        <v>100</v>
      </c>
      <c r="X45" s="712"/>
      <c r="Y45" s="346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6"/>
      <c r="M46" s="2940"/>
      <c r="N46" s="2940"/>
      <c r="O46" s="2940"/>
      <c r="P46" s="3525"/>
      <c r="Q46" s="1537">
        <f t="shared" si="11"/>
        <v>111</v>
      </c>
      <c r="R46" s="714" t="s">
        <v>17</v>
      </c>
      <c r="S46" s="715">
        <f t="shared" si="12"/>
        <v>100</v>
      </c>
      <c r="T46" s="714" t="s">
        <v>17</v>
      </c>
      <c r="U46" s="715">
        <f t="shared" si="13"/>
        <v>100</v>
      </c>
      <c r="V46" s="714" t="s">
        <v>17</v>
      </c>
      <c r="W46" s="715">
        <f t="shared" si="14"/>
        <v>100</v>
      </c>
      <c r="X46" s="1540"/>
      <c r="Y46" s="3465"/>
      <c r="Z46" s="1541">
        <f t="shared" si="15"/>
        <v>111</v>
      </c>
      <c r="AA46" s="1538">
        <f t="shared" si="3"/>
        <v>1</v>
      </c>
      <c r="AB46" s="1538">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6"/>
      <c r="M47" s="2940"/>
      <c r="N47" s="2940"/>
      <c r="O47" s="2940"/>
      <c r="P47" s="3526"/>
      <c r="Q47" s="1537">
        <f t="shared" si="11"/>
        <v>111</v>
      </c>
      <c r="R47" s="714" t="s">
        <v>17</v>
      </c>
      <c r="S47" s="715">
        <f t="shared" si="12"/>
        <v>100</v>
      </c>
      <c r="T47" s="714" t="s">
        <v>17</v>
      </c>
      <c r="U47" s="715">
        <f t="shared" si="13"/>
        <v>100</v>
      </c>
      <c r="V47" s="714" t="s">
        <v>17</v>
      </c>
      <c r="W47" s="715">
        <f t="shared" si="14"/>
        <v>100</v>
      </c>
      <c r="X47" s="1540"/>
      <c r="Y47" s="3527"/>
      <c r="Z47" s="1541">
        <f t="shared" si="15"/>
        <v>111</v>
      </c>
      <c r="AA47" s="1538">
        <f t="shared" si="3"/>
        <v>1</v>
      </c>
      <c r="AB47" s="1538">
        <f t="shared" si="4"/>
        <v>1</v>
      </c>
      <c r="AC47" s="2148">
        <f t="shared" si="5"/>
        <v>1</v>
      </c>
    </row>
    <row r="48" spans="1:29" ht="15">
      <c r="A48" s="438" t="s">
        <v>2398</v>
      </c>
      <c r="B48" s="439"/>
      <c r="C48" s="1316" t="s">
        <v>1</v>
      </c>
      <c r="D48" s="1317"/>
      <c r="E48" s="1318"/>
      <c r="F48" s="1319"/>
      <c r="G48" s="1320"/>
      <c r="H48" s="1321"/>
      <c r="I48" s="1318"/>
      <c r="J48" s="444"/>
      <c r="K48" s="723"/>
      <c r="L48" s="2948"/>
      <c r="M48" s="2940"/>
      <c r="N48" s="2940"/>
      <c r="O48" s="2940"/>
      <c r="P48" s="3471" t="str">
        <f>A48</f>
        <v>成交单价（元/平方米）</v>
      </c>
      <c r="Q48" s="3447"/>
      <c r="R48" s="3523">
        <f>E48</f>
        <v>0</v>
      </c>
      <c r="S48" s="3523"/>
      <c r="T48" s="3523">
        <f>G48</f>
        <v>0</v>
      </c>
      <c r="U48" s="3523"/>
      <c r="V48" s="3523">
        <f>I48</f>
        <v>0</v>
      </c>
      <c r="W48" s="3523"/>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48"/>
      <c r="M49" s="2940"/>
      <c r="N49" s="2940"/>
      <c r="O49" s="2940"/>
      <c r="P49" s="3471" t="str">
        <f>A49</f>
        <v>比较价值（元/平方米）</v>
      </c>
      <c r="Q49" s="3447"/>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48"/>
      <c r="M50" s="2940"/>
      <c r="N50" s="2940"/>
      <c r="O50" s="2940"/>
      <c r="P50" s="3542" t="str">
        <f>A50</f>
        <v>估价对象XX用房的比较价值（楼面单价，元/平方米）</v>
      </c>
      <c r="Q50" s="3543"/>
      <c r="R50" s="3544" t="e">
        <f>IF(F1="售价",ROUND(IF(D49="简单平均",AVERAGE(R49:V49),R49*F49+T49*H49+V49*J49),0),ROUND(IF(D49="简单平均",AVERAGE(R49:V49),R49*F49+T49*H49+V49*J49),1))</f>
        <v>#DIV/0!</v>
      </c>
      <c r="S50" s="3544"/>
      <c r="T50" s="3544"/>
      <c r="U50" s="3544"/>
      <c r="V50" s="3544"/>
      <c r="W50" s="3544"/>
      <c r="X50" s="2132"/>
      <c r="Y50" s="2132"/>
      <c r="Z50" s="2132"/>
      <c r="AA50" s="2132"/>
      <c r="AB50" s="2132"/>
      <c r="AC50" s="2133"/>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4"/>
      <c r="L54" s="2950"/>
      <c r="M54" s="2949"/>
      <c r="N54" s="2949"/>
      <c r="O54" s="2949"/>
      <c r="P54" s="2980"/>
      <c r="Q54" s="2949"/>
      <c r="R54" s="2949"/>
      <c r="S54" s="2949"/>
      <c r="T54" s="2949"/>
      <c r="U54" s="2949"/>
      <c r="V54" s="2949"/>
      <c r="W54" s="2949"/>
      <c r="X54" s="2949"/>
      <c r="Y54" s="2949"/>
      <c r="Z54" s="2949"/>
      <c r="AA54" s="2949"/>
      <c r="AB54" s="2949"/>
      <c r="AC54" s="2949"/>
    </row>
    <row r="55" spans="1:29" s="459" customFormat="1" ht="13.5" customHeight="1">
      <c r="A55" s="2952"/>
      <c r="B55" s="2952"/>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7"/>
      <c r="L55" s="2951"/>
      <c r="M55" s="2952"/>
      <c r="N55" s="2952"/>
      <c r="O55" s="2952"/>
      <c r="P55" s="2981"/>
      <c r="Q55" s="2952"/>
      <c r="R55" s="2952"/>
      <c r="S55" s="2952"/>
      <c r="T55" s="2952"/>
      <c r="U55" s="2952"/>
      <c r="V55" s="2952"/>
      <c r="W55" s="2952"/>
      <c r="X55" s="2952"/>
      <c r="Y55" s="2952"/>
      <c r="Z55" s="2952"/>
      <c r="AA55" s="2952"/>
      <c r="AB55" s="2952"/>
      <c r="AC55" s="2952"/>
    </row>
    <row r="56" spans="1:29" s="459"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703" t="s">
        <v>2495</v>
      </c>
      <c r="B58" s="699"/>
      <c r="C58" s="704"/>
      <c r="D58" s="704"/>
      <c r="E58" s="704"/>
      <c r="F58" s="705"/>
      <c r="G58" s="705"/>
      <c r="H58" s="704"/>
      <c r="I58" s="704"/>
      <c r="J58" s="704"/>
      <c r="K58" s="706"/>
      <c r="L58" s="1073"/>
      <c r="M58" s="1071"/>
      <c r="N58" s="2993"/>
      <c r="O58" s="2993"/>
      <c r="P58" s="2982"/>
      <c r="Q58" s="2963"/>
      <c r="R58" s="2949"/>
      <c r="S58" s="2949"/>
      <c r="T58" s="2949"/>
      <c r="U58" s="2949"/>
      <c r="V58" s="2949"/>
      <c r="W58" s="2949"/>
      <c r="X58" s="2949"/>
      <c r="Y58" s="2949"/>
      <c r="Z58" s="2949"/>
      <c r="AA58" s="2949"/>
      <c r="AB58" s="2949"/>
      <c r="AC58" s="2949"/>
    </row>
    <row r="59" spans="1:29" s="465" customFormat="1" ht="15">
      <c r="A59" s="462" t="s">
        <v>2369</v>
      </c>
      <c r="B59" s="463"/>
      <c r="C59" s="1346" t="str">
        <f>YEAR(C7)&amp;"-"&amp;MONTH(C7)</f>
        <v>2021-3</v>
      </c>
      <c r="D59" s="1347">
        <f>EDATE(C59,-1)</f>
        <v>44228</v>
      </c>
      <c r="E59" s="1347">
        <f>EDATE(D59,-1)</f>
        <v>44197</v>
      </c>
      <c r="F59" s="1347">
        <f t="shared" ref="F59:O59" si="16">EDATE(E59,-1)</f>
        <v>44166</v>
      </c>
      <c r="G59" s="1347">
        <f t="shared" si="16"/>
        <v>44136</v>
      </c>
      <c r="H59" s="1347">
        <f t="shared" si="16"/>
        <v>44105</v>
      </c>
      <c r="I59" s="1347">
        <f t="shared" si="16"/>
        <v>44075</v>
      </c>
      <c r="J59" s="1347">
        <f t="shared" si="16"/>
        <v>44044</v>
      </c>
      <c r="K59" s="1347">
        <f t="shared" si="16"/>
        <v>44013</v>
      </c>
      <c r="L59" s="1347">
        <f t="shared" si="16"/>
        <v>43983</v>
      </c>
      <c r="M59" s="1347">
        <f t="shared" si="16"/>
        <v>43952</v>
      </c>
      <c r="N59" s="1347">
        <f t="shared" si="16"/>
        <v>43922</v>
      </c>
      <c r="O59" s="1347">
        <f t="shared" si="16"/>
        <v>43891</v>
      </c>
      <c r="P59" s="2983"/>
      <c r="Q59" s="2965"/>
      <c r="R59" s="2965"/>
      <c r="S59" s="2965"/>
      <c r="T59" s="2965"/>
      <c r="U59" s="2965"/>
      <c r="V59" s="2965"/>
      <c r="W59" s="2965"/>
      <c r="X59" s="2965"/>
      <c r="Y59" s="2965"/>
      <c r="Z59" s="2965"/>
      <c r="AA59" s="2965"/>
      <c r="AB59" s="2965"/>
      <c r="AC59" s="2965"/>
    </row>
    <row r="60" spans="1:29" s="113" customFormat="1" ht="15">
      <c r="A60" s="466"/>
      <c r="B60" s="467"/>
      <c r="C60" s="1345">
        <v>100</v>
      </c>
      <c r="D60" s="469"/>
      <c r="E60" s="469"/>
      <c r="F60" s="469"/>
      <c r="G60" s="469"/>
      <c r="H60" s="469"/>
      <c r="I60" s="469"/>
      <c r="J60" s="469"/>
      <c r="K60" s="469"/>
      <c r="L60" s="469"/>
      <c r="M60" s="470"/>
      <c r="N60" s="469"/>
      <c r="O60" s="470"/>
      <c r="P60" s="2984"/>
      <c r="Q60" s="2884"/>
      <c r="R60" s="2884"/>
      <c r="S60" s="2884"/>
      <c r="T60" s="2884"/>
      <c r="U60" s="2884"/>
      <c r="V60" s="2884"/>
      <c r="W60" s="2884"/>
      <c r="X60" s="2884"/>
      <c r="Y60" s="2884"/>
      <c r="Z60" s="2884"/>
      <c r="AA60" s="2884"/>
      <c r="AB60" s="2884"/>
      <c r="AC60" s="2884"/>
    </row>
    <row r="61" spans="1:29" s="113" customFormat="1" ht="15.75" thickBot="1">
      <c r="A61" s="472" t="s">
        <v>2406</v>
      </c>
      <c r="B61" s="473"/>
      <c r="C61" s="474"/>
      <c r="D61" s="475"/>
      <c r="E61" s="475"/>
      <c r="F61" s="475"/>
      <c r="G61" s="475"/>
      <c r="H61" s="475"/>
      <c r="I61" s="475"/>
      <c r="J61" s="475"/>
      <c r="K61" s="475"/>
      <c r="L61" s="475"/>
      <c r="M61" s="476"/>
      <c r="N61" s="475"/>
      <c r="O61" s="476"/>
      <c r="P61" s="2984"/>
      <c r="Q61" s="2963"/>
      <c r="R61" s="2884"/>
      <c r="S61" s="2884"/>
      <c r="T61" s="2884"/>
      <c r="U61" s="2884"/>
      <c r="V61" s="2884"/>
      <c r="W61" s="2884"/>
      <c r="X61" s="2884"/>
      <c r="Y61" s="2884"/>
      <c r="Z61" s="2884"/>
      <c r="AA61" s="2884"/>
      <c r="AB61" s="2884"/>
      <c r="AC61" s="2884"/>
    </row>
    <row r="62" spans="1:29" s="113" customFormat="1" ht="15">
      <c r="A62" s="478" t="s">
        <v>2371</v>
      </c>
      <c r="B62" s="467"/>
      <c r="C62" s="479" t="s">
        <v>2473</v>
      </c>
      <c r="D62" s="480"/>
      <c r="E62" s="480"/>
      <c r="F62" s="480"/>
      <c r="G62" s="480"/>
      <c r="H62" s="480"/>
      <c r="I62" s="480"/>
      <c r="J62" s="480"/>
      <c r="K62" s="480"/>
      <c r="L62" s="481"/>
      <c r="M62" s="482"/>
      <c r="N62" s="2976"/>
      <c r="O62" s="2976"/>
      <c r="P62" s="2985"/>
      <c r="Q62" s="2963"/>
      <c r="R62" s="2884"/>
      <c r="S62" s="2884"/>
      <c r="T62" s="2884"/>
      <c r="U62" s="2884"/>
      <c r="V62" s="2884"/>
      <c r="W62" s="2884"/>
      <c r="X62" s="2884"/>
      <c r="Y62" s="2884"/>
      <c r="Z62" s="2884"/>
      <c r="AA62" s="2884"/>
      <c r="AB62" s="2884"/>
      <c r="AC62" s="2884"/>
    </row>
    <row r="63" spans="1:29" s="113" customFormat="1" ht="15.75" thickBot="1">
      <c r="A63" s="478"/>
      <c r="B63" s="467"/>
      <c r="C63" s="468">
        <v>100</v>
      </c>
      <c r="D63" s="469"/>
      <c r="E63" s="469"/>
      <c r="F63" s="469"/>
      <c r="G63" s="469"/>
      <c r="H63" s="469"/>
      <c r="I63" s="469"/>
      <c r="J63" s="469"/>
      <c r="K63" s="469"/>
      <c r="L63" s="469"/>
      <c r="M63" s="471"/>
      <c r="N63" s="2976"/>
      <c r="O63" s="2976"/>
      <c r="P63" s="2984"/>
      <c r="Q63" s="2963"/>
      <c r="R63" s="2884"/>
      <c r="S63" s="2884"/>
      <c r="T63" s="2884"/>
      <c r="U63" s="2884"/>
      <c r="V63" s="2884"/>
      <c r="W63" s="2884"/>
      <c r="X63" s="2884"/>
      <c r="Y63" s="2884"/>
      <c r="Z63" s="2884"/>
      <c r="AA63" s="2884"/>
      <c r="AB63" s="2884"/>
      <c r="AC63" s="2884"/>
    </row>
    <row r="64" spans="1:29">
      <c r="A64" s="484" t="s">
        <v>2409</v>
      </c>
      <c r="B64" s="485" t="s">
        <v>2375</v>
      </c>
      <c r="C64" s="486">
        <f>C9</f>
        <v>0</v>
      </c>
      <c r="D64" s="487"/>
      <c r="E64" s="487"/>
      <c r="F64" s="487"/>
      <c r="G64" s="487"/>
      <c r="H64" s="487"/>
      <c r="I64" s="487"/>
      <c r="J64" s="487"/>
      <c r="K64" s="488"/>
      <c r="L64" s="489"/>
      <c r="M64" s="490"/>
      <c r="N64" s="2977"/>
      <c r="O64" s="2977"/>
      <c r="P64" s="2986"/>
      <c r="Q64" s="2963"/>
      <c r="R64" s="2949"/>
      <c r="S64" s="2949"/>
      <c r="T64" s="2949"/>
      <c r="U64" s="2949"/>
      <c r="V64" s="2949"/>
      <c r="W64" s="2949"/>
      <c r="X64" s="2949"/>
      <c r="Y64" s="2949"/>
      <c r="Z64" s="2949"/>
      <c r="AA64" s="2949"/>
      <c r="AB64" s="2949"/>
      <c r="AC64" s="2949"/>
    </row>
    <row r="65" spans="1:29" ht="15.75" thickBot="1">
      <c r="A65" s="491"/>
      <c r="B65" s="492"/>
      <c r="C65" s="493">
        <v>100</v>
      </c>
      <c r="D65" s="493"/>
      <c r="E65" s="493"/>
      <c r="F65" s="493"/>
      <c r="G65" s="493"/>
      <c r="H65" s="493"/>
      <c r="I65" s="493"/>
      <c r="J65" s="493"/>
      <c r="K65" s="493"/>
      <c r="L65" s="493"/>
      <c r="M65" s="494"/>
      <c r="N65" s="2978"/>
      <c r="O65" s="2978"/>
      <c r="P65" s="2986"/>
      <c r="Q65" s="2963"/>
      <c r="R65" s="2949"/>
      <c r="S65" s="2949"/>
      <c r="T65" s="2949"/>
      <c r="U65" s="2949"/>
      <c r="V65" s="2949"/>
      <c r="W65" s="2949"/>
      <c r="X65" s="2949"/>
      <c r="Y65" s="2949"/>
      <c r="Z65" s="2949"/>
      <c r="AA65" s="2949"/>
      <c r="AB65" s="2949"/>
      <c r="AC65" s="2949"/>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7"/>
      <c r="O66" s="2977"/>
      <c r="P66" s="2986"/>
      <c r="Q66" s="2963"/>
      <c r="R66" s="2949"/>
      <c r="S66" s="2949"/>
      <c r="T66" s="2949"/>
      <c r="U66" s="2949"/>
      <c r="V66" s="2949"/>
      <c r="W66" s="2949"/>
      <c r="X66" s="2949"/>
      <c r="Y66" s="2949"/>
      <c r="Z66" s="2949"/>
      <c r="AA66" s="2949"/>
      <c r="AB66" s="2949"/>
      <c r="AC66" s="294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8"/>
      <c r="O67" s="2978"/>
      <c r="P67" s="2986"/>
      <c r="Q67" s="2963"/>
      <c r="R67" s="2949"/>
      <c r="S67" s="2949"/>
      <c r="T67" s="2949"/>
      <c r="U67" s="2949"/>
      <c r="V67" s="2949"/>
      <c r="W67" s="2949"/>
      <c r="X67" s="2949"/>
      <c r="Y67" s="2949"/>
      <c r="Z67" s="2949"/>
      <c r="AA67" s="2949"/>
      <c r="AB67" s="2949"/>
      <c r="AC67" s="2949"/>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91"/>
      <c r="B69" s="505"/>
      <c r="C69" s="506"/>
      <c r="D69" s="506"/>
      <c r="E69" s="506"/>
      <c r="F69" s="506"/>
      <c r="G69" s="506"/>
      <c r="H69" s="506"/>
      <c r="I69" s="506"/>
      <c r="J69" s="506"/>
      <c r="K69" s="507"/>
      <c r="L69" s="508"/>
      <c r="M69" s="509"/>
      <c r="N69" s="2977"/>
      <c r="O69" s="2977"/>
      <c r="P69" s="2986"/>
      <c r="Q69" s="2963"/>
      <c r="R69" s="2949"/>
      <c r="S69" s="2949"/>
      <c r="T69" s="2949"/>
      <c r="U69" s="2949"/>
      <c r="V69" s="2949"/>
      <c r="W69" s="2949"/>
      <c r="X69" s="2949"/>
      <c r="Y69" s="2949"/>
      <c r="Z69" s="2949"/>
      <c r="AA69" s="2949"/>
      <c r="AB69" s="2949"/>
      <c r="AC69" s="294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8"/>
      <c r="O70" s="2978"/>
      <c r="P70" s="2986"/>
      <c r="Q70" s="2963"/>
      <c r="R70" s="2949"/>
      <c r="S70" s="2949"/>
      <c r="T70" s="2949"/>
      <c r="U70" s="2949"/>
      <c r="V70" s="2949"/>
      <c r="W70" s="2949"/>
      <c r="X70" s="2949"/>
      <c r="Y70" s="2949"/>
      <c r="Z70" s="2949"/>
      <c r="AA70" s="2949"/>
      <c r="AB70" s="2949"/>
      <c r="AC70" s="2949"/>
    </row>
    <row r="71" spans="1:29" s="430" customFormat="1" ht="15.75" thickTop="1">
      <c r="A71" s="510"/>
      <c r="B71" s="495">
        <f>B12</f>
        <v>111</v>
      </c>
      <c r="C71" s="511"/>
      <c r="D71" s="511"/>
      <c r="E71" s="511"/>
      <c r="F71" s="511"/>
      <c r="G71" s="511"/>
      <c r="H71" s="512"/>
      <c r="I71" s="512"/>
      <c r="J71" s="512"/>
      <c r="K71" s="512"/>
      <c r="L71" s="513"/>
      <c r="M71" s="514"/>
      <c r="N71" s="2979"/>
      <c r="O71" s="2979"/>
      <c r="P71" s="2987"/>
      <c r="Q71" s="2970"/>
      <c r="R71" s="2971"/>
      <c r="S71" s="2971"/>
      <c r="T71" s="2971"/>
      <c r="U71" s="2971"/>
      <c r="V71" s="2971"/>
      <c r="W71" s="2971"/>
      <c r="X71" s="2971"/>
      <c r="Y71" s="2971"/>
      <c r="Z71" s="2971"/>
      <c r="AA71" s="2971"/>
      <c r="AB71" s="2971"/>
      <c r="AC71" s="2971"/>
    </row>
    <row r="72" spans="1:29" s="430" customFormat="1" ht="15.75" thickBot="1">
      <c r="A72" s="510"/>
      <c r="B72" s="500"/>
      <c r="C72" s="517"/>
      <c r="D72" s="493"/>
      <c r="E72" s="493"/>
      <c r="F72" s="493"/>
      <c r="G72" s="493"/>
      <c r="H72" s="493"/>
      <c r="I72" s="493"/>
      <c r="J72" s="493"/>
      <c r="K72" s="493"/>
      <c r="L72" s="493"/>
      <c r="M72" s="494"/>
      <c r="N72" s="2978"/>
      <c r="O72" s="2978"/>
      <c r="P72" s="2987"/>
      <c r="Q72" s="2970"/>
      <c r="R72" s="2971"/>
      <c r="S72" s="2971"/>
      <c r="T72" s="2971"/>
      <c r="U72" s="2971"/>
      <c r="V72" s="2971"/>
      <c r="W72" s="2971"/>
      <c r="X72" s="2971"/>
      <c r="Y72" s="2971"/>
      <c r="Z72" s="2971"/>
      <c r="AA72" s="2971"/>
      <c r="AB72" s="2971"/>
      <c r="AC72" s="2971"/>
    </row>
    <row r="73" spans="1:29" s="430" customFormat="1" ht="15.75" thickTop="1">
      <c r="A73" s="510"/>
      <c r="B73" s="495">
        <f>B13</f>
        <v>111</v>
      </c>
      <c r="C73" s="511"/>
      <c r="D73" s="511"/>
      <c r="E73" s="511"/>
      <c r="F73" s="511"/>
      <c r="G73" s="511"/>
      <c r="H73" s="512"/>
      <c r="I73" s="512"/>
      <c r="J73" s="512"/>
      <c r="K73" s="512"/>
      <c r="L73" s="513"/>
      <c r="M73" s="514"/>
      <c r="N73" s="2979"/>
      <c r="O73" s="2979"/>
      <c r="P73" s="2988"/>
      <c r="Q73" s="2973"/>
      <c r="R73" s="2971"/>
      <c r="S73" s="2971"/>
      <c r="T73" s="2971"/>
      <c r="U73" s="2971"/>
      <c r="V73" s="2971"/>
      <c r="W73" s="2971"/>
      <c r="X73" s="2971"/>
      <c r="Y73" s="2971"/>
      <c r="Z73" s="2971"/>
      <c r="AA73" s="2971"/>
      <c r="AB73" s="2971"/>
      <c r="AC73" s="2971"/>
    </row>
    <row r="74" spans="1:29" s="430" customFormat="1" ht="15.75" thickBot="1">
      <c r="A74" s="510"/>
      <c r="B74" s="500"/>
      <c r="C74" s="517"/>
      <c r="D74" s="517"/>
      <c r="E74" s="517"/>
      <c r="F74" s="517"/>
      <c r="G74" s="517"/>
      <c r="H74" s="519"/>
      <c r="I74" s="519"/>
      <c r="J74" s="519"/>
      <c r="K74" s="519"/>
      <c r="L74" s="519"/>
      <c r="M74" s="520"/>
      <c r="N74" s="2979"/>
      <c r="O74" s="2979"/>
      <c r="P74" s="2987"/>
      <c r="Q74" s="2970"/>
      <c r="R74" s="2971"/>
      <c r="S74" s="2971"/>
      <c r="T74" s="2971"/>
      <c r="U74" s="2971"/>
      <c r="V74" s="2971"/>
      <c r="W74" s="2971"/>
      <c r="X74" s="2971"/>
      <c r="Y74" s="2971"/>
      <c r="Z74" s="2971"/>
      <c r="AA74" s="2971"/>
      <c r="AB74" s="2971"/>
      <c r="AC74" s="2971"/>
    </row>
    <row r="75" spans="1:29" s="430" customFormat="1" ht="15.75" thickTop="1">
      <c r="A75" s="510"/>
      <c r="B75" s="503">
        <f>B14</f>
        <v>111</v>
      </c>
      <c r="C75" s="480"/>
      <c r="D75" s="480"/>
      <c r="E75" s="480"/>
      <c r="F75" s="480"/>
      <c r="G75" s="480"/>
      <c r="H75" s="521"/>
      <c r="I75" s="521"/>
      <c r="J75" s="521"/>
      <c r="K75" s="521"/>
      <c r="L75" s="522"/>
      <c r="M75" s="523"/>
      <c r="N75" s="2979"/>
      <c r="O75" s="2979"/>
      <c r="P75" s="2989"/>
      <c r="Q75" s="2970"/>
      <c r="R75" s="2971"/>
      <c r="S75" s="2971"/>
      <c r="T75" s="2971"/>
      <c r="U75" s="2971"/>
      <c r="V75" s="2971"/>
      <c r="W75" s="2971"/>
      <c r="X75" s="2971"/>
      <c r="Y75" s="2971"/>
      <c r="Z75" s="2971"/>
      <c r="AA75" s="2971"/>
      <c r="AB75" s="2971"/>
      <c r="AC75" s="2971"/>
    </row>
    <row r="76" spans="1:29" s="430" customFormat="1" ht="15.75" thickBot="1">
      <c r="A76" s="525"/>
      <c r="B76" s="526"/>
      <c r="C76" s="527"/>
      <c r="D76" s="527"/>
      <c r="E76" s="527"/>
      <c r="F76" s="527"/>
      <c r="G76" s="527"/>
      <c r="H76" s="528"/>
      <c r="I76" s="528"/>
      <c r="J76" s="528"/>
      <c r="K76" s="528"/>
      <c r="L76" s="528"/>
      <c r="M76" s="529"/>
      <c r="N76" s="2979"/>
      <c r="O76" s="2979"/>
      <c r="P76" s="2987"/>
      <c r="Q76" s="2970"/>
      <c r="R76" s="2971"/>
      <c r="S76" s="2971"/>
      <c r="T76" s="2971"/>
      <c r="U76" s="2971"/>
      <c r="V76" s="2971"/>
      <c r="W76" s="2971"/>
      <c r="X76" s="2971"/>
      <c r="Y76" s="2971"/>
      <c r="Z76" s="2971"/>
      <c r="AA76" s="2971"/>
      <c r="AB76" s="2971"/>
      <c r="AC76" s="2971"/>
    </row>
    <row r="77" spans="1:29">
      <c r="A77" s="484" t="s">
        <v>2380</v>
      </c>
      <c r="B77" s="485" t="s">
        <v>2518</v>
      </c>
      <c r="C77" s="530" t="s">
        <v>2418</v>
      </c>
      <c r="D77" s="530" t="s">
        <v>2419</v>
      </c>
      <c r="E77" s="530" t="s">
        <v>2420</v>
      </c>
      <c r="F77" s="530" t="s">
        <v>2421</v>
      </c>
      <c r="G77" s="530" t="s">
        <v>2422</v>
      </c>
      <c r="H77" s="486"/>
      <c r="I77" s="486"/>
      <c r="J77" s="486"/>
      <c r="K77" s="531"/>
      <c r="L77" s="532"/>
      <c r="M77" s="533"/>
      <c r="N77" s="2977"/>
      <c r="O77" s="2977"/>
      <c r="P77" s="2990"/>
      <c r="Q77" s="2963"/>
      <c r="R77" s="2949"/>
      <c r="S77" s="2949"/>
      <c r="T77" s="2949"/>
      <c r="U77" s="2949"/>
      <c r="V77" s="2949"/>
      <c r="W77" s="2949"/>
      <c r="X77" s="2949"/>
      <c r="Y77" s="2949"/>
      <c r="Z77" s="2949"/>
      <c r="AA77" s="2949"/>
      <c r="AB77" s="2949"/>
      <c r="AC77" s="2949"/>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8"/>
      <c r="O78" s="2978"/>
      <c r="P78" s="2986"/>
      <c r="Q78" s="2963"/>
      <c r="R78" s="2949"/>
      <c r="S78" s="2949"/>
      <c r="T78" s="2949"/>
      <c r="U78" s="2949"/>
      <c r="V78" s="2949"/>
      <c r="W78" s="2949"/>
      <c r="X78" s="2949"/>
      <c r="Y78" s="2949"/>
      <c r="Z78" s="2949"/>
      <c r="AA78" s="2949"/>
      <c r="AB78" s="2949"/>
      <c r="AC78" s="2949"/>
    </row>
    <row r="79" spans="1:29" ht="15.75" thickTop="1">
      <c r="A79" s="491"/>
      <c r="B79" s="495" t="s">
        <v>2423</v>
      </c>
      <c r="C79" s="535" t="s">
        <v>2418</v>
      </c>
      <c r="D79" s="535" t="s">
        <v>2419</v>
      </c>
      <c r="E79" s="535" t="s">
        <v>2420</v>
      </c>
      <c r="F79" s="535" t="s">
        <v>2421</v>
      </c>
      <c r="G79" s="535" t="s">
        <v>2422</v>
      </c>
      <c r="H79" s="496"/>
      <c r="I79" s="496"/>
      <c r="J79" s="496"/>
      <c r="K79" s="497"/>
      <c r="L79" s="498"/>
      <c r="M79" s="499"/>
      <c r="N79" s="2977"/>
      <c r="O79" s="2977"/>
      <c r="P79" s="2986"/>
      <c r="Q79" s="2963"/>
      <c r="R79" s="2949"/>
      <c r="S79" s="2949"/>
      <c r="T79" s="2949"/>
      <c r="U79" s="2949"/>
      <c r="V79" s="2949"/>
      <c r="W79" s="2949"/>
      <c r="X79" s="2949"/>
      <c r="Y79" s="2949"/>
      <c r="Z79" s="2949"/>
      <c r="AA79" s="2949"/>
      <c r="AB79" s="2949"/>
      <c r="AC79" s="2949"/>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8"/>
      <c r="O80" s="2978"/>
      <c r="P80" s="2986"/>
      <c r="Q80" s="2963"/>
      <c r="R80" s="2949"/>
      <c r="S80" s="2949"/>
      <c r="T80" s="2949"/>
      <c r="U80" s="2949"/>
      <c r="V80" s="2949"/>
      <c r="W80" s="2949"/>
      <c r="X80" s="2949"/>
      <c r="Y80" s="2949"/>
      <c r="Z80" s="2949"/>
      <c r="AA80" s="2949"/>
      <c r="AB80" s="2949"/>
      <c r="AC80" s="2949"/>
    </row>
    <row r="81" spans="1:29" ht="15.75" thickTop="1">
      <c r="A81" s="491"/>
      <c r="B81" s="495" t="s">
        <v>2424</v>
      </c>
      <c r="C81" s="535" t="s">
        <v>2418</v>
      </c>
      <c r="D81" s="535" t="s">
        <v>2419</v>
      </c>
      <c r="E81" s="535" t="s">
        <v>2420</v>
      </c>
      <c r="F81" s="535" t="s">
        <v>2421</v>
      </c>
      <c r="G81" s="535" t="s">
        <v>2422</v>
      </c>
      <c r="H81" s="496"/>
      <c r="I81" s="496"/>
      <c r="J81" s="496"/>
      <c r="K81" s="497"/>
      <c r="L81" s="498"/>
      <c r="M81" s="499"/>
      <c r="N81" s="2977"/>
      <c r="O81" s="2977"/>
      <c r="P81" s="2986"/>
      <c r="Q81" s="2963"/>
      <c r="R81" s="2949"/>
      <c r="S81" s="2949"/>
      <c r="T81" s="2949"/>
      <c r="U81" s="2949"/>
      <c r="V81" s="2949"/>
      <c r="W81" s="2949"/>
      <c r="X81" s="2949"/>
      <c r="Y81" s="2949"/>
      <c r="Z81" s="2949"/>
      <c r="AA81" s="2949"/>
      <c r="AB81" s="2949"/>
      <c r="AC81" s="294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8"/>
      <c r="O82" s="2978"/>
      <c r="P82" s="2986"/>
      <c r="Q82" s="2963"/>
      <c r="R82" s="2949"/>
      <c r="S82" s="2949"/>
      <c r="T82" s="2949"/>
      <c r="U82" s="2949"/>
      <c r="V82" s="2949"/>
      <c r="W82" s="2949"/>
      <c r="X82" s="2949"/>
      <c r="Y82" s="2949"/>
      <c r="Z82" s="2949"/>
      <c r="AA82" s="2949"/>
      <c r="AB82" s="2949"/>
      <c r="AC82" s="2949"/>
    </row>
    <row r="83" spans="1:29" ht="15.75" thickTop="1">
      <c r="A83" s="491"/>
      <c r="B83" s="503" t="s">
        <v>2510</v>
      </c>
      <c r="C83" s="616" t="s">
        <v>2496</v>
      </c>
      <c r="D83" s="616" t="s">
        <v>2497</v>
      </c>
      <c r="E83" s="616" t="s">
        <v>2498</v>
      </c>
      <c r="F83" s="616" t="s">
        <v>2499</v>
      </c>
      <c r="G83" s="616" t="s">
        <v>2500</v>
      </c>
      <c r="H83" s="496"/>
      <c r="I83" s="496"/>
      <c r="J83" s="496"/>
      <c r="K83" s="496"/>
      <c r="L83" s="496"/>
      <c r="M83" s="1291"/>
      <c r="N83" s="2978"/>
      <c r="O83" s="2978"/>
      <c r="P83" s="2986"/>
      <c r="Q83" s="2963"/>
      <c r="R83" s="2949"/>
      <c r="S83" s="2949"/>
      <c r="T83" s="2949"/>
      <c r="U83" s="2949"/>
      <c r="V83" s="2949"/>
      <c r="W83" s="2949"/>
      <c r="X83" s="2949"/>
      <c r="Y83" s="2949"/>
      <c r="Z83" s="2949"/>
      <c r="AA83" s="2949"/>
      <c r="AB83" s="2949"/>
      <c r="AC83" s="294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8"/>
      <c r="O84" s="2978"/>
      <c r="P84" s="2986"/>
      <c r="Q84" s="2963"/>
      <c r="R84" s="2949"/>
      <c r="S84" s="2949"/>
      <c r="T84" s="2949"/>
      <c r="U84" s="2949"/>
      <c r="V84" s="2949"/>
      <c r="W84" s="2949"/>
      <c r="X84" s="2949"/>
      <c r="Y84" s="2949"/>
      <c r="Z84" s="2949"/>
      <c r="AA84" s="2949"/>
      <c r="AB84" s="2949"/>
      <c r="AC84" s="2949"/>
    </row>
    <row r="85" spans="1:29" ht="15.75" thickTop="1">
      <c r="A85" s="491"/>
      <c r="B85" s="495" t="s">
        <v>2519</v>
      </c>
      <c r="C85" s="535" t="s">
        <v>2418</v>
      </c>
      <c r="D85" s="535" t="s">
        <v>2419</v>
      </c>
      <c r="E85" s="535" t="s">
        <v>2420</v>
      </c>
      <c r="F85" s="535" t="s">
        <v>2421</v>
      </c>
      <c r="G85" s="535" t="s">
        <v>2422</v>
      </c>
      <c r="H85" s="496"/>
      <c r="I85" s="496"/>
      <c r="J85" s="496"/>
      <c r="K85" s="497"/>
      <c r="L85" s="498"/>
      <c r="M85" s="499"/>
      <c r="N85" s="2977"/>
      <c r="O85" s="2977"/>
      <c r="P85" s="2986"/>
      <c r="Q85" s="2963"/>
      <c r="R85" s="2949"/>
      <c r="S85" s="2949"/>
      <c r="T85" s="2949"/>
      <c r="U85" s="2949"/>
      <c r="V85" s="2949"/>
      <c r="W85" s="2949"/>
      <c r="X85" s="2949"/>
      <c r="Y85" s="2949"/>
      <c r="Z85" s="2949"/>
      <c r="AA85" s="2949"/>
      <c r="AB85" s="2949"/>
      <c r="AC85" s="2949"/>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8"/>
      <c r="O86" s="2978"/>
      <c r="P86" s="2986"/>
      <c r="Q86" s="2963"/>
      <c r="R86" s="2949"/>
      <c r="S86" s="2949"/>
      <c r="T86" s="2949"/>
      <c r="U86" s="2949"/>
      <c r="V86" s="2949"/>
      <c r="W86" s="2949"/>
      <c r="X86" s="2949"/>
      <c r="Y86" s="2949"/>
      <c r="Z86" s="2949"/>
      <c r="AA86" s="2949"/>
      <c r="AB86" s="2949"/>
      <c r="AC86" s="2949"/>
    </row>
    <row r="87" spans="1:29" s="113" customFormat="1" ht="27.75" thickTop="1">
      <c r="A87" s="536"/>
      <c r="B87" s="495" t="s">
        <v>2520</v>
      </c>
      <c r="C87" s="511"/>
      <c r="D87" s="511"/>
      <c r="E87" s="511"/>
      <c r="F87" s="511"/>
      <c r="G87" s="511"/>
      <c r="H87" s="511"/>
      <c r="I87" s="511"/>
      <c r="J87" s="511"/>
      <c r="K87" s="511"/>
      <c r="L87" s="537"/>
      <c r="M87" s="538"/>
      <c r="N87" s="2976"/>
      <c r="O87" s="2976"/>
      <c r="P87" s="2986"/>
      <c r="Q87" s="2963"/>
      <c r="R87" s="2884"/>
      <c r="S87" s="2884"/>
      <c r="T87" s="2884"/>
      <c r="U87" s="2884"/>
      <c r="V87" s="2884"/>
      <c r="W87" s="2884"/>
      <c r="X87" s="2884"/>
      <c r="Y87" s="2884"/>
      <c r="Z87" s="2884"/>
      <c r="AA87" s="2884"/>
      <c r="AB87" s="2884"/>
      <c r="AC87" s="288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8"/>
      <c r="O88" s="2978"/>
      <c r="P88" s="2986"/>
      <c r="Q88" s="2963"/>
      <c r="R88" s="2884"/>
      <c r="S88" s="2884"/>
      <c r="T88" s="2884"/>
      <c r="U88" s="2884"/>
      <c r="V88" s="2884"/>
      <c r="W88" s="2884"/>
      <c r="X88" s="2884"/>
      <c r="Y88" s="2884"/>
      <c r="Z88" s="2884"/>
      <c r="AA88" s="2884"/>
      <c r="AB88" s="2884"/>
      <c r="AC88" s="2884"/>
    </row>
    <row r="89" spans="1:29" s="113" customFormat="1" ht="15.75" thickTop="1">
      <c r="A89" s="536"/>
      <c r="B89" s="495" t="str">
        <f>B27</f>
        <v>楼层</v>
      </c>
      <c r="C89" s="511"/>
      <c r="D89" s="511"/>
      <c r="E89" s="511"/>
      <c r="F89" s="2113"/>
      <c r="G89" s="511"/>
      <c r="H89" s="511"/>
      <c r="I89" s="511"/>
      <c r="J89" s="511"/>
      <c r="K89" s="511"/>
      <c r="L89" s="511"/>
      <c r="M89" s="538"/>
      <c r="N89" s="2976"/>
      <c r="O89" s="2976"/>
      <c r="P89" s="2986"/>
      <c r="Q89" s="2963"/>
      <c r="R89" s="2884"/>
      <c r="S89" s="2884"/>
      <c r="T89" s="2884"/>
      <c r="U89" s="2884"/>
      <c r="V89" s="2884"/>
      <c r="W89" s="2884"/>
      <c r="X89" s="2884"/>
      <c r="Y89" s="2884"/>
      <c r="Z89" s="2884"/>
      <c r="AA89" s="2884"/>
      <c r="AB89" s="2884"/>
      <c r="AC89" s="288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8"/>
      <c r="O90" s="2978"/>
      <c r="P90" s="2986"/>
      <c r="Q90" s="2963"/>
      <c r="R90" s="2884"/>
      <c r="S90" s="2884"/>
      <c r="T90" s="2884"/>
      <c r="U90" s="2884"/>
      <c r="V90" s="2884"/>
      <c r="W90" s="2884"/>
      <c r="X90" s="2884"/>
      <c r="Y90" s="2884"/>
      <c r="Z90" s="2884"/>
      <c r="AA90" s="2884"/>
      <c r="AB90" s="2884"/>
      <c r="AC90" s="2884"/>
    </row>
    <row r="91" spans="1:29" s="430" customFormat="1" ht="15.75" thickTop="1">
      <c r="A91" s="510"/>
      <c r="B91" s="495" t="str">
        <f>B28</f>
        <v>朝向</v>
      </c>
      <c r="C91" s="511"/>
      <c r="D91" s="511"/>
      <c r="E91" s="511"/>
      <c r="F91" s="511"/>
      <c r="G91" s="511"/>
      <c r="H91" s="512"/>
      <c r="I91" s="512"/>
      <c r="J91" s="512"/>
      <c r="K91" s="512"/>
      <c r="L91" s="513"/>
      <c r="M91" s="514"/>
      <c r="N91" s="2979"/>
      <c r="O91" s="2979"/>
      <c r="P91" s="2987"/>
      <c r="Q91" s="2970"/>
      <c r="R91" s="2971"/>
      <c r="S91" s="2971"/>
      <c r="T91" s="2971"/>
      <c r="U91" s="2971"/>
      <c r="V91" s="2971"/>
      <c r="W91" s="2971"/>
      <c r="X91" s="2971"/>
      <c r="Y91" s="2971"/>
      <c r="Z91" s="2971"/>
      <c r="AA91" s="2971"/>
      <c r="AB91" s="2971"/>
      <c r="AC91" s="297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9"/>
      <c r="O92" s="2979"/>
      <c r="P92" s="2987"/>
      <c r="Q92" s="2970"/>
      <c r="R92" s="2971"/>
      <c r="S92" s="2971"/>
      <c r="T92" s="2971"/>
      <c r="U92" s="2971"/>
      <c r="V92" s="2971"/>
      <c r="W92" s="2971"/>
      <c r="X92" s="2971"/>
      <c r="Y92" s="2971"/>
      <c r="Z92" s="2971"/>
      <c r="AA92" s="2971"/>
      <c r="AB92" s="2971"/>
      <c r="AC92" s="2971"/>
    </row>
    <row r="93" spans="1:29" ht="15.75" thickTop="1">
      <c r="A93" s="491"/>
      <c r="B93" s="495">
        <f>B29</f>
        <v>111</v>
      </c>
      <c r="C93" s="511"/>
      <c r="D93" s="511"/>
      <c r="E93" s="511"/>
      <c r="F93" s="511"/>
      <c r="G93" s="511"/>
      <c r="H93" s="511"/>
      <c r="I93" s="511"/>
      <c r="J93" s="511"/>
      <c r="K93" s="511"/>
      <c r="L93" s="537"/>
      <c r="M93" s="538"/>
      <c r="N93" s="2977"/>
      <c r="O93" s="2977"/>
      <c r="P93" s="2986"/>
      <c r="Q93" s="2963"/>
      <c r="R93" s="2949"/>
      <c r="S93" s="2949"/>
      <c r="T93" s="2949"/>
      <c r="U93" s="2949"/>
      <c r="V93" s="2949"/>
      <c r="W93" s="2949"/>
      <c r="X93" s="2949"/>
      <c r="Y93" s="2949"/>
      <c r="Z93" s="2949"/>
      <c r="AA93" s="2949"/>
      <c r="AB93" s="2949"/>
      <c r="AC93" s="2949"/>
    </row>
    <row r="94" spans="1:29" ht="15.75" thickBot="1">
      <c r="A94" s="491"/>
      <c r="B94" s="500"/>
      <c r="C94" s="517"/>
      <c r="D94" s="493"/>
      <c r="E94" s="493"/>
      <c r="F94" s="493"/>
      <c r="G94" s="493"/>
      <c r="H94" s="493"/>
      <c r="I94" s="493"/>
      <c r="J94" s="493"/>
      <c r="K94" s="493"/>
      <c r="L94" s="493"/>
      <c r="M94" s="494"/>
      <c r="N94" s="2978"/>
      <c r="O94" s="2978"/>
      <c r="P94" s="2986"/>
      <c r="Q94" s="2963"/>
      <c r="R94" s="2949"/>
      <c r="S94" s="2949"/>
      <c r="T94" s="2949"/>
      <c r="U94" s="2949"/>
      <c r="V94" s="2949"/>
      <c r="W94" s="2949"/>
      <c r="X94" s="2949"/>
      <c r="Y94" s="2949"/>
      <c r="Z94" s="2949"/>
      <c r="AA94" s="2949"/>
      <c r="AB94" s="2949"/>
      <c r="AC94" s="2949"/>
    </row>
    <row r="95" spans="1:29" ht="15.75" thickTop="1">
      <c r="A95" s="491"/>
      <c r="B95" s="495">
        <f>B30</f>
        <v>111</v>
      </c>
      <c r="C95" s="511"/>
      <c r="D95" s="511"/>
      <c r="E95" s="511"/>
      <c r="F95" s="511"/>
      <c r="G95" s="540"/>
      <c r="H95" s="540"/>
      <c r="I95" s="540"/>
      <c r="J95" s="540"/>
      <c r="K95" s="541"/>
      <c r="L95" s="542"/>
      <c r="M95" s="543"/>
      <c r="N95" s="2977"/>
      <c r="O95" s="2977"/>
      <c r="P95" s="2986"/>
      <c r="Q95" s="2963"/>
      <c r="R95" s="2949"/>
      <c r="S95" s="2949"/>
      <c r="T95" s="2949"/>
      <c r="U95" s="2949"/>
      <c r="V95" s="2949"/>
      <c r="W95" s="2949"/>
      <c r="X95" s="2949"/>
      <c r="Y95" s="2949"/>
      <c r="Z95" s="2949"/>
      <c r="AA95" s="2949"/>
      <c r="AB95" s="2949"/>
      <c r="AC95" s="2949"/>
    </row>
    <row r="96" spans="1:29" ht="15.75" thickBot="1">
      <c r="A96" s="491"/>
      <c r="B96" s="500"/>
      <c r="C96" s="517"/>
      <c r="D96" s="517"/>
      <c r="E96" s="517"/>
      <c r="F96" s="517"/>
      <c r="G96" s="493"/>
      <c r="H96" s="493"/>
      <c r="I96" s="493"/>
      <c r="J96" s="493"/>
      <c r="K96" s="493"/>
      <c r="L96" s="493"/>
      <c r="M96" s="494"/>
      <c r="N96" s="2978"/>
      <c r="O96" s="2978"/>
      <c r="P96" s="2986"/>
      <c r="Q96" s="2963"/>
      <c r="R96" s="2949"/>
      <c r="S96" s="2949"/>
      <c r="T96" s="2949"/>
      <c r="U96" s="2949"/>
      <c r="V96" s="2949"/>
      <c r="W96" s="2949"/>
      <c r="X96" s="2949"/>
      <c r="Y96" s="2949"/>
      <c r="Z96" s="2949"/>
      <c r="AA96" s="2949"/>
      <c r="AB96" s="2949"/>
      <c r="AC96" s="2949"/>
    </row>
    <row r="97" spans="1:29" ht="15.75" thickTop="1">
      <c r="A97" s="491"/>
      <c r="B97" s="495">
        <f>B31</f>
        <v>111</v>
      </c>
      <c r="C97" s="511"/>
      <c r="D97" s="511"/>
      <c r="E97" s="511"/>
      <c r="F97" s="511"/>
      <c r="G97" s="540"/>
      <c r="H97" s="540"/>
      <c r="I97" s="540"/>
      <c r="J97" s="540"/>
      <c r="K97" s="541"/>
      <c r="L97" s="542"/>
      <c r="M97" s="543"/>
      <c r="N97" s="2977"/>
      <c r="O97" s="2977"/>
      <c r="P97" s="2986"/>
      <c r="Q97" s="2963"/>
      <c r="R97" s="2949"/>
      <c r="S97" s="2949"/>
      <c r="T97" s="2949"/>
      <c r="U97" s="2949"/>
      <c r="V97" s="2949"/>
      <c r="W97" s="2949"/>
      <c r="X97" s="2949"/>
      <c r="Y97" s="2949"/>
      <c r="Z97" s="2949"/>
      <c r="AA97" s="2949"/>
      <c r="AB97" s="2949"/>
      <c r="AC97" s="2949"/>
    </row>
    <row r="98" spans="1:29" ht="15.75" thickBot="1">
      <c r="A98" s="491"/>
      <c r="B98" s="500"/>
      <c r="C98" s="517"/>
      <c r="D98" s="493"/>
      <c r="E98" s="493"/>
      <c r="F98" s="493"/>
      <c r="G98" s="493"/>
      <c r="H98" s="493"/>
      <c r="I98" s="493"/>
      <c r="J98" s="493"/>
      <c r="K98" s="493"/>
      <c r="L98" s="493"/>
      <c r="M98" s="494"/>
      <c r="N98" s="2978"/>
      <c r="O98" s="2978"/>
      <c r="P98" s="2986"/>
      <c r="Q98" s="2963"/>
      <c r="R98" s="2949"/>
      <c r="S98" s="2949"/>
      <c r="T98" s="2949"/>
      <c r="U98" s="2949"/>
      <c r="V98" s="2949"/>
      <c r="W98" s="2949"/>
      <c r="X98" s="2949"/>
      <c r="Y98" s="2949"/>
      <c r="Z98" s="2949"/>
      <c r="AA98" s="2949"/>
      <c r="AB98" s="2949"/>
      <c r="AC98" s="2949"/>
    </row>
    <row r="99" spans="1:29" ht="15.75" thickTop="1">
      <c r="A99" s="491"/>
      <c r="B99" s="503">
        <f>B32</f>
        <v>111</v>
      </c>
      <c r="C99" s="480"/>
      <c r="D99" s="480"/>
      <c r="E99" s="480"/>
      <c r="F99" s="480"/>
      <c r="G99" s="544"/>
      <c r="H99" s="544"/>
      <c r="I99" s="544"/>
      <c r="J99" s="544"/>
      <c r="K99" s="545"/>
      <c r="L99" s="546"/>
      <c r="M99" s="547"/>
      <c r="N99" s="2977"/>
      <c r="O99" s="2977"/>
      <c r="P99" s="2986"/>
      <c r="Q99" s="2963"/>
      <c r="R99" s="2949"/>
      <c r="S99" s="2949"/>
      <c r="T99" s="2949"/>
      <c r="U99" s="2949"/>
      <c r="V99" s="2949"/>
      <c r="W99" s="2949"/>
      <c r="X99" s="2949"/>
      <c r="Y99" s="2949"/>
      <c r="Z99" s="2949"/>
      <c r="AA99" s="2949"/>
      <c r="AB99" s="2949"/>
      <c r="AC99" s="2949"/>
    </row>
    <row r="100" spans="1:29" ht="15.75" thickBot="1">
      <c r="A100" s="2114"/>
      <c r="B100" s="526"/>
      <c r="C100" s="527"/>
      <c r="D100" s="527"/>
      <c r="E100" s="527"/>
      <c r="F100" s="527"/>
      <c r="G100" s="548"/>
      <c r="H100" s="548"/>
      <c r="I100" s="548"/>
      <c r="J100" s="548"/>
      <c r="K100" s="548"/>
      <c r="L100" s="548"/>
      <c r="M100" s="549"/>
      <c r="N100" s="2978"/>
      <c r="O100" s="2978"/>
      <c r="P100" s="2986"/>
      <c r="Q100" s="2963"/>
      <c r="R100" s="2949"/>
      <c r="S100" s="2949"/>
      <c r="T100" s="2949"/>
      <c r="U100" s="2949"/>
      <c r="V100" s="2949"/>
      <c r="W100" s="2949"/>
      <c r="X100" s="2949"/>
      <c r="Y100" s="2949"/>
      <c r="Z100" s="2949"/>
      <c r="AA100" s="2949"/>
      <c r="AB100" s="2949"/>
      <c r="AC100" s="2949"/>
    </row>
    <row r="101" spans="1:29">
      <c r="A101" s="484" t="s">
        <v>2384</v>
      </c>
      <c r="B101" s="485" t="s">
        <v>2433</v>
      </c>
      <c r="C101" s="487"/>
      <c r="D101" s="487"/>
      <c r="E101" s="487"/>
      <c r="F101" s="487"/>
      <c r="G101" s="487"/>
      <c r="H101" s="487"/>
      <c r="I101" s="487"/>
      <c r="J101" s="487"/>
      <c r="K101" s="488"/>
      <c r="L101" s="489"/>
      <c r="M101" s="490"/>
      <c r="N101" s="2977"/>
      <c r="O101" s="2977"/>
      <c r="P101" s="2986"/>
      <c r="Q101" s="2963"/>
      <c r="R101" s="2949"/>
      <c r="S101" s="2949"/>
      <c r="T101" s="2949"/>
      <c r="U101" s="2949"/>
      <c r="V101" s="2949"/>
      <c r="W101" s="2949"/>
      <c r="X101" s="2949"/>
      <c r="Y101" s="2949"/>
      <c r="Z101" s="2949"/>
      <c r="AA101" s="2949"/>
      <c r="AB101" s="2949"/>
      <c r="AC101" s="2949"/>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30" customFormat="1">
      <c r="A104" s="550"/>
      <c r="B104" s="551"/>
      <c r="C104" s="552"/>
      <c r="D104" s="552"/>
      <c r="E104" s="552"/>
      <c r="F104" s="552"/>
      <c r="G104" s="552"/>
      <c r="H104" s="552"/>
      <c r="I104" s="552"/>
      <c r="J104" s="553"/>
      <c r="K104" s="553"/>
      <c r="L104" s="554"/>
      <c r="M104" s="555"/>
      <c r="N104" s="2979"/>
      <c r="O104" s="2979"/>
      <c r="P104" s="2987"/>
      <c r="Q104" s="2970"/>
      <c r="R104" s="2971"/>
      <c r="S104" s="2971"/>
      <c r="T104" s="2971"/>
      <c r="U104" s="2971"/>
      <c r="V104" s="2971"/>
      <c r="W104" s="2971"/>
      <c r="X104" s="2971"/>
      <c r="Y104" s="2971"/>
      <c r="Z104" s="2971"/>
      <c r="AA104" s="2971"/>
      <c r="AB104" s="2971"/>
      <c r="AC104" s="2971"/>
    </row>
    <row r="105" spans="1:29" s="430" customFormat="1" ht="15.75" thickBot="1">
      <c r="A105" s="510"/>
      <c r="B105" s="500"/>
      <c r="C105" s="517"/>
      <c r="D105" s="493"/>
      <c r="E105" s="493"/>
      <c r="F105" s="493"/>
      <c r="G105" s="493"/>
      <c r="H105" s="493"/>
      <c r="I105" s="493"/>
      <c r="J105" s="493"/>
      <c r="K105" s="493"/>
      <c r="L105" s="493"/>
      <c r="M105" s="494"/>
      <c r="N105" s="2978"/>
      <c r="O105" s="2978"/>
      <c r="P105" s="2987"/>
      <c r="Q105" s="2970"/>
      <c r="R105" s="2971"/>
      <c r="S105" s="2971"/>
      <c r="T105" s="2971"/>
      <c r="U105" s="2971"/>
      <c r="V105" s="2971"/>
      <c r="W105" s="2971"/>
      <c r="X105" s="2971"/>
      <c r="Y105" s="2971"/>
      <c r="Z105" s="2971"/>
      <c r="AA105" s="2971"/>
      <c r="AB105" s="2971"/>
      <c r="AC105" s="2971"/>
    </row>
    <row r="106" spans="1:29" ht="15" thickTop="1">
      <c r="A106" s="556"/>
      <c r="B106" s="495" t="s">
        <v>2435</v>
      </c>
      <c r="C106" s="511"/>
      <c r="D106" s="511"/>
      <c r="E106" s="540"/>
      <c r="F106" s="540"/>
      <c r="G106" s="540"/>
      <c r="H106" s="540"/>
      <c r="I106" s="540"/>
      <c r="J106" s="540"/>
      <c r="K106" s="541"/>
      <c r="L106" s="542"/>
      <c r="M106" s="543"/>
      <c r="N106" s="2977"/>
      <c r="O106" s="2977"/>
      <c r="P106" s="2986"/>
      <c r="Q106" s="2963"/>
      <c r="R106" s="2949"/>
      <c r="S106" s="2949"/>
      <c r="T106" s="2949"/>
      <c r="U106" s="2949"/>
      <c r="V106" s="2949"/>
      <c r="W106" s="2949"/>
      <c r="X106" s="2949"/>
      <c r="Y106" s="2949"/>
      <c r="Z106" s="2949"/>
      <c r="AA106" s="2949"/>
      <c r="AB106" s="2949"/>
      <c r="AC106" s="2949"/>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6"/>
      <c r="B108" s="495" t="s">
        <v>2437</v>
      </c>
      <c r="C108" s="511"/>
      <c r="D108" s="511"/>
      <c r="E108" s="511"/>
      <c r="F108" s="540"/>
      <c r="G108" s="540"/>
      <c r="H108" s="540"/>
      <c r="I108" s="540"/>
      <c r="J108" s="540"/>
      <c r="K108" s="541"/>
      <c r="L108" s="542"/>
      <c r="M108" s="543"/>
      <c r="N108" s="2977"/>
      <c r="O108" s="2977"/>
      <c r="P108" s="2986"/>
      <c r="Q108" s="2963"/>
      <c r="R108" s="2949"/>
      <c r="S108" s="2949"/>
      <c r="T108" s="2949"/>
      <c r="U108" s="2949"/>
      <c r="V108" s="2949"/>
      <c r="W108" s="2949"/>
      <c r="X108" s="2949"/>
      <c r="Y108" s="2949"/>
      <c r="Z108" s="2949"/>
      <c r="AA108" s="2949"/>
      <c r="AB108" s="2949"/>
      <c r="AC108" s="2949"/>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7"/>
      <c r="O110" s="2977"/>
      <c r="P110" s="2986"/>
      <c r="Q110" s="2963"/>
      <c r="R110" s="2949"/>
      <c r="S110" s="2949"/>
      <c r="T110" s="2949"/>
      <c r="U110" s="2949"/>
      <c r="V110" s="2949"/>
      <c r="W110" s="2949"/>
      <c r="X110" s="2949"/>
      <c r="Y110" s="2949"/>
      <c r="Z110" s="2949"/>
      <c r="AA110" s="2949"/>
      <c r="AB110" s="2949"/>
      <c r="AC110" s="2949"/>
    </row>
    <row r="111" spans="1:29">
      <c r="A111" s="556"/>
      <c r="B111" s="503"/>
      <c r="C111" s="560">
        <v>0.5</v>
      </c>
      <c r="D111" s="560">
        <v>0.6</v>
      </c>
      <c r="E111" s="560">
        <v>0.7</v>
      </c>
      <c r="F111" s="560">
        <v>0.8</v>
      </c>
      <c r="G111" s="560">
        <v>0.9</v>
      </c>
      <c r="H111" s="560">
        <v>1.0001</v>
      </c>
      <c r="I111" s="579"/>
      <c r="J111" s="579"/>
      <c r="K111" s="580"/>
      <c r="L111" s="581"/>
      <c r="M111" s="582"/>
      <c r="N111" s="2977"/>
      <c r="O111" s="2977"/>
      <c r="P111" s="2986"/>
      <c r="Q111" s="2963"/>
      <c r="R111" s="2949"/>
      <c r="S111" s="2949"/>
      <c r="T111" s="2949"/>
      <c r="U111" s="2949"/>
      <c r="V111" s="2949"/>
      <c r="W111" s="2949"/>
      <c r="X111" s="2949"/>
      <c r="Y111" s="2949"/>
      <c r="Z111" s="2949"/>
      <c r="AA111" s="2949"/>
      <c r="AB111" s="2949"/>
      <c r="AC111" s="2949"/>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8"/>
      <c r="O112" s="2978"/>
      <c r="P112" s="2986"/>
      <c r="Q112" s="2963"/>
      <c r="R112" s="2949"/>
      <c r="S112" s="2949"/>
      <c r="T112" s="2949"/>
      <c r="U112" s="2949"/>
      <c r="V112" s="2949"/>
      <c r="W112" s="2949"/>
      <c r="X112" s="2949"/>
      <c r="Y112" s="2949"/>
      <c r="Z112" s="2949"/>
      <c r="AA112" s="2949"/>
      <c r="AB112" s="2949"/>
      <c r="AC112" s="2949"/>
    </row>
    <row r="113" spans="1:29" s="430" customFormat="1" ht="15" thickTop="1">
      <c r="A113" s="550"/>
      <c r="B113" s="495" t="s">
        <v>2521</v>
      </c>
      <c r="C113" s="511"/>
      <c r="D113" s="511"/>
      <c r="E113" s="511"/>
      <c r="F113" s="511"/>
      <c r="G113" s="511"/>
      <c r="H113" s="540"/>
      <c r="I113" s="540"/>
      <c r="J113" s="540"/>
      <c r="K113" s="541"/>
      <c r="L113" s="542"/>
      <c r="M113" s="543"/>
      <c r="N113" s="2979"/>
      <c r="O113" s="2979"/>
      <c r="P113" s="2987"/>
      <c r="Q113" s="2970"/>
      <c r="R113" s="2971"/>
      <c r="S113" s="2971"/>
      <c r="T113" s="2971"/>
      <c r="U113" s="2971"/>
      <c r="V113" s="2971"/>
      <c r="W113" s="2971"/>
      <c r="X113" s="2971"/>
      <c r="Y113" s="2971"/>
      <c r="Z113" s="2971"/>
      <c r="AA113" s="2971"/>
      <c r="AB113" s="2971"/>
      <c r="AC113" s="297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6"/>
      <c r="B115" s="495" t="s">
        <v>2438</v>
      </c>
      <c r="C115" s="511"/>
      <c r="D115" s="511"/>
      <c r="E115" s="540"/>
      <c r="F115" s="540"/>
      <c r="G115" s="540"/>
      <c r="H115" s="540"/>
      <c r="I115" s="540"/>
      <c r="J115" s="540"/>
      <c r="K115" s="541"/>
      <c r="L115" s="542"/>
      <c r="M115" s="543"/>
      <c r="N115" s="2977"/>
      <c r="O115" s="2977"/>
      <c r="P115" s="2986"/>
      <c r="Q115" s="2963"/>
      <c r="R115" s="2949"/>
      <c r="S115" s="2949"/>
      <c r="T115" s="2949"/>
      <c r="U115" s="2949"/>
      <c r="V115" s="2949"/>
      <c r="W115" s="2949"/>
      <c r="X115" s="2949"/>
      <c r="Y115" s="2949"/>
      <c r="Z115" s="2949"/>
      <c r="AA115" s="2949"/>
      <c r="AB115" s="2949"/>
      <c r="AC115" s="2949"/>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6"/>
      <c r="B117" s="495" t="s">
        <v>2439</v>
      </c>
      <c r="C117" s="511"/>
      <c r="D117" s="511"/>
      <c r="E117" s="511"/>
      <c r="F117" s="511"/>
      <c r="G117" s="511"/>
      <c r="H117" s="540"/>
      <c r="I117" s="540"/>
      <c r="J117" s="540"/>
      <c r="K117" s="541"/>
      <c r="L117" s="542"/>
      <c r="M117" s="543"/>
      <c r="N117" s="2977"/>
      <c r="O117" s="2977"/>
      <c r="P117" s="2986"/>
      <c r="Q117" s="2963"/>
      <c r="R117" s="2949"/>
      <c r="S117" s="2949"/>
      <c r="T117" s="2949"/>
      <c r="U117" s="2949"/>
      <c r="V117" s="2949"/>
      <c r="W117" s="2949"/>
      <c r="X117" s="2949"/>
      <c r="Y117" s="2949"/>
      <c r="Z117" s="2949"/>
      <c r="AA117" s="2949"/>
      <c r="AB117" s="2949"/>
      <c r="AC117" s="294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8"/>
      <c r="O118" s="2978"/>
      <c r="P118" s="2986"/>
      <c r="Q118" s="2963"/>
      <c r="R118" s="2949"/>
      <c r="S118" s="2949"/>
      <c r="T118" s="2949"/>
      <c r="U118" s="2949"/>
      <c r="V118" s="2949"/>
      <c r="W118" s="2949"/>
      <c r="X118" s="2949"/>
      <c r="Y118" s="2949"/>
      <c r="Z118" s="2949"/>
      <c r="AA118" s="2949"/>
      <c r="AB118" s="2949"/>
      <c r="AC118" s="2949"/>
    </row>
    <row r="119" spans="1:29" ht="15" thickTop="1">
      <c r="A119" s="556"/>
      <c r="B119" s="592" t="s">
        <v>2522</v>
      </c>
      <c r="C119" s="540"/>
      <c r="D119" s="540"/>
      <c r="E119" s="540"/>
      <c r="F119" s="540"/>
      <c r="G119" s="540"/>
      <c r="H119" s="540"/>
      <c r="I119" s="540"/>
      <c r="J119" s="540"/>
      <c r="K119" s="540"/>
      <c r="L119" s="2154"/>
      <c r="M119" s="2155"/>
      <c r="N119" s="2978"/>
      <c r="O119" s="2978"/>
      <c r="P119" s="2991"/>
      <c r="Q119" s="2992"/>
      <c r="R119" s="2949"/>
      <c r="S119" s="2949"/>
      <c r="T119" s="2949"/>
      <c r="U119" s="2949"/>
      <c r="V119" s="2949"/>
      <c r="W119" s="2949"/>
      <c r="X119" s="2949"/>
      <c r="Y119" s="2949"/>
      <c r="Z119" s="2949"/>
      <c r="AA119" s="2949"/>
      <c r="AB119" s="2949"/>
      <c r="AC119" s="294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8"/>
      <c r="O120" s="2978"/>
      <c r="P120" s="2986"/>
      <c r="Q120" s="2963"/>
      <c r="R120" s="2949"/>
      <c r="S120" s="2949"/>
      <c r="T120" s="2949"/>
      <c r="U120" s="2949"/>
      <c r="V120" s="2949"/>
      <c r="W120" s="2949"/>
      <c r="X120" s="2949"/>
      <c r="Y120" s="2949"/>
      <c r="Z120" s="2949"/>
      <c r="AA120" s="2949"/>
      <c r="AB120" s="2949"/>
      <c r="AC120" s="2949"/>
    </row>
    <row r="121" spans="1:29" s="430" customFormat="1" ht="15" thickTop="1">
      <c r="A121" s="550"/>
      <c r="B121" s="495" t="s">
        <v>2505</v>
      </c>
      <c r="C121" s="511"/>
      <c r="D121" s="511"/>
      <c r="E121" s="511"/>
      <c r="F121" s="540"/>
      <c r="G121" s="512"/>
      <c r="H121" s="512"/>
      <c r="I121" s="512"/>
      <c r="J121" s="512"/>
      <c r="K121" s="512"/>
      <c r="L121" s="513"/>
      <c r="M121" s="514"/>
      <c r="N121" s="2979"/>
      <c r="O121" s="2979"/>
      <c r="P121" s="2987"/>
      <c r="Q121" s="2970"/>
      <c r="R121" s="2971"/>
      <c r="S121" s="2971"/>
      <c r="T121" s="2971"/>
      <c r="U121" s="2971"/>
      <c r="V121" s="2971"/>
      <c r="W121" s="2971"/>
      <c r="X121" s="2971"/>
      <c r="Y121" s="2971"/>
      <c r="Z121" s="2971"/>
      <c r="AA121" s="2971"/>
      <c r="AB121" s="2971"/>
      <c r="AC121" s="2971"/>
    </row>
    <row r="122" spans="1:29" s="430" customFormat="1" ht="15.75" thickBot="1">
      <c r="A122" s="510"/>
      <c r="B122" s="492"/>
      <c r="C122" s="517"/>
      <c r="D122" s="517"/>
      <c r="E122" s="517"/>
      <c r="F122" s="517"/>
      <c r="G122" s="517"/>
      <c r="H122" s="517"/>
      <c r="I122" s="517"/>
      <c r="J122" s="517"/>
      <c r="K122" s="517"/>
      <c r="L122" s="517"/>
      <c r="M122" s="517"/>
      <c r="N122" s="2979"/>
      <c r="O122" s="2979"/>
      <c r="P122" s="2987"/>
      <c r="Q122" s="2970"/>
      <c r="R122" s="2971"/>
      <c r="S122" s="2971"/>
      <c r="T122" s="2971"/>
      <c r="U122" s="2971"/>
      <c r="V122" s="2971"/>
      <c r="W122" s="2971"/>
      <c r="X122" s="2971"/>
      <c r="Y122" s="2971"/>
      <c r="Z122" s="2971"/>
      <c r="AA122" s="2971"/>
      <c r="AB122" s="2971"/>
      <c r="AC122" s="2971"/>
    </row>
    <row r="123" spans="1:29" ht="15" thickTop="1">
      <c r="A123" s="556"/>
      <c r="B123" s="495" t="s">
        <v>2441</v>
      </c>
      <c r="C123" s="511"/>
      <c r="D123" s="511"/>
      <c r="E123" s="511"/>
      <c r="F123" s="540"/>
      <c r="G123" s="540"/>
      <c r="H123" s="540"/>
      <c r="I123" s="540"/>
      <c r="J123" s="540"/>
      <c r="K123" s="541"/>
      <c r="L123" s="542"/>
      <c r="M123" s="543"/>
      <c r="N123" s="2977"/>
      <c r="O123" s="2977"/>
      <c r="P123" s="2986"/>
      <c r="Q123" s="2963"/>
      <c r="R123" s="2949"/>
      <c r="S123" s="2949"/>
      <c r="T123" s="2949"/>
      <c r="U123" s="2949"/>
      <c r="V123" s="2949"/>
      <c r="W123" s="2949"/>
      <c r="X123" s="2949"/>
      <c r="Y123" s="2949"/>
      <c r="Z123" s="2949"/>
      <c r="AA123" s="2949"/>
      <c r="AB123" s="2949"/>
      <c r="AC123" s="2949"/>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7"/>
      <c r="O125" s="2977"/>
      <c r="P125" s="2987"/>
      <c r="Q125" s="2963"/>
      <c r="R125" s="2949"/>
      <c r="S125" s="2949"/>
      <c r="T125" s="2949"/>
      <c r="U125" s="2949"/>
      <c r="V125" s="2949"/>
      <c r="W125" s="2949"/>
      <c r="X125" s="2949"/>
      <c r="Y125" s="2949"/>
      <c r="Z125" s="2949"/>
      <c r="AA125" s="2949"/>
      <c r="AB125" s="2949"/>
      <c r="AC125" s="2949"/>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8"/>
      <c r="O126" s="2978"/>
      <c r="P126" s="2986"/>
      <c r="Q126" s="2963"/>
      <c r="R126" s="2949"/>
      <c r="S126" s="2949"/>
      <c r="T126" s="2949"/>
      <c r="U126" s="2949"/>
      <c r="V126" s="2949"/>
      <c r="W126" s="2949"/>
      <c r="X126" s="2949"/>
      <c r="Y126" s="2949"/>
      <c r="Z126" s="2949"/>
      <c r="AA126" s="2949"/>
      <c r="AB126" s="2949"/>
      <c r="AC126" s="2949"/>
    </row>
    <row r="127" spans="1:29" s="430" customFormat="1" ht="15" thickTop="1">
      <c r="A127" s="550"/>
      <c r="B127" s="495">
        <f>B45</f>
        <v>111</v>
      </c>
      <c r="C127" s="511"/>
      <c r="D127" s="511"/>
      <c r="E127" s="511"/>
      <c r="F127" s="511"/>
      <c r="G127" s="511"/>
      <c r="H127" s="512"/>
      <c r="I127" s="512"/>
      <c r="J127" s="512"/>
      <c r="K127" s="512"/>
      <c r="L127" s="513"/>
      <c r="M127" s="514"/>
      <c r="N127" s="2979"/>
      <c r="O127" s="2979"/>
      <c r="P127" s="2987"/>
      <c r="Q127" s="2970"/>
      <c r="R127" s="2971"/>
      <c r="S127" s="2971"/>
      <c r="T127" s="2971"/>
      <c r="U127" s="2971"/>
      <c r="V127" s="2971"/>
      <c r="W127" s="2971"/>
      <c r="X127" s="2971"/>
      <c r="Y127" s="2971"/>
      <c r="Z127" s="2971"/>
      <c r="AA127" s="2971"/>
      <c r="AB127" s="2971"/>
      <c r="AC127" s="2971"/>
    </row>
    <row r="128" spans="1:29" s="430" customFormat="1" ht="15.75" thickBot="1">
      <c r="A128" s="510"/>
      <c r="B128" s="500"/>
      <c r="C128" s="517"/>
      <c r="D128" s="493"/>
      <c r="E128" s="493"/>
      <c r="F128" s="493"/>
      <c r="G128" s="517"/>
      <c r="H128" s="519"/>
      <c r="I128" s="519"/>
      <c r="J128" s="519"/>
      <c r="K128" s="519"/>
      <c r="L128" s="519"/>
      <c r="M128" s="520"/>
      <c r="N128" s="2979"/>
      <c r="O128" s="2979"/>
      <c r="P128" s="2987"/>
      <c r="Q128" s="2970"/>
      <c r="R128" s="2971"/>
      <c r="S128" s="2971"/>
      <c r="T128" s="2971"/>
      <c r="U128" s="2971"/>
      <c r="V128" s="2971"/>
      <c r="W128" s="2971"/>
      <c r="X128" s="2971"/>
      <c r="Y128" s="2971"/>
      <c r="Z128" s="2971"/>
      <c r="AA128" s="2971"/>
      <c r="AB128" s="2971"/>
      <c r="AC128" s="2971"/>
    </row>
    <row r="129" spans="1:29" ht="15" thickTop="1">
      <c r="A129" s="556"/>
      <c r="B129" s="495">
        <f>B46</f>
        <v>111</v>
      </c>
      <c r="C129" s="511"/>
      <c r="D129" s="511"/>
      <c r="E129" s="511"/>
      <c r="F129" s="511"/>
      <c r="G129" s="540"/>
      <c r="H129" s="540"/>
      <c r="I129" s="540"/>
      <c r="J129" s="540"/>
      <c r="K129" s="541"/>
      <c r="L129" s="542"/>
      <c r="M129" s="543"/>
      <c r="N129" s="2977"/>
      <c r="O129" s="2977"/>
      <c r="P129" s="2986"/>
      <c r="Q129" s="2963"/>
      <c r="R129" s="2949"/>
      <c r="S129" s="2949"/>
      <c r="T129" s="2949"/>
      <c r="U129" s="2949"/>
      <c r="V129" s="2949"/>
      <c r="W129" s="2949"/>
      <c r="X129" s="2949"/>
      <c r="Y129" s="2949"/>
      <c r="Z129" s="2949"/>
      <c r="AA129" s="2949"/>
      <c r="AB129" s="2949"/>
      <c r="AC129" s="2949"/>
    </row>
    <row r="130" spans="1:29" ht="15.75" thickBot="1">
      <c r="A130" s="491"/>
      <c r="B130" s="500"/>
      <c r="C130" s="517"/>
      <c r="D130" s="517"/>
      <c r="E130" s="517"/>
      <c r="F130" s="517"/>
      <c r="G130" s="493"/>
      <c r="H130" s="493"/>
      <c r="I130" s="493"/>
      <c r="J130" s="493"/>
      <c r="K130" s="493"/>
      <c r="L130" s="493"/>
      <c r="M130" s="494"/>
      <c r="N130" s="2978"/>
      <c r="O130" s="2978"/>
      <c r="P130" s="2986"/>
      <c r="Q130" s="2963"/>
      <c r="R130" s="2949"/>
      <c r="S130" s="2949"/>
      <c r="T130" s="2949"/>
      <c r="U130" s="2949"/>
      <c r="V130" s="2949"/>
      <c r="W130" s="2949"/>
      <c r="X130" s="2949"/>
      <c r="Y130" s="2949"/>
      <c r="Z130" s="2949"/>
      <c r="AA130" s="2949"/>
      <c r="AB130" s="2949"/>
      <c r="AC130" s="2949"/>
    </row>
    <row r="131" spans="1:29" ht="15" thickTop="1">
      <c r="A131" s="556"/>
      <c r="B131" s="503">
        <f>B47</f>
        <v>111</v>
      </c>
      <c r="C131" s="480"/>
      <c r="D131" s="480"/>
      <c r="E131" s="480"/>
      <c r="F131" s="480"/>
      <c r="G131" s="544"/>
      <c r="H131" s="544"/>
      <c r="I131" s="544"/>
      <c r="J131" s="544"/>
      <c r="K131" s="480"/>
      <c r="L131" s="481"/>
      <c r="M131" s="547"/>
      <c r="N131" s="2977"/>
      <c r="O131" s="2977"/>
      <c r="P131" s="2986"/>
      <c r="Q131" s="2963"/>
      <c r="R131" s="2949"/>
      <c r="S131" s="2949"/>
      <c r="T131" s="2949"/>
      <c r="U131" s="2949"/>
      <c r="V131" s="2949"/>
      <c r="W131" s="2949"/>
      <c r="X131" s="2949"/>
      <c r="Y131" s="2949"/>
      <c r="Z131" s="2949"/>
      <c r="AA131" s="2949"/>
      <c r="AB131" s="2949"/>
      <c r="AC131" s="2949"/>
    </row>
    <row r="132" spans="1:29" ht="15.75" thickBot="1">
      <c r="A132" s="2114"/>
      <c r="B132" s="526"/>
      <c r="C132" s="527"/>
      <c r="D132" s="527"/>
      <c r="E132" s="527"/>
      <c r="F132" s="527"/>
      <c r="G132" s="548"/>
      <c r="H132" s="548"/>
      <c r="I132" s="548"/>
      <c r="J132" s="548"/>
      <c r="K132" s="548"/>
      <c r="L132" s="548"/>
      <c r="M132" s="549"/>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V4" sqref="V4:W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44859.7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448" t="s">
        <v>2467</v>
      </c>
      <c r="D4" s="3449"/>
      <c r="E4" s="3450" t="s">
        <v>2468</v>
      </c>
      <c r="F4" s="3451"/>
      <c r="G4" s="3448" t="s">
        <v>2469</v>
      </c>
      <c r="H4" s="3449"/>
      <c r="I4" s="3448" t="s">
        <v>2470</v>
      </c>
      <c r="J4" s="3449"/>
      <c r="K4" s="567" t="s">
        <v>2471</v>
      </c>
      <c r="L4" s="1044"/>
      <c r="M4" s="1045"/>
      <c r="N4" s="1045"/>
      <c r="O4" s="1045"/>
      <c r="P4" s="3452" t="s">
        <v>2472</v>
      </c>
      <c r="Q4" s="3453"/>
      <c r="R4" s="3435" t="s">
        <v>2468</v>
      </c>
      <c r="S4" s="3436"/>
      <c r="T4" s="3435" t="s">
        <v>2469</v>
      </c>
      <c r="U4" s="3436"/>
      <c r="V4" s="3460" t="s">
        <v>2470</v>
      </c>
      <c r="W4" s="3460"/>
      <c r="X4" s="1540"/>
      <c r="Y4" s="3435" t="s">
        <v>2472</v>
      </c>
      <c r="Z4" s="3436"/>
      <c r="AA4" s="3430" t="s">
        <v>2468</v>
      </c>
      <c r="AB4" s="3431" t="s">
        <v>2469</v>
      </c>
      <c r="AC4" s="3430" t="s">
        <v>2470</v>
      </c>
    </row>
    <row r="5" spans="1:29" ht="15">
      <c r="A5" s="364"/>
      <c r="B5" s="365"/>
      <c r="C5" s="3441" t="s">
        <v>2363</v>
      </c>
      <c r="D5" s="3442"/>
      <c r="E5" s="3439" t="s">
        <v>2364</v>
      </c>
      <c r="F5" s="3440"/>
      <c r="G5" s="3441" t="s">
        <v>2365</v>
      </c>
      <c r="H5" s="3442"/>
      <c r="I5" s="3441" t="s">
        <v>2366</v>
      </c>
      <c r="J5" s="3442"/>
      <c r="K5" s="567"/>
      <c r="L5" s="1044"/>
      <c r="M5" s="1045"/>
      <c r="N5" s="1045"/>
      <c r="O5" s="1045"/>
      <c r="P5" s="3454"/>
      <c r="Q5" s="3455"/>
      <c r="R5" s="3437"/>
      <c r="S5" s="3438"/>
      <c r="T5" s="3437"/>
      <c r="U5" s="3438"/>
      <c r="V5" s="3460"/>
      <c r="W5" s="3460"/>
      <c r="X5" s="1540"/>
      <c r="Y5" s="3437"/>
      <c r="Z5" s="3438"/>
      <c r="AA5" s="3431"/>
      <c r="AB5" s="3431"/>
      <c r="AC5" s="3431"/>
    </row>
    <row r="6" spans="1:29" ht="15.75" thickBot="1">
      <c r="A6" s="366"/>
      <c r="B6" s="367"/>
      <c r="C6" s="3443" t="s">
        <v>2367</v>
      </c>
      <c r="D6" s="3444"/>
      <c r="E6" s="3445" t="s">
        <v>2367</v>
      </c>
      <c r="F6" s="3446"/>
      <c r="G6" s="3443" t="s">
        <v>2367</v>
      </c>
      <c r="H6" s="3444"/>
      <c r="I6" s="3443" t="s">
        <v>2367</v>
      </c>
      <c r="J6" s="3444"/>
      <c r="K6" s="567" t="s">
        <v>2368</v>
      </c>
      <c r="L6" s="1044"/>
      <c r="M6" s="1045"/>
      <c r="N6" s="1045"/>
      <c r="O6" s="1045"/>
      <c r="P6" s="3456"/>
      <c r="Q6" s="3457"/>
      <c r="R6" s="3437"/>
      <c r="S6" s="3438"/>
      <c r="T6" s="3458"/>
      <c r="U6" s="3459"/>
      <c r="V6" s="3460"/>
      <c r="W6" s="3460"/>
      <c r="X6" s="1540"/>
      <c r="Y6" s="3458"/>
      <c r="Z6" s="3459"/>
      <c r="AA6" s="3432"/>
      <c r="AB6" s="3432"/>
      <c r="AC6" s="3432"/>
    </row>
    <row r="7" spans="1:29" s="113" customFormat="1" ht="15.75" thickBot="1">
      <c r="A7" s="368" t="s">
        <v>2369</v>
      </c>
      <c r="B7" s="369"/>
      <c r="C7" s="370">
        <f>'数据-取费表'!B2</f>
        <v>44280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3" t="s">
        <v>2370</v>
      </c>
      <c r="Q7" s="3461"/>
      <c r="R7" s="710" t="s">
        <v>17</v>
      </c>
      <c r="S7" s="711">
        <f t="shared" ref="S7:S15" si="0">F7</f>
        <v>0</v>
      </c>
      <c r="T7" s="710" t="s">
        <v>17</v>
      </c>
      <c r="U7" s="711">
        <f t="shared" ref="U7:U15" si="1">H7</f>
        <v>0</v>
      </c>
      <c r="V7" s="710" t="s">
        <v>17</v>
      </c>
      <c r="W7" s="711">
        <f t="shared" ref="W7:W15" si="2">J7</f>
        <v>0</v>
      </c>
      <c r="X7" s="712"/>
      <c r="Y7" s="3433" t="s">
        <v>2370</v>
      </c>
      <c r="Z7" s="3434"/>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3" t="s">
        <v>2373</v>
      </c>
      <c r="Q8" s="3434"/>
      <c r="R8" s="710" t="s">
        <v>17</v>
      </c>
      <c r="S8" s="711">
        <f t="shared" si="0"/>
        <v>0</v>
      </c>
      <c r="T8" s="710" t="s">
        <v>17</v>
      </c>
      <c r="U8" s="711">
        <f t="shared" si="1"/>
        <v>0</v>
      </c>
      <c r="V8" s="710" t="s">
        <v>17</v>
      </c>
      <c r="W8" s="711">
        <f t="shared" si="2"/>
        <v>0</v>
      </c>
      <c r="X8" s="712"/>
      <c r="Y8" s="3433" t="s">
        <v>2373</v>
      </c>
      <c r="Z8" s="3434"/>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7" t="s">
        <v>2376</v>
      </c>
      <c r="Q9" s="1528" t="str">
        <f t="shared" ref="Q9:Q15" si="6">B9</f>
        <v>用途</v>
      </c>
      <c r="R9" s="710" t="s">
        <v>17</v>
      </c>
      <c r="S9" s="711">
        <f t="shared" si="0"/>
        <v>100</v>
      </c>
      <c r="T9" s="710" t="s">
        <v>17</v>
      </c>
      <c r="U9" s="711">
        <f t="shared" si="1"/>
        <v>100</v>
      </c>
      <c r="V9" s="710" t="s">
        <v>17</v>
      </c>
      <c r="W9" s="711">
        <f t="shared" si="2"/>
        <v>100</v>
      </c>
      <c r="X9" s="712"/>
      <c r="Y9" s="339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7"/>
      <c r="Q10" s="152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7"/>
      <c r="Q11" s="152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47"/>
      <c r="Q12" s="152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47"/>
      <c r="Q13" s="152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47"/>
      <c r="Q14" s="152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2" t="s">
        <v>2381</v>
      </c>
      <c r="Q15" s="1537" t="str">
        <f t="shared" si="6"/>
        <v>产业集聚程度</v>
      </c>
      <c r="R15" s="714" t="s">
        <v>17</v>
      </c>
      <c r="S15" s="715">
        <f t="shared" si="0"/>
        <v>100</v>
      </c>
      <c r="T15" s="714" t="s">
        <v>17</v>
      </c>
      <c r="U15" s="715">
        <f t="shared" si="1"/>
        <v>100</v>
      </c>
      <c r="V15" s="714" t="s">
        <v>17</v>
      </c>
      <c r="W15" s="715">
        <f t="shared" si="2"/>
        <v>100</v>
      </c>
      <c r="X15" s="1540"/>
      <c r="Y15" s="3462"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463"/>
      <c r="Q16" s="1537"/>
      <c r="R16" s="714"/>
      <c r="S16" s="715"/>
      <c r="T16" s="714"/>
      <c r="U16" s="715"/>
      <c r="V16" s="714"/>
      <c r="W16" s="715"/>
      <c r="X16" s="1540"/>
      <c r="Y16" s="3463"/>
      <c r="Z16" s="1541"/>
      <c r="AA16" s="1538">
        <v>1</v>
      </c>
      <c r="AB16" s="1538">
        <v>1</v>
      </c>
      <c r="AC16" s="1538">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3"/>
      <c r="Q17" s="1537" t="str">
        <f>B17</f>
        <v>交通便捷度</v>
      </c>
      <c r="R17" s="714" t="s">
        <v>17</v>
      </c>
      <c r="S17" s="715">
        <f>F17</f>
        <v>100</v>
      </c>
      <c r="T17" s="714" t="s">
        <v>17</v>
      </c>
      <c r="U17" s="715">
        <f>H17</f>
        <v>100</v>
      </c>
      <c r="V17" s="714" t="s">
        <v>17</v>
      </c>
      <c r="W17" s="715">
        <f>J17</f>
        <v>100</v>
      </c>
      <c r="X17" s="1540"/>
      <c r="Y17" s="3463"/>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463"/>
      <c r="Q18" s="1537"/>
      <c r="R18" s="714"/>
      <c r="S18" s="715"/>
      <c r="T18" s="714"/>
      <c r="U18" s="715"/>
      <c r="V18" s="714"/>
      <c r="W18" s="715"/>
      <c r="X18" s="1540"/>
      <c r="Y18" s="3463"/>
      <c r="Z18" s="1541"/>
      <c r="AA18" s="1538">
        <v>1</v>
      </c>
      <c r="AB18" s="1538">
        <v>1</v>
      </c>
      <c r="AC18" s="1538">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3"/>
      <c r="Q19" s="1537" t="str">
        <f>B19</f>
        <v>公共配套设施</v>
      </c>
      <c r="R19" s="714" t="s">
        <v>17</v>
      </c>
      <c r="S19" s="715">
        <f>F19</f>
        <v>100</v>
      </c>
      <c r="T19" s="714" t="s">
        <v>17</v>
      </c>
      <c r="U19" s="715">
        <f>H19</f>
        <v>100</v>
      </c>
      <c r="V19" s="714" t="s">
        <v>17</v>
      </c>
      <c r="W19" s="715">
        <f>J19</f>
        <v>100</v>
      </c>
      <c r="X19" s="1540"/>
      <c r="Y19" s="3463"/>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463"/>
      <c r="Q20" s="1537"/>
      <c r="R20" s="714"/>
      <c r="S20" s="715"/>
      <c r="T20" s="714"/>
      <c r="U20" s="715"/>
      <c r="V20" s="714"/>
      <c r="W20" s="715"/>
      <c r="X20" s="1540"/>
      <c r="Y20" s="3463"/>
      <c r="Z20" s="1541"/>
      <c r="AA20" s="1538">
        <v>1</v>
      </c>
      <c r="AB20" s="1538">
        <v>1</v>
      </c>
      <c r="AC20" s="1538">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3"/>
      <c r="Q21" s="1537" t="str">
        <f>B21</f>
        <v>基础设施水平</v>
      </c>
      <c r="R21" s="714" t="s">
        <v>17</v>
      </c>
      <c r="S21" s="715">
        <f>F21</f>
        <v>100</v>
      </c>
      <c r="T21" s="714" t="s">
        <v>17</v>
      </c>
      <c r="U21" s="715">
        <f>H21</f>
        <v>100</v>
      </c>
      <c r="V21" s="714" t="s">
        <v>17</v>
      </c>
      <c r="W21" s="715">
        <f>J21</f>
        <v>100</v>
      </c>
      <c r="X21" s="1540"/>
      <c r="Y21" s="3463"/>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463"/>
      <c r="Q22" s="1537"/>
      <c r="R22" s="714"/>
      <c r="S22" s="715"/>
      <c r="T22" s="714"/>
      <c r="U22" s="715"/>
      <c r="V22" s="714"/>
      <c r="W22" s="715"/>
      <c r="X22" s="1540"/>
      <c r="Y22" s="3463"/>
      <c r="Z22" s="1541"/>
      <c r="AA22" s="1538">
        <v>1</v>
      </c>
      <c r="AB22" s="1538">
        <v>1</v>
      </c>
      <c r="AC22" s="1538">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3"/>
      <c r="Q23" s="1537" t="str">
        <f>B23</f>
        <v>环境质量</v>
      </c>
      <c r="R23" s="714" t="s">
        <v>17</v>
      </c>
      <c r="S23" s="715">
        <f>F23</f>
        <v>100</v>
      </c>
      <c r="T23" s="714" t="s">
        <v>17</v>
      </c>
      <c r="U23" s="715">
        <f>H23</f>
        <v>100</v>
      </c>
      <c r="V23" s="714" t="s">
        <v>17</v>
      </c>
      <c r="W23" s="715">
        <f>J23</f>
        <v>100</v>
      </c>
      <c r="X23" s="1540"/>
      <c r="Y23" s="3463"/>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463"/>
      <c r="Q24" s="1537"/>
      <c r="R24" s="714"/>
      <c r="S24" s="715"/>
      <c r="T24" s="714"/>
      <c r="U24" s="715"/>
      <c r="V24" s="714"/>
      <c r="W24" s="715"/>
      <c r="X24" s="1540"/>
      <c r="Y24" s="3463"/>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3"/>
      <c r="Q25" s="1537">
        <f>B25</f>
        <v>111</v>
      </c>
      <c r="R25" s="714" t="s">
        <v>17</v>
      </c>
      <c r="S25" s="715">
        <f>F25</f>
        <v>100</v>
      </c>
      <c r="T25" s="714" t="s">
        <v>17</v>
      </c>
      <c r="U25" s="715">
        <f>H25</f>
        <v>100</v>
      </c>
      <c r="V25" s="714" t="s">
        <v>17</v>
      </c>
      <c r="W25" s="715">
        <f>J25</f>
        <v>100</v>
      </c>
      <c r="X25" s="1540"/>
      <c r="Y25" s="3463"/>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3"/>
      <c r="Q26" s="1537">
        <f t="shared" ref="Q26:Q40" si="11">B26</f>
        <v>111</v>
      </c>
      <c r="R26" s="714" t="s">
        <v>17</v>
      </c>
      <c r="S26" s="715">
        <f>F26</f>
        <v>100</v>
      </c>
      <c r="T26" s="714" t="s">
        <v>17</v>
      </c>
      <c r="U26" s="715">
        <f>H26</f>
        <v>100</v>
      </c>
      <c r="V26" s="714" t="s">
        <v>17</v>
      </c>
      <c r="W26" s="715">
        <f>J26</f>
        <v>100</v>
      </c>
      <c r="X26" s="1540"/>
      <c r="Y26" s="3463"/>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3"/>
      <c r="Q27" s="1528">
        <f t="shared" si="11"/>
        <v>111</v>
      </c>
      <c r="R27" s="710" t="s">
        <v>17</v>
      </c>
      <c r="S27" s="711">
        <f>F27</f>
        <v>100</v>
      </c>
      <c r="T27" s="710" t="s">
        <v>17</v>
      </c>
      <c r="U27" s="711">
        <f>H27</f>
        <v>100</v>
      </c>
      <c r="V27" s="710" t="s">
        <v>17</v>
      </c>
      <c r="W27" s="711">
        <f>J27</f>
        <v>100</v>
      </c>
      <c r="X27" s="712"/>
      <c r="Y27" s="3463"/>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3"/>
      <c r="Q28" s="1537">
        <f t="shared" si="11"/>
        <v>111</v>
      </c>
      <c r="R28" s="714" t="s">
        <v>17</v>
      </c>
      <c r="S28" s="715">
        <f t="shared" ref="S28:S40" si="12">F28</f>
        <v>100</v>
      </c>
      <c r="T28" s="714" t="s">
        <v>17</v>
      </c>
      <c r="U28" s="715">
        <f t="shared" ref="U28:U40" si="13">H28</f>
        <v>100</v>
      </c>
      <c r="V28" s="714" t="s">
        <v>17</v>
      </c>
      <c r="W28" s="715">
        <f t="shared" ref="W28:W40" si="14">J28</f>
        <v>100</v>
      </c>
      <c r="X28" s="1540"/>
      <c r="Y28" s="3463"/>
      <c r="Z28" s="1541">
        <f t="shared" ref="Z28:Z40" si="15">Q28</f>
        <v>111</v>
      </c>
      <c r="AA28" s="1538">
        <f t="shared" si="3"/>
        <v>1</v>
      </c>
      <c r="AB28" s="1538">
        <f t="shared" si="4"/>
        <v>1</v>
      </c>
      <c r="AC28" s="1538">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64" t="s">
        <v>2386</v>
      </c>
      <c r="Q29" s="1537" t="str">
        <f t="shared" si="11"/>
        <v>建筑类型</v>
      </c>
      <c r="R29" s="714" t="s">
        <v>17</v>
      </c>
      <c r="S29" s="715">
        <f t="shared" si="12"/>
        <v>100</v>
      </c>
      <c r="T29" s="714" t="s">
        <v>17</v>
      </c>
      <c r="U29" s="715">
        <f t="shared" si="13"/>
        <v>100</v>
      </c>
      <c r="V29" s="714" t="s">
        <v>17</v>
      </c>
      <c r="W29" s="715">
        <f t="shared" si="14"/>
        <v>100</v>
      </c>
      <c r="X29" s="1540"/>
      <c r="Y29" s="3465"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5"/>
      <c r="Q30" s="716" t="str">
        <f t="shared" si="11"/>
        <v>项目建筑规模</v>
      </c>
      <c r="R30" s="717" t="s">
        <v>17</v>
      </c>
      <c r="S30" s="718" t="e">
        <f t="shared" si="12"/>
        <v>#N/A</v>
      </c>
      <c r="T30" s="717" t="s">
        <v>17</v>
      </c>
      <c r="U30" s="718" t="e">
        <f t="shared" si="13"/>
        <v>#N/A</v>
      </c>
      <c r="V30" s="717" t="s">
        <v>17</v>
      </c>
      <c r="W30" s="718" t="e">
        <f t="shared" si="14"/>
        <v>#N/A</v>
      </c>
      <c r="X30" s="719"/>
      <c r="Y30" s="3465"/>
      <c r="Z30" s="720"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5"/>
      <c r="Q31" s="1537" t="str">
        <f t="shared" si="11"/>
        <v>建筑结构</v>
      </c>
      <c r="R31" s="714" t="s">
        <v>17</v>
      </c>
      <c r="S31" s="715">
        <f t="shared" si="12"/>
        <v>100</v>
      </c>
      <c r="T31" s="714" t="s">
        <v>17</v>
      </c>
      <c r="U31" s="715">
        <f t="shared" si="13"/>
        <v>100</v>
      </c>
      <c r="V31" s="714" t="s">
        <v>17</v>
      </c>
      <c r="W31" s="715">
        <f t="shared" si="14"/>
        <v>100</v>
      </c>
      <c r="X31" s="1540"/>
      <c r="Y31" s="3465"/>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5"/>
      <c r="Q32" s="1537" t="str">
        <f t="shared" si="11"/>
        <v>公共部分装修</v>
      </c>
      <c r="R32" s="714" t="s">
        <v>17</v>
      </c>
      <c r="S32" s="715">
        <f t="shared" si="12"/>
        <v>100</v>
      </c>
      <c r="T32" s="714" t="s">
        <v>17</v>
      </c>
      <c r="U32" s="715">
        <f t="shared" si="13"/>
        <v>100</v>
      </c>
      <c r="V32" s="714" t="s">
        <v>17</v>
      </c>
      <c r="W32" s="715">
        <f t="shared" si="14"/>
        <v>100</v>
      </c>
      <c r="X32" s="1540"/>
      <c r="Y32" s="3465"/>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5"/>
      <c r="Q33" s="1537" t="str">
        <f t="shared" si="11"/>
        <v>成新度</v>
      </c>
      <c r="R33" s="714" t="s">
        <v>17</v>
      </c>
      <c r="S33" s="715" t="e">
        <f t="shared" si="12"/>
        <v>#N/A</v>
      </c>
      <c r="T33" s="714" t="s">
        <v>17</v>
      </c>
      <c r="U33" s="715" t="e">
        <f t="shared" si="13"/>
        <v>#N/A</v>
      </c>
      <c r="V33" s="714" t="s">
        <v>17</v>
      </c>
      <c r="W33" s="715" t="e">
        <f t="shared" si="14"/>
        <v>#N/A</v>
      </c>
      <c r="X33" s="1540"/>
      <c r="Y33" s="3465"/>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5"/>
      <c r="Q34" s="1528" t="str">
        <f t="shared" si="11"/>
        <v>物业管理</v>
      </c>
      <c r="R34" s="710" t="s">
        <v>17</v>
      </c>
      <c r="S34" s="711">
        <f t="shared" si="12"/>
        <v>100</v>
      </c>
      <c r="T34" s="710" t="s">
        <v>17</v>
      </c>
      <c r="U34" s="711">
        <f t="shared" si="13"/>
        <v>100</v>
      </c>
      <c r="V34" s="710" t="s">
        <v>17</v>
      </c>
      <c r="W34" s="711">
        <f t="shared" si="14"/>
        <v>100</v>
      </c>
      <c r="X34" s="712"/>
      <c r="Y34" s="346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5" t="s">
        <v>2386</v>
      </c>
      <c r="Q35" s="1537" t="str">
        <f t="shared" si="11"/>
        <v>市政基础设施</v>
      </c>
      <c r="R35" s="714" t="s">
        <v>17</v>
      </c>
      <c r="S35" s="715">
        <f t="shared" si="12"/>
        <v>100</v>
      </c>
      <c r="T35" s="714" t="s">
        <v>17</v>
      </c>
      <c r="U35" s="715">
        <f t="shared" si="13"/>
        <v>100</v>
      </c>
      <c r="V35" s="714" t="s">
        <v>17</v>
      </c>
      <c r="W35" s="715">
        <f t="shared" si="14"/>
        <v>100</v>
      </c>
      <c r="X35" s="1540"/>
      <c r="Y35" s="3465"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5"/>
      <c r="Q36" s="1537" t="str">
        <f t="shared" si="11"/>
        <v>内部装修</v>
      </c>
      <c r="R36" s="714" t="s">
        <v>17</v>
      </c>
      <c r="S36" s="715">
        <f t="shared" si="12"/>
        <v>100</v>
      </c>
      <c r="T36" s="714" t="s">
        <v>17</v>
      </c>
      <c r="U36" s="715">
        <f t="shared" si="13"/>
        <v>100</v>
      </c>
      <c r="V36" s="714" t="s">
        <v>17</v>
      </c>
      <c r="W36" s="715">
        <f t="shared" si="14"/>
        <v>100</v>
      </c>
      <c r="X36" s="1540"/>
      <c r="Y36" s="3465"/>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5"/>
      <c r="Q37" s="1537" t="str">
        <f t="shared" si="11"/>
        <v>内部装修状况</v>
      </c>
      <c r="R37" s="714" t="s">
        <v>17</v>
      </c>
      <c r="S37" s="715">
        <f t="shared" si="12"/>
        <v>100</v>
      </c>
      <c r="T37" s="714" t="s">
        <v>17</v>
      </c>
      <c r="U37" s="715">
        <f t="shared" si="13"/>
        <v>100</v>
      </c>
      <c r="V37" s="714" t="s">
        <v>17</v>
      </c>
      <c r="W37" s="715">
        <f t="shared" si="14"/>
        <v>100</v>
      </c>
      <c r="X37" s="1540"/>
      <c r="Y37" s="3465"/>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5"/>
      <c r="Q38" s="716">
        <f t="shared" si="11"/>
        <v>111</v>
      </c>
      <c r="R38" s="717" t="s">
        <v>17</v>
      </c>
      <c r="S38" s="718">
        <f t="shared" si="12"/>
        <v>100</v>
      </c>
      <c r="T38" s="717" t="s">
        <v>17</v>
      </c>
      <c r="U38" s="718">
        <f t="shared" si="13"/>
        <v>100</v>
      </c>
      <c r="V38" s="717" t="s">
        <v>17</v>
      </c>
      <c r="W38" s="718">
        <f t="shared" si="14"/>
        <v>100</v>
      </c>
      <c r="X38" s="719"/>
      <c r="Y38" s="3465"/>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5"/>
      <c r="Q39" s="1537">
        <f t="shared" si="11"/>
        <v>111</v>
      </c>
      <c r="R39" s="714" t="s">
        <v>17</v>
      </c>
      <c r="S39" s="715">
        <f t="shared" si="12"/>
        <v>100</v>
      </c>
      <c r="T39" s="714" t="s">
        <v>17</v>
      </c>
      <c r="U39" s="715">
        <f t="shared" si="13"/>
        <v>100</v>
      </c>
      <c r="V39" s="714" t="s">
        <v>17</v>
      </c>
      <c r="W39" s="715">
        <f t="shared" si="14"/>
        <v>100</v>
      </c>
      <c r="X39" s="1540"/>
      <c r="Y39" s="3465"/>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27"/>
      <c r="Q40" s="1537">
        <f t="shared" si="11"/>
        <v>111</v>
      </c>
      <c r="R40" s="714" t="s">
        <v>17</v>
      </c>
      <c r="S40" s="715">
        <f t="shared" si="12"/>
        <v>100</v>
      </c>
      <c r="T40" s="714" t="s">
        <v>17</v>
      </c>
      <c r="U40" s="715">
        <f t="shared" si="13"/>
        <v>100</v>
      </c>
      <c r="V40" s="714" t="s">
        <v>17</v>
      </c>
      <c r="W40" s="715">
        <f t="shared" si="14"/>
        <v>100</v>
      </c>
      <c r="X40" s="1540"/>
      <c r="Y40" s="3527"/>
      <c r="Z40" s="1541">
        <f t="shared" si="15"/>
        <v>111</v>
      </c>
      <c r="AA40" s="1538">
        <f t="shared" si="3"/>
        <v>1</v>
      </c>
      <c r="AB40" s="1538">
        <f t="shared" si="4"/>
        <v>1</v>
      </c>
      <c r="AC40" s="1538">
        <f t="shared" si="5"/>
        <v>1</v>
      </c>
    </row>
    <row r="41" spans="1:29" ht="15">
      <c r="A41" s="438" t="s">
        <v>2398</v>
      </c>
      <c r="B41" s="439"/>
      <c r="C41" s="1316" t="s">
        <v>1</v>
      </c>
      <c r="D41" s="1317"/>
      <c r="E41" s="1318"/>
      <c r="F41" s="1319"/>
      <c r="G41" s="1320"/>
      <c r="H41" s="1321"/>
      <c r="I41" s="1318"/>
      <c r="J41" s="1321"/>
      <c r="K41" s="723"/>
      <c r="L41" s="1057"/>
      <c r="M41" s="1058"/>
      <c r="N41" s="1045"/>
      <c r="O41" s="1058"/>
      <c r="P41" s="3447" t="str">
        <f>A41</f>
        <v>成交单价（元/平方米）</v>
      </c>
      <c r="Q41" s="3447"/>
      <c r="R41" s="3523">
        <f>E41</f>
        <v>0</v>
      </c>
      <c r="S41" s="3523"/>
      <c r="T41" s="3523">
        <f>G41</f>
        <v>0</v>
      </c>
      <c r="U41" s="3523"/>
      <c r="V41" s="3523">
        <f>I41</f>
        <v>0</v>
      </c>
      <c r="W41" s="3523"/>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447" t="str">
        <f>A42</f>
        <v>比较价值（元/平方米）</v>
      </c>
      <c r="Q42" s="3447"/>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467" t="str">
        <f>A43</f>
        <v>估价对象XX用房的比较价值（楼面单价，元/平方米）</v>
      </c>
      <c r="Q43" s="3468"/>
      <c r="R43" s="3522" t="e">
        <f>IF(F1="售价",ROUND(IF(D42="简单平均",AVERAGE(R42:V42),R42*F42+T42*H42+V42*J42),0),ROUND(IF(D42="简单平均",AVERAGE(R42:V42),R42*F42+T42*H42+V42*J42),1))</f>
        <v>#DIV/0!</v>
      </c>
      <c r="S43" s="3522"/>
      <c r="T43" s="3522"/>
      <c r="U43" s="3522"/>
      <c r="V43" s="3522"/>
      <c r="W43" s="3522"/>
      <c r="X43" s="699"/>
      <c r="Y43" s="699"/>
      <c r="Z43" s="699"/>
      <c r="AA43" s="699"/>
      <c r="AB43" s="699"/>
      <c r="AC43" s="699"/>
    </row>
    <row r="44" spans="1:29">
      <c r="A44" s="2949"/>
      <c r="B44" s="2949"/>
      <c r="C44" s="2949"/>
      <c r="D44" s="2949"/>
      <c r="E44" s="2949"/>
      <c r="F44" s="2949"/>
      <c r="G44" s="2953"/>
      <c r="H44" s="2949"/>
      <c r="I44" s="2949"/>
      <c r="J44" s="2949"/>
      <c r="K44" s="2954"/>
      <c r="L44" s="1020"/>
      <c r="M44" s="1058"/>
      <c r="N44" s="1058"/>
      <c r="O44" s="1058"/>
    </row>
    <row r="45" spans="1:29">
      <c r="A45" s="2949"/>
      <c r="B45" s="2949"/>
      <c r="C45" s="2949"/>
      <c r="D45" s="2949"/>
      <c r="E45" s="2949"/>
      <c r="F45" s="2949"/>
      <c r="G45" s="2949"/>
      <c r="H45" s="2949"/>
      <c r="I45" s="2949"/>
      <c r="J45" s="2949"/>
      <c r="K45" s="2954"/>
      <c r="L45" s="1020"/>
      <c r="M45" s="1058"/>
      <c r="N45" s="1058"/>
      <c r="O45" s="1058"/>
    </row>
    <row r="46" spans="1:29" ht="13.5" customHeight="1">
      <c r="A46" s="2949"/>
      <c r="B46" s="2949"/>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4"/>
      <c r="L46" s="1020"/>
      <c r="M46" s="1058"/>
      <c r="N46" s="1058"/>
      <c r="O46" s="1058"/>
    </row>
    <row r="47" spans="1:29" ht="13.5" customHeight="1">
      <c r="A47" s="2949"/>
      <c r="B47" s="2949"/>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4"/>
      <c r="L47" s="1020"/>
      <c r="M47" s="1058"/>
      <c r="N47" s="1058"/>
      <c r="O47" s="1058"/>
    </row>
    <row r="48" spans="1:29" s="459" customFormat="1" ht="13.5" customHeight="1">
      <c r="A48" s="2952"/>
      <c r="B48" s="2952"/>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7"/>
      <c r="L48" s="1061"/>
      <c r="M48" s="1059"/>
      <c r="N48" s="1059"/>
      <c r="O48" s="1059"/>
    </row>
    <row r="49" spans="1:17" s="459" customFormat="1">
      <c r="A49" s="2952"/>
      <c r="B49" s="2955"/>
      <c r="C49" s="2956"/>
      <c r="D49" s="2952"/>
      <c r="E49" s="2952"/>
      <c r="F49" s="2952"/>
      <c r="G49" s="2952"/>
      <c r="H49" s="2952"/>
      <c r="I49" s="2952"/>
      <c r="J49" s="2952"/>
      <c r="K49" s="2957"/>
      <c r="L49" s="1061"/>
      <c r="M49" s="1059"/>
      <c r="N49" s="1059"/>
      <c r="O49" s="1059"/>
    </row>
    <row r="50" spans="1:17">
      <c r="A50" s="2949"/>
      <c r="B50" s="2955"/>
      <c r="C50" s="2956"/>
      <c r="D50" s="2949"/>
      <c r="E50" s="2949"/>
      <c r="F50" s="2949"/>
      <c r="G50" s="2949"/>
      <c r="H50" s="2949"/>
      <c r="I50" s="2949"/>
      <c r="J50" s="2949"/>
      <c r="K50" s="2954"/>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2021-3</v>
      </c>
      <c r="D52" s="1347">
        <f>EDATE(C52,-1)</f>
        <v>44228</v>
      </c>
      <c r="E52" s="1347">
        <f t="shared" ref="E52:O52" si="16">EDATE(D52,-1)</f>
        <v>44197</v>
      </c>
      <c r="F52" s="1347">
        <f t="shared" si="16"/>
        <v>44166</v>
      </c>
      <c r="G52" s="1347">
        <f t="shared" si="16"/>
        <v>44136</v>
      </c>
      <c r="H52" s="1347">
        <f t="shared" si="16"/>
        <v>44105</v>
      </c>
      <c r="I52" s="1347">
        <f t="shared" si="16"/>
        <v>44075</v>
      </c>
      <c r="J52" s="1347">
        <f t="shared" si="16"/>
        <v>44044</v>
      </c>
      <c r="K52" s="1347">
        <f t="shared" si="16"/>
        <v>44013</v>
      </c>
      <c r="L52" s="1347">
        <f t="shared" si="16"/>
        <v>43983</v>
      </c>
      <c r="M52" s="1347">
        <f t="shared" si="16"/>
        <v>43952</v>
      </c>
      <c r="N52" s="1347">
        <f t="shared" si="16"/>
        <v>43922</v>
      </c>
      <c r="O52" s="1347">
        <f t="shared" si="16"/>
        <v>43891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4"/>
      <c r="O54" s="2995"/>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V4" sqref="V4:W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58"/>
      <c r="M2" s="2959"/>
      <c r="N2" s="2959"/>
      <c r="O2" s="2959"/>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58"/>
      <c r="M3" s="2959"/>
      <c r="N3" s="2959"/>
      <c r="O3" s="2959"/>
      <c r="P3" s="1327"/>
      <c r="Q3" s="708"/>
      <c r="R3" s="708"/>
      <c r="S3" s="708"/>
      <c r="T3" s="708"/>
      <c r="U3" s="708"/>
      <c r="V3" s="708"/>
      <c r="W3" s="708"/>
      <c r="X3" s="708"/>
      <c r="Y3" s="708"/>
      <c r="Z3" s="708"/>
      <c r="AA3" s="708"/>
      <c r="AB3" s="725"/>
      <c r="AC3" s="722"/>
    </row>
    <row r="4" spans="1:29" ht="15">
      <c r="A4" s="361" t="s">
        <v>2466</v>
      </c>
      <c r="B4" s="362"/>
      <c r="C4" s="3448" t="s">
        <v>2467</v>
      </c>
      <c r="D4" s="3449"/>
      <c r="E4" s="3450" t="s">
        <v>2468</v>
      </c>
      <c r="F4" s="3451"/>
      <c r="G4" s="3448" t="s">
        <v>2469</v>
      </c>
      <c r="H4" s="3449"/>
      <c r="I4" s="3448" t="s">
        <v>2470</v>
      </c>
      <c r="J4" s="3449"/>
      <c r="K4" s="567" t="s">
        <v>2471</v>
      </c>
      <c r="L4" s="2939"/>
      <c r="M4" s="2940"/>
      <c r="N4" s="2940"/>
      <c r="O4" s="2940"/>
      <c r="P4" s="3452" t="s">
        <v>2472</v>
      </c>
      <c r="Q4" s="3453"/>
      <c r="R4" s="3435" t="s">
        <v>2468</v>
      </c>
      <c r="S4" s="3436"/>
      <c r="T4" s="3435" t="s">
        <v>2469</v>
      </c>
      <c r="U4" s="3436"/>
      <c r="V4" s="3460" t="s">
        <v>2470</v>
      </c>
      <c r="W4" s="3460"/>
      <c r="X4" s="1540"/>
      <c r="Y4" s="3435" t="s">
        <v>2472</v>
      </c>
      <c r="Z4" s="3436"/>
      <c r="AA4" s="3430" t="s">
        <v>2468</v>
      </c>
      <c r="AB4" s="3431" t="s">
        <v>2469</v>
      </c>
      <c r="AC4" s="3430" t="s">
        <v>2470</v>
      </c>
    </row>
    <row r="5" spans="1:29" ht="15">
      <c r="A5" s="364"/>
      <c r="B5" s="365"/>
      <c r="C5" s="3441" t="s">
        <v>2363</v>
      </c>
      <c r="D5" s="3442"/>
      <c r="E5" s="3439" t="s">
        <v>2364</v>
      </c>
      <c r="F5" s="3440"/>
      <c r="G5" s="3441" t="s">
        <v>2365</v>
      </c>
      <c r="H5" s="3442"/>
      <c r="I5" s="3441" t="s">
        <v>2366</v>
      </c>
      <c r="J5" s="3442"/>
      <c r="K5" s="567"/>
      <c r="L5" s="2939"/>
      <c r="M5" s="2940"/>
      <c r="N5" s="2940"/>
      <c r="O5" s="2940"/>
      <c r="P5" s="3454"/>
      <c r="Q5" s="3455"/>
      <c r="R5" s="3437"/>
      <c r="S5" s="3438"/>
      <c r="T5" s="3437"/>
      <c r="U5" s="3438"/>
      <c r="V5" s="3460"/>
      <c r="W5" s="3460"/>
      <c r="X5" s="1540"/>
      <c r="Y5" s="3437"/>
      <c r="Z5" s="3438"/>
      <c r="AA5" s="3431"/>
      <c r="AB5" s="3431"/>
      <c r="AC5" s="3431"/>
    </row>
    <row r="6" spans="1:29" ht="15.75" thickBot="1">
      <c r="A6" s="366"/>
      <c r="B6" s="367"/>
      <c r="C6" s="3443" t="s">
        <v>2367</v>
      </c>
      <c r="D6" s="3444"/>
      <c r="E6" s="3445" t="s">
        <v>2367</v>
      </c>
      <c r="F6" s="3446"/>
      <c r="G6" s="3443" t="s">
        <v>2367</v>
      </c>
      <c r="H6" s="3444"/>
      <c r="I6" s="3443" t="s">
        <v>2367</v>
      </c>
      <c r="J6" s="3444"/>
      <c r="K6" s="567" t="s">
        <v>2368</v>
      </c>
      <c r="L6" s="2939"/>
      <c r="M6" s="2940"/>
      <c r="N6" s="2940"/>
      <c r="O6" s="2940"/>
      <c r="P6" s="3456"/>
      <c r="Q6" s="3457"/>
      <c r="R6" s="3437"/>
      <c r="S6" s="3438"/>
      <c r="T6" s="3458"/>
      <c r="U6" s="3459"/>
      <c r="V6" s="3460"/>
      <c r="W6" s="3460"/>
      <c r="X6" s="1540"/>
      <c r="Y6" s="3458"/>
      <c r="Z6" s="3459"/>
      <c r="AA6" s="3432"/>
      <c r="AB6" s="3432"/>
      <c r="AC6" s="3432"/>
    </row>
    <row r="7" spans="1:29" s="113" customFormat="1" ht="15.75" thickBot="1">
      <c r="A7" s="368" t="s">
        <v>2369</v>
      </c>
      <c r="B7" s="369"/>
      <c r="C7" s="370">
        <f>'数据-取费表'!B2</f>
        <v>44280</v>
      </c>
      <c r="D7" s="371">
        <v>100</v>
      </c>
      <c r="E7" s="372"/>
      <c r="F7" s="373">
        <f>SUMIF(48:48,YEAR(E7)&amp;"-"&amp;MONTH(E7),49:49)</f>
        <v>0</v>
      </c>
      <c r="G7" s="372"/>
      <c r="H7" s="371">
        <f>SUMIF(48:48,YEAR(G7)&amp;"-"&amp;MONTH(G7),49:49)</f>
        <v>0</v>
      </c>
      <c r="I7" s="372"/>
      <c r="J7" s="371">
        <f>SUMIF(48:48,YEAR(I7)&amp;"-"&amp;MONTH(I7),49:49)</f>
        <v>0</v>
      </c>
      <c r="K7" s="568"/>
      <c r="L7" s="2941"/>
      <c r="M7" s="2942"/>
      <c r="N7" s="2942"/>
      <c r="O7" s="2942"/>
      <c r="P7" s="3433" t="s">
        <v>2370</v>
      </c>
      <c r="Q7" s="3461"/>
      <c r="R7" s="710" t="s">
        <v>17</v>
      </c>
      <c r="S7" s="711">
        <f t="shared" ref="S7:S14" si="0">F7</f>
        <v>0</v>
      </c>
      <c r="T7" s="710" t="s">
        <v>17</v>
      </c>
      <c r="U7" s="711">
        <f t="shared" ref="U7:U14" si="1">H7</f>
        <v>0</v>
      </c>
      <c r="V7" s="710" t="s">
        <v>17</v>
      </c>
      <c r="W7" s="711">
        <f t="shared" ref="W7:W14" si="2">J7</f>
        <v>0</v>
      </c>
      <c r="X7" s="712"/>
      <c r="Y7" s="3433" t="s">
        <v>2370</v>
      </c>
      <c r="Z7" s="3434"/>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1"/>
      <c r="M8" s="2942"/>
      <c r="N8" s="2942"/>
      <c r="O8" s="2942"/>
      <c r="P8" s="3433" t="s">
        <v>2373</v>
      </c>
      <c r="Q8" s="3434"/>
      <c r="R8" s="710" t="s">
        <v>17</v>
      </c>
      <c r="S8" s="711">
        <f t="shared" si="0"/>
        <v>0</v>
      </c>
      <c r="T8" s="710" t="s">
        <v>17</v>
      </c>
      <c r="U8" s="711">
        <f t="shared" si="1"/>
        <v>0</v>
      </c>
      <c r="V8" s="710" t="s">
        <v>17</v>
      </c>
      <c r="W8" s="711">
        <f t="shared" si="2"/>
        <v>0</v>
      </c>
      <c r="X8" s="712"/>
      <c r="Y8" s="3433" t="s">
        <v>2373</v>
      </c>
      <c r="Z8" s="3434"/>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1"/>
      <c r="M9" s="2942"/>
      <c r="N9" s="2942"/>
      <c r="O9" s="2942"/>
      <c r="P9" s="3447" t="s">
        <v>2376</v>
      </c>
      <c r="Q9" s="1528" t="str">
        <f t="shared" ref="Q9:Q14" si="6">B9</f>
        <v>用途</v>
      </c>
      <c r="R9" s="710" t="s">
        <v>17</v>
      </c>
      <c r="S9" s="711">
        <f t="shared" si="0"/>
        <v>100</v>
      </c>
      <c r="T9" s="710" t="s">
        <v>17</v>
      </c>
      <c r="U9" s="711">
        <f t="shared" si="1"/>
        <v>100</v>
      </c>
      <c r="V9" s="710" t="s">
        <v>17</v>
      </c>
      <c r="W9" s="711">
        <f t="shared" si="2"/>
        <v>100</v>
      </c>
      <c r="X9" s="712"/>
      <c r="Y9" s="3399"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3"/>
      <c r="M10" s="2944"/>
      <c r="N10" s="2944"/>
      <c r="O10" s="2944"/>
      <c r="P10" s="3447"/>
      <c r="Q10" s="152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5"/>
      <c r="M11" s="2940"/>
      <c r="N11" s="2940"/>
      <c r="O11" s="2940"/>
      <c r="P11" s="3447"/>
      <c r="Q11" s="1528">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1"/>
      <c r="M12" s="2942"/>
      <c r="N12" s="2942"/>
      <c r="O12" s="2942"/>
      <c r="P12" s="3447"/>
      <c r="Q12" s="152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6"/>
      <c r="M13" s="2940"/>
      <c r="N13" s="2940"/>
      <c r="O13" s="2940"/>
      <c r="P13" s="3447"/>
      <c r="Q13" s="152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
      <c r="A14" s="361" t="s">
        <v>2380</v>
      </c>
      <c r="B14" s="585" t="s">
        <v>2530</v>
      </c>
      <c r="C14" s="2157"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46"/>
      <c r="M14" s="2940"/>
      <c r="N14" s="2940"/>
      <c r="O14" s="2940"/>
      <c r="P14" s="3462" t="s">
        <v>2381</v>
      </c>
      <c r="Q14" s="1537" t="str">
        <f t="shared" si="6"/>
        <v>交通便捷度</v>
      </c>
      <c r="R14" s="714" t="s">
        <v>17</v>
      </c>
      <c r="S14" s="715">
        <f t="shared" si="0"/>
        <v>100</v>
      </c>
      <c r="T14" s="714" t="s">
        <v>17</v>
      </c>
      <c r="U14" s="715">
        <f t="shared" si="1"/>
        <v>100</v>
      </c>
      <c r="V14" s="714" t="s">
        <v>17</v>
      </c>
      <c r="W14" s="715">
        <f t="shared" si="2"/>
        <v>100</v>
      </c>
      <c r="X14" s="1540"/>
      <c r="Y14" s="3462"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46"/>
      <c r="M15" s="2940"/>
      <c r="N15" s="2940"/>
      <c r="O15" s="2940"/>
      <c r="P15" s="3463"/>
      <c r="Q15" s="1537"/>
      <c r="R15" s="714"/>
      <c r="S15" s="715"/>
      <c r="T15" s="714"/>
      <c r="U15" s="715"/>
      <c r="V15" s="714"/>
      <c r="W15" s="715"/>
      <c r="X15" s="1540"/>
      <c r="Y15" s="3463"/>
      <c r="Z15" s="1541"/>
      <c r="AA15" s="1538">
        <v>1</v>
      </c>
      <c r="AB15" s="1538">
        <v>1</v>
      </c>
      <c r="AC15" s="1538">
        <v>1</v>
      </c>
    </row>
    <row r="16" spans="1:29" ht="15">
      <c r="A16" s="364"/>
      <c r="B16" s="587" t="s">
        <v>2509</v>
      </c>
      <c r="C16" s="2086"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46"/>
      <c r="M16" s="2940"/>
      <c r="N16" s="2940"/>
      <c r="O16" s="2940"/>
      <c r="P16" s="3463"/>
      <c r="Q16" s="1537" t="str">
        <f>B16</f>
        <v>公共配套设施</v>
      </c>
      <c r="R16" s="714" t="s">
        <v>17</v>
      </c>
      <c r="S16" s="715">
        <f>F16</f>
        <v>100</v>
      </c>
      <c r="T16" s="714" t="s">
        <v>17</v>
      </c>
      <c r="U16" s="715">
        <f>H16</f>
        <v>100</v>
      </c>
      <c r="V16" s="714" t="s">
        <v>17</v>
      </c>
      <c r="W16" s="715">
        <f>J16</f>
        <v>100</v>
      </c>
      <c r="X16" s="1540"/>
      <c r="Y16" s="3463"/>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46"/>
      <c r="M17" s="2940"/>
      <c r="N17" s="2940"/>
      <c r="O17" s="2940"/>
      <c r="P17" s="3463"/>
      <c r="Q17" s="1537"/>
      <c r="R17" s="714"/>
      <c r="S17" s="715"/>
      <c r="T17" s="714"/>
      <c r="U17" s="715"/>
      <c r="V17" s="714"/>
      <c r="W17" s="715"/>
      <c r="X17" s="1540"/>
      <c r="Y17" s="3463"/>
      <c r="Z17" s="1541"/>
      <c r="AA17" s="1538">
        <v>1</v>
      </c>
      <c r="AB17" s="1538">
        <v>1</v>
      </c>
      <c r="AC17" s="1538">
        <v>1</v>
      </c>
    </row>
    <row r="18" spans="1:29" ht="15">
      <c r="A18" s="364"/>
      <c r="B18" s="589" t="s">
        <v>2510</v>
      </c>
      <c r="C18" s="2086" t="str">
        <f>IF(B1="工业",估价对象房地状况!G6,估价对象房地状况!C8)</f>
        <v>六通</v>
      </c>
      <c r="D18" s="409">
        <v>100</v>
      </c>
      <c r="E18" s="411"/>
      <c r="F18" s="417">
        <f>SUMIF(67:67,E19,68:68)-SUMIF(67:67,C19,68:68)+100</f>
        <v>100</v>
      </c>
      <c r="G18" s="413"/>
      <c r="H18" s="414">
        <f>SUMIF(67:67,G19,68:68)-SUMIF(67:67,C19,68:68)+100</f>
        <v>100</v>
      </c>
      <c r="I18" s="411"/>
      <c r="J18" s="414">
        <f>SUMIF(67:67,I19,68:68)-SUMIF(67:67,C19,68:68)+100</f>
        <v>100</v>
      </c>
      <c r="K18" s="571"/>
      <c r="L18" s="2946"/>
      <c r="M18" s="2940"/>
      <c r="N18" s="2940"/>
      <c r="O18" s="2940"/>
      <c r="P18" s="3463"/>
      <c r="Q18" s="1537" t="str">
        <f>B18</f>
        <v>基础设施水平</v>
      </c>
      <c r="R18" s="714" t="s">
        <v>17</v>
      </c>
      <c r="S18" s="715">
        <f>F18</f>
        <v>100</v>
      </c>
      <c r="T18" s="714" t="s">
        <v>17</v>
      </c>
      <c r="U18" s="715">
        <f>H18</f>
        <v>100</v>
      </c>
      <c r="V18" s="714" t="s">
        <v>17</v>
      </c>
      <c r="W18" s="715">
        <f>J18</f>
        <v>100</v>
      </c>
      <c r="X18" s="1540"/>
      <c r="Y18" s="3463"/>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46"/>
      <c r="M19" s="2940"/>
      <c r="N19" s="2940"/>
      <c r="O19" s="2940"/>
      <c r="P19" s="3463"/>
      <c r="Q19" s="1537"/>
      <c r="R19" s="714"/>
      <c r="S19" s="715"/>
      <c r="T19" s="714"/>
      <c r="U19" s="715"/>
      <c r="V19" s="714"/>
      <c r="W19" s="715"/>
      <c r="X19" s="1540"/>
      <c r="Y19" s="3463"/>
      <c r="Z19" s="1541"/>
      <c r="AA19" s="1538">
        <v>1</v>
      </c>
      <c r="AB19" s="1538">
        <v>1</v>
      </c>
      <c r="AC19" s="1538">
        <v>1</v>
      </c>
    </row>
    <row r="20" spans="1:29" ht="15">
      <c r="A20" s="364"/>
      <c r="B20" s="587" t="s">
        <v>2531</v>
      </c>
      <c r="C20" s="2086"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6"/>
      <c r="M20" s="2940"/>
      <c r="N20" s="2940"/>
      <c r="O20" s="2940"/>
      <c r="P20" s="3463"/>
      <c r="Q20" s="1537" t="str">
        <f>B20</f>
        <v>自然及人文环境</v>
      </c>
      <c r="R20" s="714" t="s">
        <v>17</v>
      </c>
      <c r="S20" s="715">
        <f>F20</f>
        <v>100</v>
      </c>
      <c r="T20" s="714" t="s">
        <v>17</v>
      </c>
      <c r="U20" s="715">
        <f>H20</f>
        <v>100</v>
      </c>
      <c r="V20" s="714" t="s">
        <v>17</v>
      </c>
      <c r="W20" s="715">
        <f>J20</f>
        <v>100</v>
      </c>
      <c r="X20" s="1540"/>
      <c r="Y20" s="3463"/>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46"/>
      <c r="M21" s="2940"/>
      <c r="N21" s="2940"/>
      <c r="O21" s="2940"/>
      <c r="P21" s="3463"/>
      <c r="Q21" s="1537"/>
      <c r="R21" s="714"/>
      <c r="S21" s="715"/>
      <c r="T21" s="714"/>
      <c r="U21" s="715"/>
      <c r="V21" s="714"/>
      <c r="W21" s="715"/>
      <c r="X21" s="1540"/>
      <c r="Y21" s="3463"/>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6"/>
      <c r="M22" s="2940"/>
      <c r="N22" s="2940"/>
      <c r="O22" s="2940"/>
      <c r="P22" s="3463"/>
      <c r="Q22" s="1537" t="str">
        <f>B22</f>
        <v>楼层</v>
      </c>
      <c r="R22" s="714" t="s">
        <v>17</v>
      </c>
      <c r="S22" s="715">
        <f>F22</f>
        <v>100</v>
      </c>
      <c r="T22" s="714" t="s">
        <v>17</v>
      </c>
      <c r="U22" s="715">
        <f>H22</f>
        <v>100</v>
      </c>
      <c r="V22" s="714" t="s">
        <v>17</v>
      </c>
      <c r="W22" s="715">
        <f>J22</f>
        <v>100</v>
      </c>
      <c r="X22" s="1540"/>
      <c r="Y22" s="3463"/>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6"/>
      <c r="M23" s="2940"/>
      <c r="N23" s="2940"/>
      <c r="O23" s="2940"/>
      <c r="P23" s="3463"/>
      <c r="Q23" s="1537">
        <f>B23</f>
        <v>111</v>
      </c>
      <c r="R23" s="714" t="s">
        <v>17</v>
      </c>
      <c r="S23" s="715">
        <f>F23</f>
        <v>100</v>
      </c>
      <c r="T23" s="714" t="s">
        <v>17</v>
      </c>
      <c r="U23" s="715">
        <f>H23</f>
        <v>100</v>
      </c>
      <c r="V23" s="714" t="s">
        <v>17</v>
      </c>
      <c r="W23" s="715">
        <f>J23</f>
        <v>100</v>
      </c>
      <c r="X23" s="1540"/>
      <c r="Y23" s="3463"/>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6"/>
      <c r="M24" s="2940"/>
      <c r="N24" s="2940"/>
      <c r="O24" s="2940"/>
      <c r="P24" s="3463"/>
      <c r="Q24" s="1537">
        <f t="shared" ref="Q24:Q36" si="11">B24</f>
        <v>111</v>
      </c>
      <c r="R24" s="714" t="s">
        <v>17</v>
      </c>
      <c r="S24" s="715">
        <f>F24</f>
        <v>100</v>
      </c>
      <c r="T24" s="714" t="s">
        <v>17</v>
      </c>
      <c r="U24" s="715">
        <f>H24</f>
        <v>100</v>
      </c>
      <c r="V24" s="714" t="s">
        <v>17</v>
      </c>
      <c r="W24" s="715">
        <f>J24</f>
        <v>100</v>
      </c>
      <c r="X24" s="1540"/>
      <c r="Y24" s="3463"/>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1"/>
      <c r="M25" s="2942"/>
      <c r="N25" s="2942"/>
      <c r="O25" s="2942"/>
      <c r="P25" s="3463"/>
      <c r="Q25" s="1528">
        <f t="shared" si="11"/>
        <v>111</v>
      </c>
      <c r="R25" s="710" t="s">
        <v>17</v>
      </c>
      <c r="S25" s="711">
        <f>F25</f>
        <v>100</v>
      </c>
      <c r="T25" s="710" t="s">
        <v>17</v>
      </c>
      <c r="U25" s="711">
        <f>H25</f>
        <v>100</v>
      </c>
      <c r="V25" s="710" t="s">
        <v>17</v>
      </c>
      <c r="W25" s="711">
        <f>J25</f>
        <v>100</v>
      </c>
      <c r="X25" s="712"/>
      <c r="Y25" s="3463"/>
      <c r="Z25" s="55">
        <f>Q25</f>
        <v>111</v>
      </c>
      <c r="AA25" s="1538">
        <f>D25/F25</f>
        <v>1</v>
      </c>
      <c r="AB25" s="1538">
        <f>D25/H25</f>
        <v>1</v>
      </c>
      <c r="AC25" s="1538">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6"/>
      <c r="M26" s="2940"/>
      <c r="N26" s="2940"/>
      <c r="O26" s="2940"/>
      <c r="P26" s="3464"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465"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5"/>
      <c r="M27" s="2947"/>
      <c r="N27" s="2947"/>
      <c r="O27" s="2947"/>
      <c r="P27" s="3465"/>
      <c r="Q27" s="716" t="str">
        <f t="shared" si="11"/>
        <v>项目停车位配比</v>
      </c>
      <c r="R27" s="717" t="s">
        <v>17</v>
      </c>
      <c r="S27" s="718">
        <f t="shared" si="12"/>
        <v>100</v>
      </c>
      <c r="T27" s="717" t="s">
        <v>17</v>
      </c>
      <c r="U27" s="718">
        <f t="shared" si="13"/>
        <v>100</v>
      </c>
      <c r="V27" s="717" t="s">
        <v>17</v>
      </c>
      <c r="W27" s="718">
        <f t="shared" si="14"/>
        <v>100</v>
      </c>
      <c r="X27" s="719"/>
      <c r="Y27" s="3465"/>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6"/>
      <c r="M28" s="2940"/>
      <c r="N28" s="2940"/>
      <c r="O28" s="2940"/>
      <c r="P28" s="3465"/>
      <c r="Q28" s="1537" t="str">
        <f t="shared" si="11"/>
        <v>公共部分装修</v>
      </c>
      <c r="R28" s="714" t="s">
        <v>17</v>
      </c>
      <c r="S28" s="715">
        <f t="shared" si="12"/>
        <v>100</v>
      </c>
      <c r="T28" s="714" t="s">
        <v>17</v>
      </c>
      <c r="U28" s="715">
        <f t="shared" si="13"/>
        <v>100</v>
      </c>
      <c r="V28" s="714" t="s">
        <v>17</v>
      </c>
      <c r="W28" s="715">
        <f t="shared" si="14"/>
        <v>100</v>
      </c>
      <c r="X28" s="1540"/>
      <c r="Y28" s="3465"/>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6"/>
      <c r="M29" s="2940"/>
      <c r="N29" s="2940"/>
      <c r="O29" s="2940"/>
      <c r="P29" s="3465"/>
      <c r="Q29" s="1537" t="str">
        <f t="shared" si="11"/>
        <v>成新率</v>
      </c>
      <c r="R29" s="714" t="s">
        <v>17</v>
      </c>
      <c r="S29" s="715" t="e">
        <f t="shared" si="12"/>
        <v>#N/A</v>
      </c>
      <c r="T29" s="714" t="s">
        <v>17</v>
      </c>
      <c r="U29" s="715" t="e">
        <f t="shared" si="13"/>
        <v>#N/A</v>
      </c>
      <c r="V29" s="714" t="s">
        <v>17</v>
      </c>
      <c r="W29" s="715" t="e">
        <f t="shared" si="14"/>
        <v>#N/A</v>
      </c>
      <c r="X29" s="1540"/>
      <c r="Y29" s="3465"/>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6"/>
      <c r="M30" s="2940"/>
      <c r="N30" s="2940"/>
      <c r="O30" s="2940"/>
      <c r="P30" s="3465"/>
      <c r="Q30" s="1537" t="str">
        <f t="shared" si="11"/>
        <v>物业等级</v>
      </c>
      <c r="R30" s="714" t="s">
        <v>17</v>
      </c>
      <c r="S30" s="715">
        <f t="shared" si="12"/>
        <v>100</v>
      </c>
      <c r="T30" s="714" t="s">
        <v>17</v>
      </c>
      <c r="U30" s="715">
        <f t="shared" si="13"/>
        <v>100</v>
      </c>
      <c r="V30" s="714" t="s">
        <v>17</v>
      </c>
      <c r="W30" s="715">
        <f t="shared" si="14"/>
        <v>100</v>
      </c>
      <c r="X30" s="1540"/>
      <c r="Y30" s="3465"/>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1"/>
      <c r="M31" s="2942"/>
      <c r="N31" s="2942"/>
      <c r="O31" s="2942"/>
      <c r="P31" s="3465"/>
      <c r="Q31" s="1528" t="str">
        <f t="shared" si="11"/>
        <v>停车位面积</v>
      </c>
      <c r="R31" s="710" t="s">
        <v>17</v>
      </c>
      <c r="S31" s="711" t="e">
        <f t="shared" si="12"/>
        <v>#N/A</v>
      </c>
      <c r="T31" s="710" t="s">
        <v>17</v>
      </c>
      <c r="U31" s="711" t="e">
        <f t="shared" si="13"/>
        <v>#N/A</v>
      </c>
      <c r="V31" s="710" t="s">
        <v>17</v>
      </c>
      <c r="W31" s="711" t="e">
        <f t="shared" si="14"/>
        <v>#N/A</v>
      </c>
      <c r="X31" s="712"/>
      <c r="Y31" s="346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6"/>
      <c r="M32" s="2940"/>
      <c r="N32" s="2940"/>
      <c r="O32" s="2940"/>
      <c r="P32" s="3465" t="s">
        <v>2386</v>
      </c>
      <c r="Q32" s="1537" t="str">
        <f t="shared" si="11"/>
        <v>车位类型</v>
      </c>
      <c r="R32" s="714" t="s">
        <v>17</v>
      </c>
      <c r="S32" s="715">
        <f t="shared" si="12"/>
        <v>100</v>
      </c>
      <c r="T32" s="714" t="s">
        <v>17</v>
      </c>
      <c r="U32" s="715">
        <f t="shared" si="13"/>
        <v>100</v>
      </c>
      <c r="V32" s="714" t="s">
        <v>17</v>
      </c>
      <c r="W32" s="715">
        <f t="shared" si="14"/>
        <v>100</v>
      </c>
      <c r="X32" s="1540"/>
      <c r="Y32" s="3465"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6"/>
      <c r="M33" s="2940"/>
      <c r="N33" s="2940"/>
      <c r="O33" s="2940"/>
      <c r="P33" s="3465"/>
      <c r="Q33" s="1537" t="str">
        <f t="shared" si="11"/>
        <v>是否直接入户</v>
      </c>
      <c r="R33" s="714" t="s">
        <v>17</v>
      </c>
      <c r="S33" s="715">
        <f t="shared" si="12"/>
        <v>100</v>
      </c>
      <c r="T33" s="714" t="s">
        <v>17</v>
      </c>
      <c r="U33" s="715">
        <f t="shared" si="13"/>
        <v>100</v>
      </c>
      <c r="V33" s="714" t="s">
        <v>17</v>
      </c>
      <c r="W33" s="715">
        <f t="shared" si="14"/>
        <v>100</v>
      </c>
      <c r="X33" s="1540"/>
      <c r="Y33" s="3465"/>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6"/>
      <c r="M34" s="2940"/>
      <c r="N34" s="2940"/>
      <c r="O34" s="2940"/>
      <c r="P34" s="3465"/>
      <c r="Q34" s="1537">
        <f t="shared" si="11"/>
        <v>111</v>
      </c>
      <c r="R34" s="714" t="s">
        <v>17</v>
      </c>
      <c r="S34" s="715">
        <f t="shared" si="12"/>
        <v>100</v>
      </c>
      <c r="T34" s="714" t="s">
        <v>17</v>
      </c>
      <c r="U34" s="715">
        <f t="shared" si="13"/>
        <v>100</v>
      </c>
      <c r="V34" s="714" t="s">
        <v>17</v>
      </c>
      <c r="W34" s="715">
        <f t="shared" si="14"/>
        <v>100</v>
      </c>
      <c r="X34" s="1540"/>
      <c r="Y34" s="3465"/>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5"/>
      <c r="M35" s="2947"/>
      <c r="N35" s="2947"/>
      <c r="O35" s="2947"/>
      <c r="P35" s="3465"/>
      <c r="Q35" s="716">
        <f t="shared" si="11"/>
        <v>111</v>
      </c>
      <c r="R35" s="717" t="s">
        <v>17</v>
      </c>
      <c r="S35" s="718">
        <f t="shared" si="12"/>
        <v>100</v>
      </c>
      <c r="T35" s="717" t="s">
        <v>17</v>
      </c>
      <c r="U35" s="718">
        <f t="shared" si="13"/>
        <v>100</v>
      </c>
      <c r="V35" s="717" t="s">
        <v>17</v>
      </c>
      <c r="W35" s="718">
        <f t="shared" si="14"/>
        <v>100</v>
      </c>
      <c r="X35" s="719"/>
      <c r="Y35" s="3465"/>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6"/>
      <c r="M36" s="2940"/>
      <c r="N36" s="2940"/>
      <c r="O36" s="2940"/>
      <c r="P36" s="3465"/>
      <c r="Q36" s="1537">
        <f t="shared" si="11"/>
        <v>111</v>
      </c>
      <c r="R36" s="714" t="s">
        <v>17</v>
      </c>
      <c r="S36" s="715">
        <f t="shared" si="12"/>
        <v>100</v>
      </c>
      <c r="T36" s="714" t="s">
        <v>17</v>
      </c>
      <c r="U36" s="715">
        <f t="shared" si="13"/>
        <v>100</v>
      </c>
      <c r="V36" s="714" t="s">
        <v>17</v>
      </c>
      <c r="W36" s="715">
        <f t="shared" si="14"/>
        <v>100</v>
      </c>
      <c r="X36" s="1540"/>
      <c r="Y36" s="3465"/>
      <c r="Z36" s="1541">
        <f t="shared" si="15"/>
        <v>111</v>
      </c>
      <c r="AA36" s="1538">
        <f t="shared" si="3"/>
        <v>1</v>
      </c>
      <c r="AB36" s="1538">
        <f t="shared" si="4"/>
        <v>1</v>
      </c>
      <c r="AC36" s="1538">
        <f t="shared" si="5"/>
        <v>1</v>
      </c>
    </row>
    <row r="37" spans="1:29" ht="15">
      <c r="A37" s="438" t="s">
        <v>2541</v>
      </c>
      <c r="B37" s="2159" t="s">
        <v>2542</v>
      </c>
      <c r="C37" s="1316" t="s">
        <v>1</v>
      </c>
      <c r="D37" s="1317"/>
      <c r="E37" s="1318"/>
      <c r="F37" s="1319"/>
      <c r="G37" s="1320"/>
      <c r="H37" s="1321"/>
      <c r="I37" s="1318"/>
      <c r="J37" s="1321"/>
      <c r="K37" s="576"/>
      <c r="L37" s="2948"/>
      <c r="M37" s="2949"/>
      <c r="N37" s="2940"/>
      <c r="O37" s="2949"/>
      <c r="P37" s="3447" t="str">
        <f>A37</f>
        <v>成交单价</v>
      </c>
      <c r="Q37" s="3447"/>
      <c r="R37" s="3523">
        <f>E37</f>
        <v>0</v>
      </c>
      <c r="S37" s="3523"/>
      <c r="T37" s="3523">
        <f>G37</f>
        <v>0</v>
      </c>
      <c r="U37" s="3523"/>
      <c r="V37" s="3523">
        <f>I37</f>
        <v>0</v>
      </c>
      <c r="W37" s="3523"/>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48"/>
      <c r="M38" s="2949"/>
      <c r="N38" s="2949"/>
      <c r="O38" s="2949"/>
      <c r="P38" s="3447" t="str">
        <f>A38</f>
        <v>比较价值（元/平方米）</v>
      </c>
      <c r="Q38" s="3447"/>
      <c r="R38" s="3523" t="e">
        <f>IF(F1="售价",ROUND(PRODUCT(R37,AA7:AA36),0),ROUND(PRODUCT(R37,AA7:AA36),1))</f>
        <v>#DIV/0!</v>
      </c>
      <c r="S38" s="3523"/>
      <c r="T38" s="3523" t="e">
        <f>IF(F1="售价",ROUND(PRODUCT(T37,AB7:AB36),0),ROUND(PRODUCT(T37,AB7:AB36),1))</f>
        <v>#DIV/0!</v>
      </c>
      <c r="U38" s="3523"/>
      <c r="V38" s="3523" t="e">
        <f>IF(F1="售价",ROUND(PRODUCT(V37,AC7:AC36),0),ROUND(PRODUCT(V37,AC7:AC36),1))</f>
        <v>#DIV/0!</v>
      </c>
      <c r="W38" s="3523"/>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48"/>
      <c r="M39" s="2949"/>
      <c r="N39" s="2949"/>
      <c r="O39" s="2949"/>
      <c r="P39" s="3467" t="str">
        <f>A39</f>
        <v>估价对象XX用房的比较价值（楼面单价，元/平方米）</v>
      </c>
      <c r="Q39" s="3468"/>
      <c r="R39" s="3545" t="e">
        <f>IF(F1="售价",ROUND(IF(D38="简单平均",AVERAGE(R38:W38),R38*F38+T38*H38+V38*J38),0),ROUND(IF(D38="简单平均",AVERAGE(R38:V38),R38*F38+T38*H38+V38*J38),1))</f>
        <v>#DIV/0!</v>
      </c>
      <c r="S39" s="3545"/>
      <c r="T39" s="3545"/>
      <c r="U39" s="3545"/>
      <c r="V39" s="3545"/>
      <c r="W39" s="3545"/>
      <c r="X39" s="699"/>
      <c r="Y39" s="699"/>
      <c r="Z39" s="699"/>
      <c r="AA39" s="699"/>
      <c r="AB39" s="699"/>
      <c r="AC39" s="699"/>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9" customFormat="1" ht="13.5" customHeight="1">
      <c r="A44" s="2952"/>
      <c r="B44" s="2952"/>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9"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8" t="s">
        <v>2548</v>
      </c>
      <c r="B47" s="1058"/>
      <c r="C47" s="1071"/>
      <c r="D47" s="1071"/>
      <c r="E47" s="1071"/>
      <c r="F47" s="1329"/>
      <c r="G47" s="1329"/>
      <c r="H47" s="1071"/>
      <c r="I47" s="1071"/>
      <c r="J47" s="1071"/>
      <c r="K47" s="1072"/>
      <c r="L47" s="1073"/>
      <c r="M47" s="1071"/>
      <c r="N47" s="2993"/>
      <c r="O47" s="2993"/>
      <c r="P47" s="2982"/>
      <c r="Q47" s="2963"/>
      <c r="R47" s="2949"/>
      <c r="S47" s="2949"/>
      <c r="T47" s="2949"/>
      <c r="U47" s="2949"/>
      <c r="V47" s="2949"/>
      <c r="W47" s="2949"/>
      <c r="X47" s="2949"/>
      <c r="Y47" s="2949"/>
      <c r="Z47" s="2949"/>
      <c r="AA47" s="2949"/>
      <c r="AB47" s="2949"/>
      <c r="AC47" s="2949"/>
    </row>
    <row r="48" spans="1:29" s="465" customFormat="1" ht="15">
      <c r="A48" s="462" t="s">
        <v>2549</v>
      </c>
      <c r="B48" s="463"/>
      <c r="C48" s="1346" t="str">
        <f>YEAR(C7)&amp;"-"&amp;MONTH(C7)</f>
        <v>2021-3</v>
      </c>
      <c r="D48" s="1347">
        <f>EDATE(C48,-1)</f>
        <v>44228</v>
      </c>
      <c r="E48" s="1347">
        <f t="shared" ref="E48:O48" si="16">EDATE(D48,-1)</f>
        <v>44197</v>
      </c>
      <c r="F48" s="1347">
        <f t="shared" si="16"/>
        <v>44166</v>
      </c>
      <c r="G48" s="1347">
        <f t="shared" si="16"/>
        <v>44136</v>
      </c>
      <c r="H48" s="1347">
        <f t="shared" si="16"/>
        <v>44105</v>
      </c>
      <c r="I48" s="1347">
        <f t="shared" si="16"/>
        <v>44075</v>
      </c>
      <c r="J48" s="1347">
        <f t="shared" si="16"/>
        <v>44044</v>
      </c>
      <c r="K48" s="1347">
        <f t="shared" si="16"/>
        <v>44013</v>
      </c>
      <c r="L48" s="1347">
        <f t="shared" si="16"/>
        <v>43983</v>
      </c>
      <c r="M48" s="1347">
        <f t="shared" si="16"/>
        <v>43952</v>
      </c>
      <c r="N48" s="1347">
        <f t="shared" si="16"/>
        <v>43922</v>
      </c>
      <c r="O48" s="1347">
        <f t="shared" si="16"/>
        <v>43891</v>
      </c>
      <c r="P48" s="2983"/>
      <c r="Q48" s="2965"/>
      <c r="R48" s="2965"/>
      <c r="S48" s="2965"/>
      <c r="T48" s="2965"/>
      <c r="U48" s="2965"/>
      <c r="V48" s="2965"/>
      <c r="W48" s="2965"/>
      <c r="X48" s="2965"/>
      <c r="Y48" s="2965"/>
      <c r="Z48" s="2965"/>
      <c r="AA48" s="2965"/>
      <c r="AB48" s="2965"/>
      <c r="AC48" s="2965"/>
    </row>
    <row r="49" spans="1:29" s="113" customFormat="1" ht="15">
      <c r="A49" s="466"/>
      <c r="B49" s="467"/>
      <c r="C49" s="1339">
        <v>100</v>
      </c>
      <c r="D49" s="469"/>
      <c r="E49" s="469"/>
      <c r="F49" s="469"/>
      <c r="G49" s="469"/>
      <c r="H49" s="469"/>
      <c r="I49" s="469"/>
      <c r="J49" s="469"/>
      <c r="K49" s="469"/>
      <c r="L49" s="469"/>
      <c r="M49" s="470"/>
      <c r="N49" s="469"/>
      <c r="O49" s="470"/>
      <c r="P49" s="2984"/>
      <c r="Q49" s="2884"/>
      <c r="R49" s="2884"/>
      <c r="S49" s="2884"/>
      <c r="T49" s="2884"/>
      <c r="U49" s="2884"/>
      <c r="V49" s="2884"/>
      <c r="W49" s="2884"/>
      <c r="X49" s="2884"/>
      <c r="Y49" s="2884"/>
      <c r="Z49" s="2884"/>
      <c r="AA49" s="2884"/>
      <c r="AB49" s="2884"/>
      <c r="AC49" s="2884"/>
    </row>
    <row r="50" spans="1:29" s="113" customFormat="1" ht="15.75" thickBot="1">
      <c r="A50" s="472" t="s">
        <v>2406</v>
      </c>
      <c r="B50" s="473"/>
      <c r="C50" s="474"/>
      <c r="D50" s="475"/>
      <c r="E50" s="475"/>
      <c r="F50" s="475"/>
      <c r="G50" s="475"/>
      <c r="H50" s="475"/>
      <c r="I50" s="475"/>
      <c r="J50" s="475"/>
      <c r="K50" s="475"/>
      <c r="L50" s="475"/>
      <c r="M50" s="476"/>
      <c r="N50" s="475"/>
      <c r="O50" s="476"/>
      <c r="P50" s="2984"/>
      <c r="Q50" s="2963"/>
      <c r="R50" s="2884"/>
      <c r="S50" s="2884"/>
      <c r="T50" s="2884"/>
      <c r="U50" s="2884"/>
      <c r="V50" s="2884"/>
      <c r="W50" s="2884"/>
      <c r="X50" s="2884"/>
      <c r="Y50" s="2884"/>
      <c r="Z50" s="2884"/>
      <c r="AA50" s="2884"/>
      <c r="AB50" s="2884"/>
      <c r="AC50" s="2884"/>
    </row>
    <row r="51" spans="1:29" s="113" customFormat="1" ht="15">
      <c r="A51" s="478" t="s">
        <v>2371</v>
      </c>
      <c r="B51" s="467"/>
      <c r="C51" s="479" t="s">
        <v>2473</v>
      </c>
      <c r="D51" s="480"/>
      <c r="E51" s="480"/>
      <c r="F51" s="480"/>
      <c r="G51" s="480"/>
      <c r="H51" s="480"/>
      <c r="I51" s="480"/>
      <c r="J51" s="480"/>
      <c r="K51" s="480"/>
      <c r="L51" s="481"/>
      <c r="M51" s="482"/>
      <c r="N51" s="2976"/>
      <c r="O51" s="2976"/>
      <c r="P51" s="2985"/>
      <c r="Q51" s="2963"/>
      <c r="R51" s="2884"/>
      <c r="S51" s="2884"/>
      <c r="T51" s="2884"/>
      <c r="U51" s="2884"/>
      <c r="V51" s="2884"/>
      <c r="W51" s="2884"/>
      <c r="X51" s="2884"/>
      <c r="Y51" s="2884"/>
      <c r="Z51" s="2884"/>
      <c r="AA51" s="2884"/>
      <c r="AB51" s="2884"/>
      <c r="AC51" s="2884"/>
    </row>
    <row r="52" spans="1:29" s="113" customFormat="1" ht="15.75" thickBot="1">
      <c r="A52" s="478"/>
      <c r="B52" s="467"/>
      <c r="C52" s="595">
        <v>100</v>
      </c>
      <c r="D52" s="469"/>
      <c r="E52" s="469"/>
      <c r="F52" s="469"/>
      <c r="G52" s="469"/>
      <c r="H52" s="469"/>
      <c r="I52" s="469"/>
      <c r="J52" s="469"/>
      <c r="K52" s="469"/>
      <c r="L52" s="469"/>
      <c r="M52" s="471"/>
      <c r="N52" s="2976"/>
      <c r="O52" s="2976"/>
      <c r="P52" s="2984"/>
      <c r="Q52" s="2963"/>
      <c r="R52" s="2884"/>
      <c r="S52" s="2884"/>
      <c r="T52" s="2884"/>
      <c r="U52" s="2884"/>
      <c r="V52" s="2884"/>
      <c r="W52" s="2884"/>
      <c r="X52" s="2884"/>
      <c r="Y52" s="2884"/>
      <c r="Z52" s="2884"/>
      <c r="AA52" s="2884"/>
      <c r="AB52" s="2884"/>
      <c r="AC52" s="2884"/>
    </row>
    <row r="53" spans="1:29">
      <c r="A53" s="484" t="s">
        <v>2409</v>
      </c>
      <c r="B53" s="485" t="s">
        <v>2375</v>
      </c>
      <c r="C53" s="486">
        <f>C9</f>
        <v>0</v>
      </c>
      <c r="D53" s="487"/>
      <c r="E53" s="487"/>
      <c r="F53" s="487"/>
      <c r="G53" s="487"/>
      <c r="H53" s="487"/>
      <c r="I53" s="487"/>
      <c r="J53" s="487"/>
      <c r="K53" s="488"/>
      <c r="L53" s="489"/>
      <c r="M53" s="490"/>
      <c r="N53" s="2977"/>
      <c r="O53" s="2977"/>
      <c r="P53" s="2986"/>
      <c r="Q53" s="2963"/>
      <c r="R53" s="2949"/>
      <c r="S53" s="2949"/>
      <c r="T53" s="2949"/>
      <c r="U53" s="2949"/>
      <c r="V53" s="2949"/>
      <c r="W53" s="2949"/>
      <c r="X53" s="2949"/>
      <c r="Y53" s="2949"/>
      <c r="Z53" s="2949"/>
      <c r="AA53" s="2949"/>
      <c r="AB53" s="2949"/>
      <c r="AC53" s="2949"/>
    </row>
    <row r="54" spans="1:29" ht="15.75" thickBot="1">
      <c r="A54" s="491"/>
      <c r="B54" s="492"/>
      <c r="C54" s="493">
        <v>100</v>
      </c>
      <c r="D54" s="493"/>
      <c r="E54" s="493"/>
      <c r="F54" s="493"/>
      <c r="G54" s="493"/>
      <c r="H54" s="493"/>
      <c r="I54" s="493"/>
      <c r="J54" s="493"/>
      <c r="K54" s="493"/>
      <c r="L54" s="493"/>
      <c r="M54" s="494"/>
      <c r="N54" s="2978"/>
      <c r="O54" s="2978"/>
      <c r="P54" s="2986"/>
      <c r="Q54" s="2963"/>
      <c r="R54" s="2949"/>
      <c r="S54" s="2949"/>
      <c r="T54" s="2949"/>
      <c r="U54" s="2949"/>
      <c r="V54" s="2949"/>
      <c r="W54" s="2949"/>
      <c r="X54" s="2949"/>
      <c r="Y54" s="2949"/>
      <c r="Z54" s="2949"/>
      <c r="AA54" s="2949"/>
      <c r="AB54" s="2949"/>
      <c r="AC54" s="2949"/>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7"/>
      <c r="O55" s="2977"/>
      <c r="P55" s="2986"/>
      <c r="Q55" s="2963"/>
      <c r="R55" s="2949"/>
      <c r="S55" s="2949"/>
      <c r="T55" s="2949"/>
      <c r="U55" s="2949"/>
      <c r="V55" s="2949"/>
      <c r="W55" s="2949"/>
      <c r="X55" s="2949"/>
      <c r="Y55" s="2949"/>
      <c r="Z55" s="2949"/>
      <c r="AA55" s="2949"/>
      <c r="AB55" s="2949"/>
      <c r="AC55" s="294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8"/>
      <c r="O56" s="2978"/>
      <c r="P56" s="2986"/>
      <c r="Q56" s="2963"/>
      <c r="R56" s="2949"/>
      <c r="S56" s="2949"/>
      <c r="T56" s="2949"/>
      <c r="U56" s="2949"/>
      <c r="V56" s="2949"/>
      <c r="W56" s="2949"/>
      <c r="X56" s="2949"/>
      <c r="Y56" s="2949"/>
      <c r="Z56" s="2949"/>
      <c r="AA56" s="2949"/>
      <c r="AB56" s="2949"/>
      <c r="AC56" s="2949"/>
    </row>
    <row r="57" spans="1:29" ht="15.75" thickTop="1">
      <c r="A57" s="491"/>
      <c r="B57" s="616">
        <f>B11</f>
        <v>111</v>
      </c>
      <c r="C57" s="506"/>
      <c r="D57" s="506"/>
      <c r="E57" s="506"/>
      <c r="F57" s="506"/>
      <c r="G57" s="506"/>
      <c r="H57" s="506"/>
      <c r="I57" s="506"/>
      <c r="J57" s="506"/>
      <c r="K57" s="507"/>
      <c r="L57" s="508"/>
      <c r="M57" s="509"/>
      <c r="N57" s="2977"/>
      <c r="O57" s="2977"/>
      <c r="P57" s="2986"/>
      <c r="Q57" s="2963"/>
      <c r="R57" s="2949"/>
      <c r="S57" s="2949"/>
      <c r="T57" s="2949"/>
      <c r="U57" s="2949"/>
      <c r="V57" s="2949"/>
      <c r="W57" s="2949"/>
      <c r="X57" s="2949"/>
      <c r="Y57" s="2949"/>
      <c r="Z57" s="2949"/>
      <c r="AA57" s="2949"/>
      <c r="AB57" s="2949"/>
      <c r="AC57" s="2949"/>
    </row>
    <row r="58" spans="1:29" ht="15.75" thickBot="1">
      <c r="A58" s="491"/>
      <c r="B58" s="492"/>
      <c r="C58" s="517"/>
      <c r="D58" s="493"/>
      <c r="E58" s="493"/>
      <c r="F58" s="493"/>
      <c r="G58" s="493"/>
      <c r="H58" s="493"/>
      <c r="I58" s="493"/>
      <c r="J58" s="493"/>
      <c r="K58" s="493"/>
      <c r="L58" s="493"/>
      <c r="M58" s="494"/>
      <c r="N58" s="2978"/>
      <c r="O58" s="2978"/>
      <c r="P58" s="2986"/>
      <c r="Q58" s="2963"/>
      <c r="R58" s="2949"/>
      <c r="S58" s="2949"/>
      <c r="T58" s="2949"/>
      <c r="U58" s="2949"/>
      <c r="V58" s="2949"/>
      <c r="W58" s="2949"/>
      <c r="X58" s="2949"/>
      <c r="Y58" s="2949"/>
      <c r="Z58" s="2949"/>
      <c r="AA58" s="2949"/>
      <c r="AB58" s="2949"/>
      <c r="AC58" s="2949"/>
    </row>
    <row r="59" spans="1:29" s="430" customFormat="1" ht="15.75" thickTop="1">
      <c r="A59" s="510"/>
      <c r="B59" s="495">
        <f>B12</f>
        <v>111</v>
      </c>
      <c r="C59" s="506"/>
      <c r="D59" s="506"/>
      <c r="E59" s="506"/>
      <c r="F59" s="506"/>
      <c r="G59" s="511"/>
      <c r="H59" s="512"/>
      <c r="I59" s="512"/>
      <c r="J59" s="512"/>
      <c r="K59" s="512"/>
      <c r="L59" s="513"/>
      <c r="M59" s="514"/>
      <c r="N59" s="2979"/>
      <c r="O59" s="2979"/>
      <c r="P59" s="2987"/>
      <c r="Q59" s="2970"/>
      <c r="R59" s="2971"/>
      <c r="S59" s="2971"/>
      <c r="T59" s="2971"/>
      <c r="U59" s="2971"/>
      <c r="V59" s="2971"/>
      <c r="W59" s="2971"/>
      <c r="X59" s="2971"/>
      <c r="Y59" s="2971"/>
      <c r="Z59" s="2971"/>
      <c r="AA59" s="2971"/>
      <c r="AB59" s="2971"/>
      <c r="AC59" s="2971"/>
    </row>
    <row r="60" spans="1:29" s="430" customFormat="1" ht="15.75" thickBot="1">
      <c r="A60" s="510"/>
      <c r="B60" s="500"/>
      <c r="C60" s="517"/>
      <c r="D60" s="493"/>
      <c r="E60" s="493"/>
      <c r="F60" s="493"/>
      <c r="G60" s="493"/>
      <c r="H60" s="493"/>
      <c r="I60" s="493"/>
      <c r="J60" s="493"/>
      <c r="K60" s="493"/>
      <c r="L60" s="493"/>
      <c r="M60" s="494"/>
      <c r="N60" s="2978"/>
      <c r="O60" s="2978"/>
      <c r="P60" s="2987"/>
      <c r="Q60" s="2970"/>
      <c r="R60" s="2971"/>
      <c r="S60" s="2971"/>
      <c r="T60" s="2971"/>
      <c r="U60" s="2971"/>
      <c r="V60" s="2971"/>
      <c r="W60" s="2971"/>
      <c r="X60" s="2971"/>
      <c r="Y60" s="2971"/>
      <c r="Z60" s="2971"/>
      <c r="AA60" s="2971"/>
      <c r="AB60" s="2971"/>
      <c r="AC60" s="2971"/>
    </row>
    <row r="61" spans="1:29" s="430" customFormat="1" ht="15.75" thickTop="1">
      <c r="A61" s="510"/>
      <c r="B61" s="495">
        <f>B13</f>
        <v>111</v>
      </c>
      <c r="C61" s="511"/>
      <c r="D61" s="511"/>
      <c r="E61" s="511"/>
      <c r="F61" s="511"/>
      <c r="G61" s="511"/>
      <c r="H61" s="512"/>
      <c r="I61" s="512"/>
      <c r="J61" s="512"/>
      <c r="K61" s="512"/>
      <c r="L61" s="513"/>
      <c r="M61" s="514"/>
      <c r="N61" s="2979"/>
      <c r="O61" s="2979"/>
      <c r="P61" s="2988"/>
      <c r="Q61" s="2973"/>
      <c r="R61" s="2971"/>
      <c r="S61" s="2971"/>
      <c r="T61" s="2971"/>
      <c r="U61" s="2971"/>
      <c r="V61" s="2971"/>
      <c r="W61" s="2971"/>
      <c r="X61" s="2971"/>
      <c r="Y61" s="2971"/>
      <c r="Z61" s="2971"/>
      <c r="AA61" s="2971"/>
      <c r="AB61" s="2971"/>
      <c r="AC61" s="2971"/>
    </row>
    <row r="62" spans="1:29" s="430" customFormat="1" ht="15.75" thickBot="1">
      <c r="A62" s="510"/>
      <c r="B62" s="500"/>
      <c r="C62" s="517"/>
      <c r="D62" s="517"/>
      <c r="E62" s="517"/>
      <c r="F62" s="517"/>
      <c r="G62" s="517"/>
      <c r="H62" s="519"/>
      <c r="I62" s="519"/>
      <c r="J62" s="519"/>
      <c r="K62" s="519"/>
      <c r="L62" s="519"/>
      <c r="M62" s="520"/>
      <c r="N62" s="2979"/>
      <c r="O62" s="2979"/>
      <c r="P62" s="2987"/>
      <c r="Q62" s="2970"/>
      <c r="R62" s="2971"/>
      <c r="S62" s="2971"/>
      <c r="T62" s="2971"/>
      <c r="U62" s="2971"/>
      <c r="V62" s="2971"/>
      <c r="W62" s="2971"/>
      <c r="X62" s="2971"/>
      <c r="Y62" s="2971"/>
      <c r="Z62" s="2971"/>
      <c r="AA62" s="2971"/>
      <c r="AB62" s="2971"/>
      <c r="AC62" s="2971"/>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7"/>
      <c r="O63" s="2977"/>
      <c r="P63" s="2990"/>
      <c r="Q63" s="2963"/>
      <c r="R63" s="2949"/>
      <c r="S63" s="2949"/>
      <c r="T63" s="2949"/>
      <c r="U63" s="2949"/>
      <c r="V63" s="2949"/>
      <c r="W63" s="2949"/>
      <c r="X63" s="2949"/>
      <c r="Y63" s="2949"/>
      <c r="Z63" s="2949"/>
      <c r="AA63" s="2949"/>
      <c r="AB63" s="2949"/>
      <c r="AC63" s="294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8"/>
      <c r="O64" s="2978"/>
      <c r="P64" s="2986"/>
      <c r="Q64" s="2963"/>
      <c r="R64" s="2949"/>
      <c r="S64" s="2949"/>
      <c r="T64" s="2949"/>
      <c r="U64" s="2949"/>
      <c r="V64" s="2949"/>
      <c r="W64" s="2949"/>
      <c r="X64" s="2949"/>
      <c r="Y64" s="2949"/>
      <c r="Z64" s="2949"/>
      <c r="AA64" s="2949"/>
      <c r="AB64" s="2949"/>
      <c r="AC64" s="2949"/>
    </row>
    <row r="65" spans="1:29" ht="15.75" thickTop="1">
      <c r="A65" s="491"/>
      <c r="B65" s="495" t="s">
        <v>2424</v>
      </c>
      <c r="C65" s="535" t="s">
        <v>2418</v>
      </c>
      <c r="D65" s="535" t="s">
        <v>2419</v>
      </c>
      <c r="E65" s="535" t="s">
        <v>2420</v>
      </c>
      <c r="F65" s="535" t="s">
        <v>2421</v>
      </c>
      <c r="G65" s="535" t="s">
        <v>2422</v>
      </c>
      <c r="H65" s="496"/>
      <c r="I65" s="496"/>
      <c r="J65" s="496"/>
      <c r="K65" s="497"/>
      <c r="L65" s="498"/>
      <c r="M65" s="499"/>
      <c r="N65" s="2977"/>
      <c r="O65" s="2977"/>
      <c r="P65" s="2986"/>
      <c r="Q65" s="2963"/>
      <c r="R65" s="2949"/>
      <c r="S65" s="2949"/>
      <c r="T65" s="2949"/>
      <c r="U65" s="2949"/>
      <c r="V65" s="2949"/>
      <c r="W65" s="2949"/>
      <c r="X65" s="2949"/>
      <c r="Y65" s="2949"/>
      <c r="Z65" s="2949"/>
      <c r="AA65" s="2949"/>
      <c r="AB65" s="2949"/>
      <c r="AC65" s="294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8"/>
      <c r="O66" s="2978"/>
      <c r="P66" s="2986"/>
      <c r="Q66" s="2963"/>
      <c r="R66" s="2949"/>
      <c r="S66" s="2949"/>
      <c r="T66" s="2949"/>
      <c r="U66" s="2949"/>
      <c r="V66" s="2949"/>
      <c r="W66" s="2949"/>
      <c r="X66" s="2949"/>
      <c r="Y66" s="2949"/>
      <c r="Z66" s="2949"/>
      <c r="AA66" s="2949"/>
      <c r="AB66" s="2949"/>
      <c r="AC66" s="2949"/>
    </row>
    <row r="67" spans="1:29" ht="15.75" thickTop="1">
      <c r="A67" s="491"/>
      <c r="B67" s="503" t="s">
        <v>2510</v>
      </c>
      <c r="C67" s="616" t="s">
        <v>2496</v>
      </c>
      <c r="D67" s="616" t="s">
        <v>2497</v>
      </c>
      <c r="E67" s="616" t="s">
        <v>2498</v>
      </c>
      <c r="F67" s="616" t="s">
        <v>2499</v>
      </c>
      <c r="G67" s="616" t="s">
        <v>2500</v>
      </c>
      <c r="H67" s="496"/>
      <c r="I67" s="496"/>
      <c r="J67" s="496"/>
      <c r="K67" s="496"/>
      <c r="L67" s="496"/>
      <c r="M67" s="1291"/>
      <c r="N67" s="2978"/>
      <c r="O67" s="2978"/>
      <c r="P67" s="2986"/>
      <c r="Q67" s="2963"/>
      <c r="R67" s="2949"/>
      <c r="S67" s="2949"/>
      <c r="T67" s="2949"/>
      <c r="U67" s="2949"/>
      <c r="V67" s="2949"/>
      <c r="W67" s="2949"/>
      <c r="X67" s="2949"/>
      <c r="Y67" s="2949"/>
      <c r="Z67" s="2949"/>
      <c r="AA67" s="2949"/>
      <c r="AB67" s="2949"/>
      <c r="AC67" s="294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8"/>
      <c r="O68" s="2978"/>
      <c r="P68" s="2986"/>
      <c r="Q68" s="2963"/>
      <c r="R68" s="2949"/>
      <c r="S68" s="2949"/>
      <c r="T68" s="2949"/>
      <c r="U68" s="2949"/>
      <c r="V68" s="2949"/>
      <c r="W68" s="2949"/>
      <c r="X68" s="2949"/>
      <c r="Y68" s="2949"/>
      <c r="Z68" s="2949"/>
      <c r="AA68" s="2949"/>
      <c r="AB68" s="2949"/>
      <c r="AC68" s="2949"/>
    </row>
    <row r="69" spans="1:29" ht="15.75" thickTop="1">
      <c r="A69" s="491"/>
      <c r="B69" s="495" t="s">
        <v>2430</v>
      </c>
      <c r="C69" s="535" t="s">
        <v>2418</v>
      </c>
      <c r="D69" s="535" t="s">
        <v>2419</v>
      </c>
      <c r="E69" s="535" t="s">
        <v>2420</v>
      </c>
      <c r="F69" s="535" t="s">
        <v>2421</v>
      </c>
      <c r="G69" s="535" t="s">
        <v>2422</v>
      </c>
      <c r="H69" s="496"/>
      <c r="I69" s="496"/>
      <c r="J69" s="496"/>
      <c r="K69" s="497"/>
      <c r="L69" s="498"/>
      <c r="M69" s="499"/>
      <c r="N69" s="2977"/>
      <c r="O69" s="2977"/>
      <c r="P69" s="2986"/>
      <c r="Q69" s="2963"/>
      <c r="R69" s="2949"/>
      <c r="S69" s="2949"/>
      <c r="T69" s="2949"/>
      <c r="U69" s="2949"/>
      <c r="V69" s="2949"/>
      <c r="W69" s="2949"/>
      <c r="X69" s="2949"/>
      <c r="Y69" s="2949"/>
      <c r="Z69" s="2949"/>
      <c r="AA69" s="2949"/>
      <c r="AB69" s="2949"/>
      <c r="AC69" s="294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8"/>
      <c r="O70" s="2978"/>
      <c r="P70" s="2986"/>
      <c r="Q70" s="2963"/>
      <c r="R70" s="2949"/>
      <c r="S70" s="2949"/>
      <c r="T70" s="2949"/>
      <c r="U70" s="2949"/>
      <c r="V70" s="2949"/>
      <c r="W70" s="2949"/>
      <c r="X70" s="2949"/>
      <c r="Y70" s="2949"/>
      <c r="Z70" s="2949"/>
      <c r="AA70" s="2949"/>
      <c r="AB70" s="2949"/>
      <c r="AC70" s="2949"/>
    </row>
    <row r="71" spans="1:29" ht="15.75" thickTop="1">
      <c r="A71" s="491"/>
      <c r="B71" s="495" t="s">
        <v>2550</v>
      </c>
      <c r="C71" s="511"/>
      <c r="D71" s="511"/>
      <c r="E71" s="511"/>
      <c r="F71" s="511"/>
      <c r="G71" s="511"/>
      <c r="H71" s="540"/>
      <c r="I71" s="540"/>
      <c r="J71" s="540"/>
      <c r="K71" s="541"/>
      <c r="L71" s="542"/>
      <c r="M71" s="543"/>
      <c r="N71" s="2977"/>
      <c r="O71" s="2977"/>
      <c r="P71" s="2986"/>
      <c r="Q71" s="2963"/>
      <c r="R71" s="2949"/>
      <c r="S71" s="2949"/>
      <c r="T71" s="2949"/>
      <c r="U71" s="2949"/>
      <c r="V71" s="2949"/>
      <c r="W71" s="2949"/>
      <c r="X71" s="2949"/>
      <c r="Y71" s="2949"/>
      <c r="Z71" s="2949"/>
      <c r="AA71" s="2949"/>
      <c r="AB71" s="2949"/>
      <c r="AC71" s="294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8"/>
      <c r="O72" s="2978"/>
      <c r="P72" s="2986"/>
      <c r="Q72" s="2963"/>
      <c r="R72" s="2949"/>
      <c r="S72" s="2949"/>
      <c r="T72" s="2949"/>
      <c r="U72" s="2949"/>
      <c r="V72" s="2949"/>
      <c r="W72" s="2949"/>
      <c r="X72" s="2949"/>
      <c r="Y72" s="2949"/>
      <c r="Z72" s="2949"/>
      <c r="AA72" s="2949"/>
      <c r="AB72" s="2949"/>
      <c r="AC72" s="2949"/>
    </row>
    <row r="73" spans="1:29" s="113" customFormat="1" ht="15.75" thickTop="1">
      <c r="A73" s="536"/>
      <c r="B73" s="495">
        <f>B23</f>
        <v>111</v>
      </c>
      <c r="C73" s="506"/>
      <c r="D73" s="506"/>
      <c r="E73" s="506"/>
      <c r="F73" s="506"/>
      <c r="G73" s="511"/>
      <c r="H73" s="511"/>
      <c r="I73" s="511"/>
      <c r="J73" s="511"/>
      <c r="K73" s="511"/>
      <c r="L73" s="537"/>
      <c r="M73" s="538"/>
      <c r="N73" s="2976"/>
      <c r="O73" s="2976"/>
      <c r="P73" s="2986"/>
      <c r="Q73" s="2963"/>
      <c r="R73" s="2884"/>
      <c r="S73" s="2884"/>
      <c r="T73" s="2884"/>
      <c r="U73" s="2884"/>
      <c r="V73" s="2884"/>
      <c r="W73" s="2884"/>
      <c r="X73" s="2884"/>
      <c r="Y73" s="2884"/>
      <c r="Z73" s="2884"/>
      <c r="AA73" s="2884"/>
      <c r="AB73" s="2884"/>
      <c r="AC73" s="2884"/>
    </row>
    <row r="74" spans="1:29" s="113" customFormat="1" ht="15.75" thickBot="1">
      <c r="A74" s="536"/>
      <c r="B74" s="500"/>
      <c r="C74" s="517"/>
      <c r="D74" s="493"/>
      <c r="E74" s="493"/>
      <c r="F74" s="493"/>
      <c r="G74" s="493"/>
      <c r="H74" s="493"/>
      <c r="I74" s="493"/>
      <c r="J74" s="493"/>
      <c r="K74" s="493"/>
      <c r="L74" s="493"/>
      <c r="M74" s="494"/>
      <c r="N74" s="2978"/>
      <c r="O74" s="2978"/>
      <c r="P74" s="2986"/>
      <c r="Q74" s="2963"/>
      <c r="R74" s="2884"/>
      <c r="S74" s="2884"/>
      <c r="T74" s="2884"/>
      <c r="U74" s="2884"/>
      <c r="V74" s="2884"/>
      <c r="W74" s="2884"/>
      <c r="X74" s="2884"/>
      <c r="Y74" s="2884"/>
      <c r="Z74" s="2884"/>
      <c r="AA74" s="2884"/>
      <c r="AB74" s="2884"/>
      <c r="AC74" s="2884"/>
    </row>
    <row r="75" spans="1:29" s="113" customFormat="1" ht="15.75" thickTop="1">
      <c r="A75" s="536"/>
      <c r="B75" s="495">
        <f>B24</f>
        <v>111</v>
      </c>
      <c r="C75" s="506"/>
      <c r="D75" s="506"/>
      <c r="E75" s="506"/>
      <c r="F75" s="506"/>
      <c r="G75" s="511"/>
      <c r="H75" s="511"/>
      <c r="I75" s="511"/>
      <c r="J75" s="511"/>
      <c r="K75" s="511"/>
      <c r="L75" s="511"/>
      <c r="M75" s="538"/>
      <c r="N75" s="2976"/>
      <c r="O75" s="2976"/>
      <c r="P75" s="2986"/>
      <c r="Q75" s="2963"/>
      <c r="R75" s="2884"/>
      <c r="S75" s="2884"/>
      <c r="T75" s="2884"/>
      <c r="U75" s="2884"/>
      <c r="V75" s="2884"/>
      <c r="W75" s="2884"/>
      <c r="X75" s="2884"/>
      <c r="Y75" s="2884"/>
      <c r="Z75" s="2884"/>
      <c r="AA75" s="2884"/>
      <c r="AB75" s="2884"/>
      <c r="AC75" s="2884"/>
    </row>
    <row r="76" spans="1:29" s="113" customFormat="1" ht="15.75" thickBot="1">
      <c r="A76" s="536"/>
      <c r="B76" s="500"/>
      <c r="C76" s="517"/>
      <c r="D76" s="493"/>
      <c r="E76" s="493"/>
      <c r="F76" s="493"/>
      <c r="G76" s="493"/>
      <c r="H76" s="493"/>
      <c r="I76" s="493"/>
      <c r="J76" s="493"/>
      <c r="K76" s="493"/>
      <c r="L76" s="493"/>
      <c r="M76" s="494"/>
      <c r="N76" s="2978"/>
      <c r="O76" s="2978"/>
      <c r="P76" s="2986"/>
      <c r="Q76" s="2963"/>
      <c r="R76" s="2884"/>
      <c r="S76" s="2884"/>
      <c r="T76" s="2884"/>
      <c r="U76" s="2884"/>
      <c r="V76" s="2884"/>
      <c r="W76" s="2884"/>
      <c r="X76" s="2884"/>
      <c r="Y76" s="2884"/>
      <c r="Z76" s="2884"/>
      <c r="AA76" s="2884"/>
      <c r="AB76" s="2884"/>
      <c r="AC76" s="2884"/>
    </row>
    <row r="77" spans="1:29" s="430" customFormat="1" ht="15.75" thickTop="1">
      <c r="A77" s="510"/>
      <c r="B77" s="495">
        <f>B25</f>
        <v>111</v>
      </c>
      <c r="C77" s="511"/>
      <c r="D77" s="511"/>
      <c r="E77" s="511"/>
      <c r="F77" s="511"/>
      <c r="G77" s="511"/>
      <c r="H77" s="512"/>
      <c r="I77" s="512"/>
      <c r="J77" s="512"/>
      <c r="K77" s="512"/>
      <c r="L77" s="513"/>
      <c r="M77" s="514"/>
      <c r="N77" s="2979"/>
      <c r="O77" s="2979"/>
      <c r="P77" s="2987"/>
      <c r="Q77" s="2970"/>
      <c r="R77" s="2971"/>
      <c r="S77" s="2971"/>
      <c r="T77" s="2971"/>
      <c r="U77" s="2971"/>
      <c r="V77" s="2971"/>
      <c r="W77" s="2971"/>
      <c r="X77" s="2971"/>
      <c r="Y77" s="2971"/>
      <c r="Z77" s="2971"/>
      <c r="AA77" s="2971"/>
      <c r="AB77" s="2971"/>
      <c r="AC77" s="2971"/>
    </row>
    <row r="78" spans="1:29" s="430" customFormat="1" ht="15.75" thickBot="1">
      <c r="A78" s="510"/>
      <c r="B78" s="500"/>
      <c r="C78" s="517"/>
      <c r="D78" s="517"/>
      <c r="E78" s="517"/>
      <c r="F78" s="517"/>
      <c r="G78" s="493"/>
      <c r="H78" s="493"/>
      <c r="I78" s="493"/>
      <c r="J78" s="493"/>
      <c r="K78" s="493"/>
      <c r="L78" s="493"/>
      <c r="M78" s="494"/>
      <c r="N78" s="2979"/>
      <c r="O78" s="2979"/>
      <c r="P78" s="2987"/>
      <c r="Q78" s="2970"/>
      <c r="R78" s="2971"/>
      <c r="S78" s="2971"/>
      <c r="T78" s="2971"/>
      <c r="U78" s="2971"/>
      <c r="V78" s="2971"/>
      <c r="W78" s="2971"/>
      <c r="X78" s="2971"/>
      <c r="Y78" s="2971"/>
      <c r="Z78" s="2971"/>
      <c r="AA78" s="2971"/>
      <c r="AB78" s="2971"/>
      <c r="AC78" s="2971"/>
    </row>
    <row r="79" spans="1:29" ht="27.75" thickTop="1">
      <c r="A79" s="484" t="s">
        <v>2384</v>
      </c>
      <c r="B79" s="485" t="s">
        <v>2551</v>
      </c>
      <c r="C79" s="486">
        <f>C26</f>
        <v>0</v>
      </c>
      <c r="D79" s="487"/>
      <c r="E79" s="487"/>
      <c r="F79" s="487"/>
      <c r="G79" s="487"/>
      <c r="H79" s="487"/>
      <c r="I79" s="487"/>
      <c r="J79" s="487"/>
      <c r="K79" s="488"/>
      <c r="L79" s="489"/>
      <c r="M79" s="490"/>
      <c r="N79" s="2977"/>
      <c r="O79" s="2977"/>
      <c r="P79" s="2986"/>
      <c r="Q79" s="2963"/>
      <c r="R79" s="2949"/>
      <c r="S79" s="2949"/>
      <c r="T79" s="2949"/>
      <c r="U79" s="2949"/>
      <c r="V79" s="2949"/>
      <c r="W79" s="2949"/>
      <c r="X79" s="2949"/>
      <c r="Y79" s="2949"/>
      <c r="Z79" s="2949"/>
      <c r="AA79" s="2949"/>
      <c r="AB79" s="2949"/>
      <c r="AC79" s="294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8"/>
      <c r="O80" s="2978"/>
      <c r="P80" s="2986"/>
      <c r="Q80" s="2963"/>
      <c r="R80" s="2949"/>
      <c r="S80" s="2949"/>
      <c r="T80" s="2949"/>
      <c r="U80" s="2949"/>
      <c r="V80" s="2949"/>
      <c r="W80" s="2949"/>
      <c r="X80" s="2949"/>
      <c r="Y80" s="2949"/>
      <c r="Z80" s="2949"/>
      <c r="AA80" s="2949"/>
      <c r="AB80" s="2949"/>
      <c r="AC80" s="2949"/>
    </row>
    <row r="81" spans="1:29" ht="15.75" thickTop="1">
      <c r="A81" s="491"/>
      <c r="B81" s="495" t="s">
        <v>2552</v>
      </c>
      <c r="C81" s="617"/>
      <c r="D81" s="617"/>
      <c r="E81" s="617"/>
      <c r="F81" s="617"/>
      <c r="G81" s="617"/>
      <c r="H81" s="617"/>
      <c r="I81" s="617"/>
      <c r="J81" s="617"/>
      <c r="K81" s="618"/>
      <c r="L81" s="619"/>
      <c r="M81" s="620"/>
      <c r="N81" s="2976"/>
      <c r="O81" s="2976"/>
      <c r="P81" s="2986"/>
      <c r="Q81" s="2963"/>
      <c r="R81" s="2949"/>
      <c r="S81" s="2949"/>
      <c r="T81" s="2949"/>
      <c r="U81" s="2949"/>
      <c r="V81" s="2949"/>
      <c r="W81" s="2949"/>
      <c r="X81" s="2949"/>
      <c r="Y81" s="2949"/>
      <c r="Z81" s="2949"/>
      <c r="AA81" s="2949"/>
      <c r="AB81" s="2949"/>
      <c r="AC81" s="2949"/>
    </row>
    <row r="82" spans="1:29" s="430" customFormat="1" ht="15.75" thickBot="1">
      <c r="A82" s="510"/>
      <c r="B82" s="500"/>
      <c r="C82" s="517"/>
      <c r="D82" s="493"/>
      <c r="E82" s="493"/>
      <c r="F82" s="493"/>
      <c r="G82" s="493"/>
      <c r="H82" s="493"/>
      <c r="I82" s="493"/>
      <c r="J82" s="493"/>
      <c r="K82" s="493"/>
      <c r="L82" s="493"/>
      <c r="M82" s="494"/>
      <c r="N82" s="2978"/>
      <c r="O82" s="2978"/>
      <c r="P82" s="2987"/>
      <c r="Q82" s="2970"/>
      <c r="R82" s="2971"/>
      <c r="S82" s="2971"/>
      <c r="T82" s="2971"/>
      <c r="U82" s="2971"/>
      <c r="V82" s="2971"/>
      <c r="W82" s="2971"/>
      <c r="X82" s="2971"/>
      <c r="Y82" s="2971"/>
      <c r="Z82" s="2971"/>
      <c r="AA82" s="2971"/>
      <c r="AB82" s="2971"/>
      <c r="AC82" s="2971"/>
    </row>
    <row r="83" spans="1:29" ht="15" thickTop="1">
      <c r="A83" s="556"/>
      <c r="B83" s="495" t="s">
        <v>2437</v>
      </c>
      <c r="C83" s="511"/>
      <c r="D83" s="511"/>
      <c r="E83" s="540"/>
      <c r="F83" s="540"/>
      <c r="G83" s="540"/>
      <c r="H83" s="540"/>
      <c r="I83" s="540"/>
      <c r="J83" s="540"/>
      <c r="K83" s="541"/>
      <c r="L83" s="542"/>
      <c r="M83" s="543"/>
      <c r="N83" s="2977"/>
      <c r="O83" s="2977"/>
      <c r="P83" s="2986"/>
      <c r="Q83" s="2963"/>
      <c r="R83" s="2949"/>
      <c r="S83" s="2949"/>
      <c r="T83" s="2949"/>
      <c r="U83" s="2949"/>
      <c r="V83" s="2949"/>
      <c r="W83" s="2949"/>
      <c r="X83" s="2949"/>
      <c r="Y83" s="2949"/>
      <c r="Z83" s="2949"/>
      <c r="AA83" s="2949"/>
      <c r="AB83" s="2949"/>
      <c r="AC83" s="294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8"/>
      <c r="O84" s="2978"/>
      <c r="P84" s="2986"/>
      <c r="Q84" s="2963"/>
      <c r="R84" s="2949"/>
      <c r="S84" s="2949"/>
      <c r="T84" s="2949"/>
      <c r="U84" s="2949"/>
      <c r="V84" s="2949"/>
      <c r="W84" s="2949"/>
      <c r="X84" s="2949"/>
      <c r="Y84" s="2949"/>
      <c r="Z84" s="2949"/>
      <c r="AA84" s="2949"/>
      <c r="AB84" s="2949"/>
      <c r="AC84" s="2949"/>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7"/>
      <c r="O85" s="2977"/>
      <c r="P85" s="2986"/>
      <c r="Q85" s="2963"/>
      <c r="R85" s="2949"/>
      <c r="S85" s="2949"/>
      <c r="T85" s="2949"/>
      <c r="U85" s="2949"/>
      <c r="V85" s="2949"/>
      <c r="W85" s="2949"/>
      <c r="X85" s="2949"/>
      <c r="Y85" s="2949"/>
      <c r="Z85" s="2949"/>
      <c r="AA85" s="2949"/>
      <c r="AB85" s="2949"/>
      <c r="AC85" s="2949"/>
    </row>
    <row r="86" spans="1:29">
      <c r="A86" s="556"/>
      <c r="B86" s="503"/>
      <c r="C86" s="560">
        <v>0.5</v>
      </c>
      <c r="D86" s="560">
        <v>0.6</v>
      </c>
      <c r="E86" s="560">
        <v>0.7</v>
      </c>
      <c r="F86" s="560">
        <v>0.8</v>
      </c>
      <c r="G86" s="560">
        <v>0.9</v>
      </c>
      <c r="H86" s="560">
        <v>1.0001</v>
      </c>
      <c r="I86" s="579"/>
      <c r="J86" s="579"/>
      <c r="K86" s="580"/>
      <c r="L86" s="581"/>
      <c r="M86" s="582"/>
      <c r="N86" s="2977"/>
      <c r="O86" s="2977"/>
      <c r="P86" s="2986"/>
      <c r="Q86" s="2963"/>
      <c r="R86" s="2949"/>
      <c r="S86" s="2949"/>
      <c r="T86" s="2949"/>
      <c r="U86" s="2949"/>
      <c r="V86" s="2949"/>
      <c r="W86" s="2949"/>
      <c r="X86" s="2949"/>
      <c r="Y86" s="2949"/>
      <c r="Z86" s="2949"/>
      <c r="AA86" s="2949"/>
      <c r="AB86" s="2949"/>
      <c r="AC86" s="294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8"/>
      <c r="O87" s="2978"/>
      <c r="P87" s="2986"/>
      <c r="Q87" s="2963"/>
      <c r="R87" s="2949"/>
      <c r="S87" s="2949"/>
      <c r="T87" s="2949"/>
      <c r="U87" s="2949"/>
      <c r="V87" s="2949"/>
      <c r="W87" s="2949"/>
      <c r="X87" s="2949"/>
      <c r="Y87" s="2949"/>
      <c r="Z87" s="2949"/>
      <c r="AA87" s="2949"/>
      <c r="AB87" s="2949"/>
      <c r="AC87" s="2949"/>
    </row>
    <row r="88" spans="1:29" ht="15" thickTop="1">
      <c r="A88" s="556"/>
      <c r="B88" s="503" t="s">
        <v>2554</v>
      </c>
      <c r="C88" s="487"/>
      <c r="D88" s="487"/>
      <c r="E88" s="487"/>
      <c r="F88" s="487"/>
      <c r="G88" s="487"/>
      <c r="H88" s="487"/>
      <c r="I88" s="487"/>
      <c r="J88" s="487"/>
      <c r="K88" s="488"/>
      <c r="L88" s="489"/>
      <c r="M88" s="490"/>
      <c r="N88" s="2977"/>
      <c r="O88" s="2977"/>
      <c r="P88" s="2986"/>
      <c r="Q88" s="2963"/>
      <c r="R88" s="2949"/>
      <c r="S88" s="2949"/>
      <c r="T88" s="2949"/>
      <c r="U88" s="2949"/>
      <c r="V88" s="2949"/>
      <c r="W88" s="2949"/>
      <c r="X88" s="2949"/>
      <c r="Y88" s="2949"/>
      <c r="Z88" s="2949"/>
      <c r="AA88" s="2949"/>
      <c r="AB88" s="2949"/>
      <c r="AC88" s="294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8"/>
      <c r="O89" s="2978"/>
      <c r="P89" s="2986"/>
      <c r="Q89" s="2963"/>
      <c r="R89" s="2949"/>
      <c r="S89" s="2949"/>
      <c r="T89" s="2949"/>
      <c r="U89" s="2949"/>
      <c r="V89" s="2949"/>
      <c r="W89" s="2949"/>
      <c r="X89" s="2949"/>
      <c r="Y89" s="2949"/>
      <c r="Z89" s="2949"/>
      <c r="AA89" s="2949"/>
      <c r="AB89" s="2949"/>
      <c r="AC89" s="2949"/>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9"/>
      <c r="O90" s="2979"/>
      <c r="P90" s="2987"/>
      <c r="Q90" s="2970"/>
      <c r="R90" s="2971"/>
      <c r="S90" s="2971"/>
      <c r="T90" s="2971"/>
      <c r="U90" s="2971"/>
      <c r="V90" s="2971"/>
      <c r="W90" s="2971"/>
      <c r="X90" s="2971"/>
      <c r="Y90" s="2971"/>
      <c r="Z90" s="2971"/>
      <c r="AA90" s="2971"/>
      <c r="AB90" s="2971"/>
      <c r="AC90" s="2971"/>
    </row>
    <row r="91" spans="1:29" s="430" customFormat="1">
      <c r="A91" s="550"/>
      <c r="B91" s="503"/>
      <c r="C91" s="552"/>
      <c r="D91" s="552"/>
      <c r="E91" s="552"/>
      <c r="F91" s="552"/>
      <c r="G91" s="552"/>
      <c r="H91" s="552"/>
      <c r="I91" s="552"/>
      <c r="J91" s="553"/>
      <c r="K91" s="553"/>
      <c r="L91" s="554"/>
      <c r="M91" s="555"/>
      <c r="N91" s="2979"/>
      <c r="O91" s="2979"/>
      <c r="P91" s="2987"/>
      <c r="Q91" s="2970"/>
      <c r="R91" s="2971"/>
      <c r="S91" s="2971"/>
      <c r="T91" s="2971"/>
      <c r="U91" s="2971"/>
      <c r="V91" s="2971"/>
      <c r="W91" s="2971"/>
      <c r="X91" s="2971"/>
      <c r="Y91" s="2971"/>
      <c r="Z91" s="2971"/>
      <c r="AA91" s="2971"/>
      <c r="AB91" s="2971"/>
      <c r="AC91" s="2971"/>
    </row>
    <row r="92" spans="1:29" s="430" customFormat="1" ht="15.75" thickBot="1">
      <c r="A92" s="510"/>
      <c r="B92" s="500"/>
      <c r="C92" s="517"/>
      <c r="D92" s="493"/>
      <c r="E92" s="493"/>
      <c r="F92" s="493"/>
      <c r="G92" s="493"/>
      <c r="H92" s="493"/>
      <c r="I92" s="493"/>
      <c r="J92" s="493"/>
      <c r="K92" s="493"/>
      <c r="L92" s="493"/>
      <c r="M92" s="494"/>
      <c r="N92" s="2979"/>
      <c r="O92" s="2979"/>
      <c r="P92" s="2987"/>
      <c r="Q92" s="2970"/>
      <c r="R92" s="2971"/>
      <c r="S92" s="2971"/>
      <c r="T92" s="2971"/>
      <c r="U92" s="2971"/>
      <c r="V92" s="2971"/>
      <c r="W92" s="2971"/>
      <c r="X92" s="2971"/>
      <c r="Y92" s="2971"/>
      <c r="Z92" s="2971"/>
      <c r="AA92" s="2971"/>
      <c r="AB92" s="2971"/>
      <c r="AC92" s="2971"/>
    </row>
    <row r="93" spans="1:29" ht="15" thickTop="1">
      <c r="A93" s="556"/>
      <c r="B93" s="495" t="s">
        <v>2556</v>
      </c>
      <c r="C93" s="511"/>
      <c r="D93" s="511"/>
      <c r="E93" s="540"/>
      <c r="F93" s="540"/>
      <c r="G93" s="540"/>
      <c r="H93" s="540"/>
      <c r="I93" s="540"/>
      <c r="J93" s="540"/>
      <c r="K93" s="541"/>
      <c r="L93" s="542"/>
      <c r="M93" s="543"/>
      <c r="N93" s="2977"/>
      <c r="O93" s="2977"/>
      <c r="P93" s="2986"/>
      <c r="Q93" s="2963"/>
      <c r="R93" s="2949"/>
      <c r="S93" s="2949"/>
      <c r="T93" s="2949"/>
      <c r="U93" s="2949"/>
      <c r="V93" s="2949"/>
      <c r="W93" s="2949"/>
      <c r="X93" s="2949"/>
      <c r="Y93" s="2949"/>
      <c r="Z93" s="2949"/>
      <c r="AA93" s="2949"/>
      <c r="AB93" s="2949"/>
      <c r="AC93" s="294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8"/>
      <c r="O94" s="2978"/>
      <c r="P94" s="2986"/>
      <c r="Q94" s="2963"/>
      <c r="R94" s="2949"/>
      <c r="S94" s="2949"/>
      <c r="T94" s="2949"/>
      <c r="U94" s="2949"/>
      <c r="V94" s="2949"/>
      <c r="W94" s="2949"/>
      <c r="X94" s="2949"/>
      <c r="Y94" s="2949"/>
      <c r="Z94" s="2949"/>
      <c r="AA94" s="2949"/>
      <c r="AB94" s="2949"/>
      <c r="AC94" s="2949"/>
    </row>
    <row r="95" spans="1:29" ht="15" thickTop="1">
      <c r="A95" s="556"/>
      <c r="B95" s="495" t="s">
        <v>2557</v>
      </c>
      <c r="C95" s="487"/>
      <c r="D95" s="487"/>
      <c r="E95" s="487"/>
      <c r="F95" s="487"/>
      <c r="G95" s="487"/>
      <c r="H95" s="487"/>
      <c r="I95" s="487"/>
      <c r="J95" s="487"/>
      <c r="K95" s="488"/>
      <c r="L95" s="489"/>
      <c r="M95" s="490"/>
      <c r="N95" s="2977"/>
      <c r="O95" s="2977"/>
      <c r="P95" s="2986"/>
      <c r="Q95" s="2963"/>
      <c r="R95" s="2949"/>
      <c r="S95" s="2949"/>
      <c r="T95" s="2949"/>
      <c r="U95" s="2949"/>
      <c r="V95" s="2949"/>
      <c r="W95" s="2949"/>
      <c r="X95" s="2949"/>
      <c r="Y95" s="2949"/>
      <c r="Z95" s="2949"/>
      <c r="AA95" s="2949"/>
      <c r="AB95" s="2949"/>
      <c r="AC95" s="294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8"/>
      <c r="O96" s="2978"/>
      <c r="P96" s="2986"/>
      <c r="Q96" s="2963"/>
      <c r="R96" s="2949"/>
      <c r="S96" s="2949"/>
      <c r="T96" s="2949"/>
      <c r="U96" s="2949"/>
      <c r="V96" s="2949"/>
      <c r="W96" s="2949"/>
      <c r="X96" s="2949"/>
      <c r="Y96" s="2949"/>
      <c r="Z96" s="2949"/>
      <c r="AA96" s="2949"/>
      <c r="AB96" s="2949"/>
      <c r="AC96" s="2949"/>
    </row>
    <row r="97" spans="1:29" ht="15" thickTop="1">
      <c r="A97" s="556"/>
      <c r="B97" s="592">
        <f>B34</f>
        <v>111</v>
      </c>
      <c r="C97" s="506"/>
      <c r="D97" s="506"/>
      <c r="E97" s="506"/>
      <c r="F97" s="506"/>
      <c r="G97" s="511"/>
      <c r="H97" s="512"/>
      <c r="I97" s="512"/>
      <c r="J97" s="512"/>
      <c r="K97" s="512"/>
      <c r="L97" s="513"/>
      <c r="M97" s="514"/>
      <c r="N97" s="2978"/>
      <c r="O97" s="2978"/>
      <c r="P97" s="2991"/>
      <c r="Q97" s="2992"/>
      <c r="R97" s="2949"/>
      <c r="S97" s="2949"/>
      <c r="T97" s="2949"/>
      <c r="U97" s="2949"/>
      <c r="V97" s="2949"/>
      <c r="W97" s="2949"/>
      <c r="X97" s="2949"/>
      <c r="Y97" s="2949"/>
      <c r="Z97" s="2949"/>
      <c r="AA97" s="2949"/>
      <c r="AB97" s="2949"/>
      <c r="AC97" s="2949"/>
    </row>
    <row r="98" spans="1:29" ht="15.75" thickBot="1">
      <c r="A98" s="491"/>
      <c r="B98" s="500"/>
      <c r="C98" s="517"/>
      <c r="D98" s="493"/>
      <c r="E98" s="493"/>
      <c r="F98" s="493"/>
      <c r="G98" s="517"/>
      <c r="H98" s="519"/>
      <c r="I98" s="519"/>
      <c r="J98" s="519"/>
      <c r="K98" s="519"/>
      <c r="L98" s="519"/>
      <c r="M98" s="520"/>
      <c r="N98" s="2978"/>
      <c r="O98" s="2978"/>
      <c r="P98" s="2986"/>
      <c r="Q98" s="2963"/>
      <c r="R98" s="2949"/>
      <c r="S98" s="2949"/>
      <c r="T98" s="2949"/>
      <c r="U98" s="2949"/>
      <c r="V98" s="2949"/>
      <c r="W98" s="2949"/>
      <c r="X98" s="2949"/>
      <c r="Y98" s="2949"/>
      <c r="Z98" s="2949"/>
      <c r="AA98" s="2949"/>
      <c r="AB98" s="2949"/>
      <c r="AC98" s="2949"/>
    </row>
    <row r="99" spans="1:29" s="430" customFormat="1" ht="15" thickTop="1">
      <c r="A99" s="550"/>
      <c r="B99" s="495">
        <f>B35</f>
        <v>111</v>
      </c>
      <c r="C99" s="506"/>
      <c r="D99" s="506"/>
      <c r="E99" s="506"/>
      <c r="F99" s="506"/>
      <c r="G99" s="511"/>
      <c r="H99" s="512"/>
      <c r="I99" s="512"/>
      <c r="J99" s="512"/>
      <c r="K99" s="512"/>
      <c r="L99" s="513"/>
      <c r="M99" s="514"/>
      <c r="N99" s="2979"/>
      <c r="O99" s="2979"/>
      <c r="P99" s="2987"/>
      <c r="Q99" s="2970"/>
      <c r="R99" s="2971"/>
      <c r="S99" s="2971"/>
      <c r="T99" s="2971"/>
      <c r="U99" s="2971"/>
      <c r="V99" s="2971"/>
      <c r="W99" s="2971"/>
      <c r="X99" s="2971"/>
      <c r="Y99" s="2971"/>
      <c r="Z99" s="2971"/>
      <c r="AA99" s="2971"/>
      <c r="AB99" s="2971"/>
      <c r="AC99" s="2971"/>
    </row>
    <row r="100" spans="1:29" s="430" customFormat="1" ht="15.75" thickBot="1">
      <c r="A100" s="510"/>
      <c r="B100" s="492"/>
      <c r="C100" s="517"/>
      <c r="D100" s="493"/>
      <c r="E100" s="493"/>
      <c r="F100" s="493"/>
      <c r="G100" s="517"/>
      <c r="H100" s="519"/>
      <c r="I100" s="519"/>
      <c r="J100" s="519"/>
      <c r="K100" s="519"/>
      <c r="L100" s="519"/>
      <c r="M100" s="520"/>
      <c r="N100" s="2979"/>
      <c r="O100" s="2979"/>
      <c r="P100" s="2987"/>
      <c r="Q100" s="2970"/>
      <c r="R100" s="2971"/>
      <c r="S100" s="2971"/>
      <c r="T100" s="2971"/>
      <c r="U100" s="2971"/>
      <c r="V100" s="2971"/>
      <c r="W100" s="2971"/>
      <c r="X100" s="2971"/>
      <c r="Y100" s="2971"/>
      <c r="Z100" s="2971"/>
      <c r="AA100" s="2971"/>
      <c r="AB100" s="2971"/>
      <c r="AC100" s="2971"/>
    </row>
    <row r="101" spans="1:29" ht="15" thickTop="1">
      <c r="A101" s="556"/>
      <c r="B101" s="495">
        <f>B36</f>
        <v>111</v>
      </c>
      <c r="C101" s="511"/>
      <c r="D101" s="511"/>
      <c r="E101" s="511"/>
      <c r="F101" s="511"/>
      <c r="G101" s="511"/>
      <c r="H101" s="512"/>
      <c r="I101" s="512"/>
      <c r="J101" s="512"/>
      <c r="K101" s="512"/>
      <c r="L101" s="513"/>
      <c r="M101" s="514"/>
      <c r="N101" s="2977"/>
      <c r="O101" s="2977"/>
      <c r="P101" s="2986"/>
      <c r="Q101" s="2963"/>
      <c r="R101" s="2949"/>
      <c r="S101" s="2949"/>
      <c r="T101" s="2949"/>
      <c r="U101" s="2949"/>
      <c r="V101" s="2949"/>
      <c r="W101" s="2949"/>
      <c r="X101" s="2949"/>
      <c r="Y101" s="2949"/>
      <c r="Z101" s="2949"/>
      <c r="AA101" s="2949"/>
      <c r="AB101" s="2949"/>
      <c r="AC101" s="2949"/>
    </row>
    <row r="102" spans="1:29" ht="15.75" thickBot="1">
      <c r="A102" s="491"/>
      <c r="B102" s="500"/>
      <c r="C102" s="517"/>
      <c r="D102" s="517"/>
      <c r="E102" s="517"/>
      <c r="F102" s="517"/>
      <c r="G102" s="517"/>
      <c r="H102" s="519"/>
      <c r="I102" s="519"/>
      <c r="J102" s="519"/>
      <c r="K102" s="519"/>
      <c r="L102" s="519"/>
      <c r="M102" s="520"/>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V4" sqref="V4:W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58"/>
      <c r="M2" s="2959"/>
      <c r="N2" s="2959"/>
      <c r="O2" s="2959"/>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58"/>
      <c r="M3" s="2959"/>
      <c r="N3" s="2959"/>
      <c r="O3" s="2959"/>
      <c r="P3" s="708"/>
      <c r="Q3" s="708"/>
      <c r="R3" s="708"/>
      <c r="S3" s="708"/>
      <c r="T3" s="708"/>
      <c r="U3" s="708"/>
      <c r="V3" s="708"/>
      <c r="W3" s="708"/>
      <c r="X3" s="708"/>
      <c r="Y3" s="708"/>
      <c r="Z3" s="708"/>
      <c r="AA3" s="708"/>
      <c r="AB3" s="725"/>
      <c r="AC3" s="722"/>
    </row>
    <row r="4" spans="1:29" ht="15">
      <c r="A4" s="361" t="s">
        <v>2466</v>
      </c>
      <c r="B4" s="362"/>
      <c r="C4" s="3448" t="s">
        <v>2467</v>
      </c>
      <c r="D4" s="3449"/>
      <c r="E4" s="3450" t="s">
        <v>2468</v>
      </c>
      <c r="F4" s="3451"/>
      <c r="G4" s="3448" t="s">
        <v>2469</v>
      </c>
      <c r="H4" s="3449"/>
      <c r="I4" s="3448" t="s">
        <v>2470</v>
      </c>
      <c r="J4" s="3449"/>
      <c r="K4" s="567" t="s">
        <v>2471</v>
      </c>
      <c r="L4" s="2939"/>
      <c r="M4" s="2940"/>
      <c r="N4" s="2940"/>
      <c r="O4" s="2940"/>
      <c r="P4" s="3452" t="s">
        <v>2472</v>
      </c>
      <c r="Q4" s="3453"/>
      <c r="R4" s="3435" t="s">
        <v>2468</v>
      </c>
      <c r="S4" s="3436"/>
      <c r="T4" s="3435" t="s">
        <v>2469</v>
      </c>
      <c r="U4" s="3436"/>
      <c r="V4" s="3460" t="s">
        <v>2470</v>
      </c>
      <c r="W4" s="3460"/>
      <c r="X4" s="1540"/>
      <c r="Y4" s="3435" t="s">
        <v>2472</v>
      </c>
      <c r="Z4" s="3436"/>
      <c r="AA4" s="3430" t="s">
        <v>2468</v>
      </c>
      <c r="AB4" s="3431" t="s">
        <v>2469</v>
      </c>
      <c r="AC4" s="3430" t="s">
        <v>2470</v>
      </c>
    </row>
    <row r="5" spans="1:29" ht="15">
      <c r="A5" s="364"/>
      <c r="B5" s="365"/>
      <c r="C5" s="3441" t="s">
        <v>2363</v>
      </c>
      <c r="D5" s="3442"/>
      <c r="E5" s="3439" t="s">
        <v>2364</v>
      </c>
      <c r="F5" s="3440"/>
      <c r="G5" s="3441" t="s">
        <v>2365</v>
      </c>
      <c r="H5" s="3442"/>
      <c r="I5" s="3441" t="s">
        <v>2366</v>
      </c>
      <c r="J5" s="3442"/>
      <c r="K5" s="567"/>
      <c r="L5" s="2939"/>
      <c r="M5" s="2940"/>
      <c r="N5" s="2940"/>
      <c r="O5" s="2940"/>
      <c r="P5" s="3454"/>
      <c r="Q5" s="3455"/>
      <c r="R5" s="3437"/>
      <c r="S5" s="3438"/>
      <c r="T5" s="3437"/>
      <c r="U5" s="3438"/>
      <c r="V5" s="3460"/>
      <c r="W5" s="3460"/>
      <c r="X5" s="1540"/>
      <c r="Y5" s="3437"/>
      <c r="Z5" s="3438"/>
      <c r="AA5" s="3431"/>
      <c r="AB5" s="3431"/>
      <c r="AC5" s="3431"/>
    </row>
    <row r="6" spans="1:29" ht="15.75" thickBot="1">
      <c r="A6" s="366"/>
      <c r="B6" s="367"/>
      <c r="C6" s="3443" t="s">
        <v>2367</v>
      </c>
      <c r="D6" s="3444"/>
      <c r="E6" s="3445" t="s">
        <v>2367</v>
      </c>
      <c r="F6" s="3446"/>
      <c r="G6" s="3443" t="s">
        <v>2367</v>
      </c>
      <c r="H6" s="3444"/>
      <c r="I6" s="3443" t="s">
        <v>2367</v>
      </c>
      <c r="J6" s="3444"/>
      <c r="K6" s="567" t="s">
        <v>2368</v>
      </c>
      <c r="L6" s="2939"/>
      <c r="M6" s="2940"/>
      <c r="N6" s="2940"/>
      <c r="O6" s="2940"/>
      <c r="P6" s="3456"/>
      <c r="Q6" s="3457"/>
      <c r="R6" s="3437"/>
      <c r="S6" s="3438"/>
      <c r="T6" s="3458"/>
      <c r="U6" s="3459"/>
      <c r="V6" s="3460"/>
      <c r="W6" s="3460"/>
      <c r="X6" s="1540"/>
      <c r="Y6" s="3458"/>
      <c r="Z6" s="3459"/>
      <c r="AA6" s="3432"/>
      <c r="AB6" s="3432"/>
      <c r="AC6" s="3432"/>
    </row>
    <row r="7" spans="1:29" s="113" customFormat="1" ht="15.75" thickBot="1">
      <c r="A7" s="368" t="s">
        <v>2369</v>
      </c>
      <c r="B7" s="369"/>
      <c r="C7" s="370">
        <f>'数据-取费表'!B2</f>
        <v>44280</v>
      </c>
      <c r="D7" s="371">
        <v>100</v>
      </c>
      <c r="E7" s="372"/>
      <c r="F7" s="373">
        <f>SUMIF(46:46,YEAR(E7)&amp;"-"&amp;MONTH(E7),47:47)</f>
        <v>0</v>
      </c>
      <c r="G7" s="2160"/>
      <c r="H7" s="371">
        <f>SUMIF(46:46,YEAR(G7)&amp;"-"&amp;MONTH(G7),47:47)</f>
        <v>0</v>
      </c>
      <c r="I7" s="372"/>
      <c r="J7" s="371">
        <f>SUMIF(46:46,YEAR(I7)&amp;"-"&amp;MONTH(I7),47:47)</f>
        <v>0</v>
      </c>
      <c r="K7" s="568"/>
      <c r="L7" s="2941"/>
      <c r="M7" s="2942"/>
      <c r="N7" s="2942"/>
      <c r="O7" s="2942"/>
      <c r="P7" s="3433" t="s">
        <v>2370</v>
      </c>
      <c r="Q7" s="3461"/>
      <c r="R7" s="710" t="s">
        <v>17</v>
      </c>
      <c r="S7" s="711">
        <f t="shared" ref="S7:S14" si="0">F7</f>
        <v>0</v>
      </c>
      <c r="T7" s="710" t="s">
        <v>17</v>
      </c>
      <c r="U7" s="711">
        <f t="shared" ref="U7:U14" si="1">H7</f>
        <v>0</v>
      </c>
      <c r="V7" s="710" t="s">
        <v>17</v>
      </c>
      <c r="W7" s="711">
        <f t="shared" ref="W7:W14" si="2">J7</f>
        <v>0</v>
      </c>
      <c r="X7" s="712"/>
      <c r="Y7" s="3433" t="s">
        <v>2370</v>
      </c>
      <c r="Z7" s="3434"/>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1"/>
      <c r="M8" s="2942"/>
      <c r="N8" s="2942"/>
      <c r="O8" s="2942"/>
      <c r="P8" s="3433" t="s">
        <v>2373</v>
      </c>
      <c r="Q8" s="3434"/>
      <c r="R8" s="710" t="s">
        <v>17</v>
      </c>
      <c r="S8" s="711">
        <f t="shared" si="0"/>
        <v>0</v>
      </c>
      <c r="T8" s="710" t="s">
        <v>17</v>
      </c>
      <c r="U8" s="711">
        <f t="shared" si="1"/>
        <v>0</v>
      </c>
      <c r="V8" s="710" t="s">
        <v>17</v>
      </c>
      <c r="W8" s="711">
        <f t="shared" si="2"/>
        <v>0</v>
      </c>
      <c r="X8" s="712"/>
      <c r="Y8" s="3433" t="s">
        <v>2373</v>
      </c>
      <c r="Z8" s="3434"/>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1"/>
      <c r="M9" s="2942"/>
      <c r="N9" s="2942"/>
      <c r="O9" s="2996"/>
      <c r="P9" s="3447" t="s">
        <v>2376</v>
      </c>
      <c r="Q9" s="1528" t="str">
        <f t="shared" ref="Q9:Q14" si="6">B9</f>
        <v>用途</v>
      </c>
      <c r="R9" s="710" t="s">
        <v>17</v>
      </c>
      <c r="S9" s="711">
        <f t="shared" si="0"/>
        <v>100</v>
      </c>
      <c r="T9" s="710" t="s">
        <v>17</v>
      </c>
      <c r="U9" s="711">
        <f t="shared" si="1"/>
        <v>100</v>
      </c>
      <c r="V9" s="710" t="s">
        <v>17</v>
      </c>
      <c r="W9" s="711">
        <f t="shared" si="2"/>
        <v>100</v>
      </c>
      <c r="X9" s="712"/>
      <c r="Y9" s="3399"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3"/>
      <c r="M10" s="2944"/>
      <c r="N10" s="2944"/>
      <c r="O10" s="2997"/>
      <c r="P10" s="3447"/>
      <c r="Q10" s="152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5"/>
      <c r="M11" s="2940"/>
      <c r="N11" s="2940"/>
      <c r="O11" s="2998"/>
      <c r="P11" s="3447"/>
      <c r="Q11" s="1528">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1"/>
      <c r="M12" s="2942"/>
      <c r="N12" s="2942"/>
      <c r="O12" s="2996"/>
      <c r="P12" s="3447"/>
      <c r="Q12" s="152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6"/>
      <c r="M13" s="2940"/>
      <c r="N13" s="2940"/>
      <c r="O13" s="2998"/>
      <c r="P13" s="3447"/>
      <c r="Q13" s="152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
      <c r="A14" s="399" t="s">
        <v>2380</v>
      </c>
      <c r="B14" s="65" t="s">
        <v>2530</v>
      </c>
      <c r="C14" s="2157"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46"/>
      <c r="M14" s="2940"/>
      <c r="N14" s="2940"/>
      <c r="O14" s="2998"/>
      <c r="P14" s="3462" t="s">
        <v>2381</v>
      </c>
      <c r="Q14" s="1537" t="str">
        <f t="shared" si="6"/>
        <v>交通便捷度</v>
      </c>
      <c r="R14" s="714" t="s">
        <v>17</v>
      </c>
      <c r="S14" s="715">
        <f t="shared" si="0"/>
        <v>100</v>
      </c>
      <c r="T14" s="714" t="s">
        <v>17</v>
      </c>
      <c r="U14" s="715">
        <f t="shared" si="1"/>
        <v>100</v>
      </c>
      <c r="V14" s="714" t="s">
        <v>17</v>
      </c>
      <c r="W14" s="715">
        <f t="shared" si="2"/>
        <v>100</v>
      </c>
      <c r="X14" s="1540"/>
      <c r="Y14" s="3462"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46"/>
      <c r="M15" s="2940"/>
      <c r="N15" s="2940"/>
      <c r="O15" s="2998"/>
      <c r="P15" s="3463"/>
      <c r="Q15" s="1537"/>
      <c r="R15" s="714"/>
      <c r="S15" s="715"/>
      <c r="T15" s="714"/>
      <c r="U15" s="715"/>
      <c r="V15" s="714"/>
      <c r="W15" s="715"/>
      <c r="X15" s="1540"/>
      <c r="Y15" s="3463"/>
      <c r="Z15" s="1541"/>
      <c r="AA15" s="1538">
        <v>1</v>
      </c>
      <c r="AB15" s="1538">
        <v>1</v>
      </c>
      <c r="AC15" s="1538">
        <v>1</v>
      </c>
    </row>
    <row r="16" spans="1:29" ht="15">
      <c r="A16" s="387"/>
      <c r="B16" s="410" t="s">
        <v>2509</v>
      </c>
      <c r="C16" s="2086"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46"/>
      <c r="M16" s="2940"/>
      <c r="N16" s="2940"/>
      <c r="O16" s="2998"/>
      <c r="P16" s="3463"/>
      <c r="Q16" s="1537" t="str">
        <f>B16</f>
        <v>公共配套设施</v>
      </c>
      <c r="R16" s="714" t="s">
        <v>17</v>
      </c>
      <c r="S16" s="715">
        <f>F16</f>
        <v>100</v>
      </c>
      <c r="T16" s="714" t="s">
        <v>17</v>
      </c>
      <c r="U16" s="715">
        <f>H16</f>
        <v>100</v>
      </c>
      <c r="V16" s="714" t="s">
        <v>17</v>
      </c>
      <c r="W16" s="715">
        <f>J16</f>
        <v>100</v>
      </c>
      <c r="X16" s="1540"/>
      <c r="Y16" s="3463"/>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46"/>
      <c r="M17" s="2940"/>
      <c r="N17" s="2940"/>
      <c r="O17" s="2998"/>
      <c r="P17" s="3463"/>
      <c r="Q17" s="1537"/>
      <c r="R17" s="714"/>
      <c r="S17" s="715"/>
      <c r="T17" s="714"/>
      <c r="U17" s="715"/>
      <c r="V17" s="714"/>
      <c r="W17" s="715"/>
      <c r="X17" s="1540"/>
      <c r="Y17" s="3463"/>
      <c r="Z17" s="1541"/>
      <c r="AA17" s="1538">
        <v>1</v>
      </c>
      <c r="AB17" s="1538">
        <v>1</v>
      </c>
      <c r="AC17" s="1538">
        <v>1</v>
      </c>
    </row>
    <row r="18" spans="1:29" ht="15">
      <c r="A18" s="387"/>
      <c r="B18" s="1293" t="s">
        <v>2510</v>
      </c>
      <c r="C18" s="2086" t="str">
        <f>IF(B1="工业",估价对象房地状况!G6,估价对象房地状况!C8)</f>
        <v>六通</v>
      </c>
      <c r="D18" s="414">
        <v>100</v>
      </c>
      <c r="E18" s="411"/>
      <c r="F18" s="417">
        <f>SUMIF(65:65,E19,66:66)-SUMIF(65:65,C19,66:66)+100</f>
        <v>100</v>
      </c>
      <c r="G18" s="413"/>
      <c r="H18" s="414">
        <f>SUMIF(65:65,G19,66:66)-SUMIF(65:65,C19,66:66)+100</f>
        <v>100</v>
      </c>
      <c r="I18" s="416"/>
      <c r="J18" s="414">
        <f>SUMIF(65:65,I19,66:66)-SUMIF(65:65,C19,66:66)+100</f>
        <v>100</v>
      </c>
      <c r="K18" s="571"/>
      <c r="L18" s="2946"/>
      <c r="M18" s="2940"/>
      <c r="N18" s="2940"/>
      <c r="O18" s="2998"/>
      <c r="P18" s="3463"/>
      <c r="Q18" s="1537" t="str">
        <f>B18</f>
        <v>基础设施水平</v>
      </c>
      <c r="R18" s="714" t="s">
        <v>17</v>
      </c>
      <c r="S18" s="715">
        <f>F18</f>
        <v>100</v>
      </c>
      <c r="T18" s="714" t="s">
        <v>17</v>
      </c>
      <c r="U18" s="715">
        <f>H18</f>
        <v>100</v>
      </c>
      <c r="V18" s="714" t="s">
        <v>17</v>
      </c>
      <c r="W18" s="715">
        <f>J18</f>
        <v>100</v>
      </c>
      <c r="X18" s="1540"/>
      <c r="Y18" s="3463"/>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46"/>
      <c r="M19" s="2940"/>
      <c r="N19" s="2940"/>
      <c r="O19" s="2998"/>
      <c r="P19" s="3463"/>
      <c r="Q19" s="1537"/>
      <c r="R19" s="714"/>
      <c r="S19" s="715"/>
      <c r="T19" s="714"/>
      <c r="U19" s="715"/>
      <c r="V19" s="714"/>
      <c r="W19" s="715"/>
      <c r="X19" s="1540"/>
      <c r="Y19" s="3463"/>
      <c r="Z19" s="1541"/>
      <c r="AA19" s="1538">
        <v>1</v>
      </c>
      <c r="AB19" s="1538">
        <v>1</v>
      </c>
      <c r="AC19" s="1538">
        <v>1</v>
      </c>
    </row>
    <row r="20" spans="1:29" ht="15">
      <c r="A20" s="387"/>
      <c r="B20" s="410" t="s">
        <v>2531</v>
      </c>
      <c r="C20" s="2086"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6"/>
      <c r="M20" s="2940"/>
      <c r="N20" s="2940"/>
      <c r="O20" s="2998"/>
      <c r="P20" s="3463"/>
      <c r="Q20" s="1537" t="str">
        <f>B20</f>
        <v>自然及人文环境</v>
      </c>
      <c r="R20" s="714" t="s">
        <v>17</v>
      </c>
      <c r="S20" s="715">
        <f>F20</f>
        <v>100</v>
      </c>
      <c r="T20" s="714" t="s">
        <v>17</v>
      </c>
      <c r="U20" s="715">
        <f>H20</f>
        <v>100</v>
      </c>
      <c r="V20" s="714" t="s">
        <v>17</v>
      </c>
      <c r="W20" s="715">
        <f>J20</f>
        <v>100</v>
      </c>
      <c r="X20" s="1540"/>
      <c r="Y20" s="3463"/>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46"/>
      <c r="M21" s="2940"/>
      <c r="N21" s="2940"/>
      <c r="O21" s="2998"/>
      <c r="P21" s="3463"/>
      <c r="Q21" s="1537"/>
      <c r="R21" s="714"/>
      <c r="S21" s="715"/>
      <c r="T21" s="714"/>
      <c r="U21" s="715"/>
      <c r="V21" s="714"/>
      <c r="W21" s="715"/>
      <c r="X21" s="1540"/>
      <c r="Y21" s="3463"/>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6"/>
      <c r="M22" s="2940"/>
      <c r="N22" s="2940"/>
      <c r="O22" s="2998"/>
      <c r="P22" s="3463"/>
      <c r="Q22" s="1537" t="str">
        <f>B22</f>
        <v>楼层</v>
      </c>
      <c r="R22" s="714" t="s">
        <v>17</v>
      </c>
      <c r="S22" s="715">
        <f>F22</f>
        <v>100</v>
      </c>
      <c r="T22" s="714" t="s">
        <v>17</v>
      </c>
      <c r="U22" s="715">
        <f>H22</f>
        <v>100</v>
      </c>
      <c r="V22" s="714" t="s">
        <v>17</v>
      </c>
      <c r="W22" s="715">
        <f>J22</f>
        <v>100</v>
      </c>
      <c r="X22" s="1540"/>
      <c r="Y22" s="3463"/>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6"/>
      <c r="M23" s="2940"/>
      <c r="N23" s="2940"/>
      <c r="O23" s="2998"/>
      <c r="P23" s="3463"/>
      <c r="Q23" s="1537">
        <f>B23</f>
        <v>111</v>
      </c>
      <c r="R23" s="714" t="s">
        <v>17</v>
      </c>
      <c r="S23" s="715">
        <f>F23</f>
        <v>100</v>
      </c>
      <c r="T23" s="714" t="s">
        <v>17</v>
      </c>
      <c r="U23" s="715">
        <f>H23</f>
        <v>100</v>
      </c>
      <c r="V23" s="714" t="s">
        <v>17</v>
      </c>
      <c r="W23" s="715">
        <f>J23</f>
        <v>100</v>
      </c>
      <c r="X23" s="1540"/>
      <c r="Y23" s="3463"/>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6"/>
      <c r="M24" s="2940"/>
      <c r="N24" s="2940"/>
      <c r="O24" s="2998"/>
      <c r="P24" s="3463"/>
      <c r="Q24" s="1537">
        <f t="shared" ref="Q24:Q34" si="11">B24</f>
        <v>111</v>
      </c>
      <c r="R24" s="714" t="s">
        <v>17</v>
      </c>
      <c r="S24" s="715">
        <f>F24</f>
        <v>100</v>
      </c>
      <c r="T24" s="714" t="s">
        <v>17</v>
      </c>
      <c r="U24" s="715">
        <f>H24</f>
        <v>100</v>
      </c>
      <c r="V24" s="714" t="s">
        <v>17</v>
      </c>
      <c r="W24" s="715">
        <f>J24</f>
        <v>100</v>
      </c>
      <c r="X24" s="1540"/>
      <c r="Y24" s="3463"/>
      <c r="Z24" s="1541">
        <f>Q24</f>
        <v>111</v>
      </c>
      <c r="AA24" s="1538">
        <f t="shared" si="3"/>
        <v>1</v>
      </c>
      <c r="AB24" s="1538">
        <f t="shared" si="4"/>
        <v>1</v>
      </c>
      <c r="AC24" s="1538">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1"/>
      <c r="M25" s="2942"/>
      <c r="N25" s="2942"/>
      <c r="O25" s="2996"/>
      <c r="P25" s="3463"/>
      <c r="Q25" s="1528">
        <f t="shared" si="11"/>
        <v>111</v>
      </c>
      <c r="R25" s="710" t="s">
        <v>17</v>
      </c>
      <c r="S25" s="711">
        <f>F25</f>
        <v>100</v>
      </c>
      <c r="T25" s="710" t="s">
        <v>17</v>
      </c>
      <c r="U25" s="711">
        <f>H25</f>
        <v>100</v>
      </c>
      <c r="V25" s="710" t="s">
        <v>17</v>
      </c>
      <c r="W25" s="711">
        <f>J25</f>
        <v>100</v>
      </c>
      <c r="X25" s="712"/>
      <c r="Y25" s="3463"/>
      <c r="Z25" s="55">
        <f>Q25</f>
        <v>111</v>
      </c>
      <c r="AA25" s="1538">
        <f>D25/F25</f>
        <v>1</v>
      </c>
      <c r="AB25" s="1538">
        <f>D25/H25</f>
        <v>1</v>
      </c>
      <c r="AC25" s="1538">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6"/>
      <c r="M26" s="2940"/>
      <c r="N26" s="2940"/>
      <c r="O26" s="2998"/>
      <c r="P26" s="3464"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465"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5"/>
      <c r="M27" s="2947"/>
      <c r="N27" s="2947"/>
      <c r="O27" s="2999"/>
      <c r="P27" s="3465"/>
      <c r="Q27" s="716" t="str">
        <f t="shared" si="11"/>
        <v>成新率</v>
      </c>
      <c r="R27" s="717" t="s">
        <v>17</v>
      </c>
      <c r="S27" s="718" t="e">
        <f t="shared" si="12"/>
        <v>#N/A</v>
      </c>
      <c r="T27" s="717" t="s">
        <v>17</v>
      </c>
      <c r="U27" s="718" t="e">
        <f t="shared" si="13"/>
        <v>#N/A</v>
      </c>
      <c r="V27" s="717" t="s">
        <v>17</v>
      </c>
      <c r="W27" s="718" t="e">
        <f t="shared" si="14"/>
        <v>#N/A</v>
      </c>
      <c r="X27" s="719"/>
      <c r="Y27" s="3465"/>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6"/>
      <c r="M28" s="2940"/>
      <c r="N28" s="2940"/>
      <c r="O28" s="2998"/>
      <c r="P28" s="3465"/>
      <c r="Q28" s="1537" t="str">
        <f t="shared" si="11"/>
        <v>物业等级</v>
      </c>
      <c r="R28" s="714" t="s">
        <v>17</v>
      </c>
      <c r="S28" s="715">
        <f t="shared" si="12"/>
        <v>100</v>
      </c>
      <c r="T28" s="714" t="s">
        <v>17</v>
      </c>
      <c r="U28" s="715">
        <f t="shared" si="13"/>
        <v>100</v>
      </c>
      <c r="V28" s="714" t="s">
        <v>17</v>
      </c>
      <c r="W28" s="715">
        <f t="shared" si="14"/>
        <v>100</v>
      </c>
      <c r="X28" s="1540"/>
      <c r="Y28" s="3465"/>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6"/>
      <c r="M29" s="2940"/>
      <c r="N29" s="2940"/>
      <c r="O29" s="2998"/>
      <c r="P29" s="3465"/>
      <c r="Q29" s="1537" t="str">
        <f t="shared" si="11"/>
        <v>有无电梯</v>
      </c>
      <c r="R29" s="714" t="s">
        <v>17</v>
      </c>
      <c r="S29" s="715">
        <f t="shared" si="12"/>
        <v>100</v>
      </c>
      <c r="T29" s="714" t="s">
        <v>17</v>
      </c>
      <c r="U29" s="715">
        <f t="shared" si="13"/>
        <v>100</v>
      </c>
      <c r="V29" s="714" t="s">
        <v>17</v>
      </c>
      <c r="W29" s="715">
        <f t="shared" si="14"/>
        <v>100</v>
      </c>
      <c r="X29" s="1540"/>
      <c r="Y29" s="3465"/>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6"/>
      <c r="M30" s="2940"/>
      <c r="N30" s="2940"/>
      <c r="O30" s="2998"/>
      <c r="P30" s="3465"/>
      <c r="Q30" s="1537" t="str">
        <f t="shared" si="11"/>
        <v>建筑面积</v>
      </c>
      <c r="R30" s="714" t="s">
        <v>17</v>
      </c>
      <c r="S30" s="715" t="e">
        <f t="shared" si="12"/>
        <v>#N/A</v>
      </c>
      <c r="T30" s="714" t="s">
        <v>17</v>
      </c>
      <c r="U30" s="715" t="e">
        <f t="shared" si="13"/>
        <v>#N/A</v>
      </c>
      <c r="V30" s="714" t="s">
        <v>17</v>
      </c>
      <c r="W30" s="715" t="e">
        <f t="shared" si="14"/>
        <v>#N/A</v>
      </c>
      <c r="X30" s="1540"/>
      <c r="Y30" s="3465"/>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1"/>
      <c r="M31" s="2942"/>
      <c r="N31" s="2942"/>
      <c r="O31" s="2996"/>
      <c r="P31" s="3465"/>
      <c r="Q31" s="1528" t="str">
        <f t="shared" si="11"/>
        <v>是否封闭</v>
      </c>
      <c r="R31" s="710" t="s">
        <v>17</v>
      </c>
      <c r="S31" s="711">
        <f t="shared" si="12"/>
        <v>100</v>
      </c>
      <c r="T31" s="710" t="s">
        <v>17</v>
      </c>
      <c r="U31" s="711">
        <f t="shared" si="13"/>
        <v>100</v>
      </c>
      <c r="V31" s="710" t="s">
        <v>17</v>
      </c>
      <c r="W31" s="711">
        <f t="shared" si="14"/>
        <v>100</v>
      </c>
      <c r="X31" s="712"/>
      <c r="Y31" s="346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6"/>
      <c r="M32" s="2940"/>
      <c r="N32" s="2940"/>
      <c r="O32" s="2998"/>
      <c r="P32" s="3465" t="s">
        <v>2386</v>
      </c>
      <c r="Q32" s="1537">
        <f t="shared" si="11"/>
        <v>111</v>
      </c>
      <c r="R32" s="714" t="s">
        <v>17</v>
      </c>
      <c r="S32" s="715">
        <f t="shared" si="12"/>
        <v>100</v>
      </c>
      <c r="T32" s="714" t="s">
        <v>17</v>
      </c>
      <c r="U32" s="715">
        <f t="shared" si="13"/>
        <v>100</v>
      </c>
      <c r="V32" s="714" t="s">
        <v>17</v>
      </c>
      <c r="W32" s="715">
        <f t="shared" si="14"/>
        <v>100</v>
      </c>
      <c r="X32" s="1540"/>
      <c r="Y32" s="3465" t="s">
        <v>2386</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6"/>
      <c r="M33" s="2940"/>
      <c r="N33" s="2940"/>
      <c r="O33" s="2998"/>
      <c r="P33" s="3465"/>
      <c r="Q33" s="1537">
        <f t="shared" si="11"/>
        <v>111</v>
      </c>
      <c r="R33" s="714" t="s">
        <v>17</v>
      </c>
      <c r="S33" s="715">
        <f t="shared" si="12"/>
        <v>100</v>
      </c>
      <c r="T33" s="714" t="s">
        <v>17</v>
      </c>
      <c r="U33" s="715">
        <f t="shared" si="13"/>
        <v>100</v>
      </c>
      <c r="V33" s="714" t="s">
        <v>17</v>
      </c>
      <c r="W33" s="715">
        <f t="shared" si="14"/>
        <v>100</v>
      </c>
      <c r="X33" s="1540"/>
      <c r="Y33" s="3465"/>
      <c r="Z33" s="1541">
        <f t="shared" si="15"/>
        <v>111</v>
      </c>
      <c r="AA33" s="1538">
        <f t="shared" si="3"/>
        <v>1</v>
      </c>
      <c r="AB33" s="1538">
        <f t="shared" si="4"/>
        <v>1</v>
      </c>
      <c r="AC33" s="1538">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6"/>
      <c r="M34" s="2940"/>
      <c r="N34" s="2940"/>
      <c r="O34" s="2998"/>
      <c r="P34" s="3465"/>
      <c r="Q34" s="1537">
        <f t="shared" si="11"/>
        <v>111</v>
      </c>
      <c r="R34" s="714" t="s">
        <v>17</v>
      </c>
      <c r="S34" s="715">
        <f t="shared" si="12"/>
        <v>100</v>
      </c>
      <c r="T34" s="714" t="s">
        <v>17</v>
      </c>
      <c r="U34" s="715">
        <f t="shared" si="13"/>
        <v>100</v>
      </c>
      <c r="V34" s="714" t="s">
        <v>17</v>
      </c>
      <c r="W34" s="715">
        <f t="shared" si="14"/>
        <v>100</v>
      </c>
      <c r="X34" s="1540"/>
      <c r="Y34" s="3465"/>
      <c r="Z34" s="1541">
        <f t="shared" si="15"/>
        <v>111</v>
      </c>
      <c r="AA34" s="1538">
        <f t="shared" si="3"/>
        <v>1</v>
      </c>
      <c r="AB34" s="1538">
        <f t="shared" si="4"/>
        <v>1</v>
      </c>
      <c r="AC34" s="1538">
        <f t="shared" si="5"/>
        <v>1</v>
      </c>
    </row>
    <row r="35" spans="1:30" ht="15">
      <c r="A35" s="438" t="s">
        <v>2398</v>
      </c>
      <c r="B35" s="439"/>
      <c r="C35" s="1316" t="s">
        <v>1</v>
      </c>
      <c r="D35" s="1317"/>
      <c r="E35" s="1318"/>
      <c r="F35" s="1319"/>
      <c r="G35" s="1320"/>
      <c r="H35" s="1321"/>
      <c r="I35" s="1318"/>
      <c r="J35" s="1321"/>
      <c r="K35" s="723"/>
      <c r="L35" s="2948"/>
      <c r="M35" s="2949"/>
      <c r="N35" s="2940"/>
      <c r="O35" s="2949"/>
      <c r="P35" s="3447" t="str">
        <f>A35</f>
        <v>成交单价（元/平方米）</v>
      </c>
      <c r="Q35" s="3447"/>
      <c r="R35" s="3523">
        <f>E35</f>
        <v>0</v>
      </c>
      <c r="S35" s="3523"/>
      <c r="T35" s="3523">
        <f>G35</f>
        <v>0</v>
      </c>
      <c r="U35" s="3523"/>
      <c r="V35" s="3523">
        <f>I35</f>
        <v>0</v>
      </c>
      <c r="W35" s="3523"/>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48"/>
      <c r="M36" s="2949"/>
      <c r="N36" s="2940"/>
      <c r="O36" s="2949"/>
      <c r="P36" s="3447" t="str">
        <f>A36</f>
        <v>比较价值（元/平方米）</v>
      </c>
      <c r="Q36" s="3447"/>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48"/>
      <c r="M37" s="2949"/>
      <c r="N37" s="2949"/>
      <c r="O37" s="2949"/>
      <c r="P37" s="3467" t="str">
        <f>A37</f>
        <v>估价对象XX用房的比较价值（楼面单价，元/平方米）</v>
      </c>
      <c r="Q37" s="3468"/>
      <c r="R37" s="3545" t="e">
        <f>IF(F1="售价",ROUND(IF(D36="简单平均",AVERAGE(R36:W36),R36*F36+T36*H36+V36*J36),0),ROUND(IF(D36="简单平均",AVERAGE(R36:V36),R36*F36+T36*H36+V36*J36),1))</f>
        <v>#DIV/0!</v>
      </c>
      <c r="S37" s="3545"/>
      <c r="T37" s="3545"/>
      <c r="U37" s="3545"/>
      <c r="V37" s="3545"/>
      <c r="W37" s="3545"/>
      <c r="X37" s="699"/>
      <c r="Y37" s="699"/>
      <c r="Z37" s="699"/>
      <c r="AA37" s="699"/>
      <c r="AB37" s="699"/>
      <c r="AC37" s="699"/>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9" customFormat="1" ht="13.5" customHeight="1">
      <c r="A42" s="2952"/>
      <c r="B42" s="2952"/>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9"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703" t="s">
        <v>2495</v>
      </c>
      <c r="B45" s="699"/>
      <c r="C45" s="704"/>
      <c r="D45" s="704"/>
      <c r="E45" s="704"/>
      <c r="F45" s="705"/>
      <c r="G45" s="705"/>
      <c r="H45" s="704"/>
      <c r="I45" s="704"/>
      <c r="J45" s="704"/>
      <c r="K45" s="706"/>
      <c r="L45" s="707"/>
      <c r="M45" s="704"/>
      <c r="N45" s="2993"/>
      <c r="O45" s="2993"/>
      <c r="P45" s="2993"/>
      <c r="Q45" s="2963"/>
      <c r="R45" s="2949"/>
      <c r="S45" s="2949"/>
      <c r="T45" s="2949"/>
      <c r="U45" s="2949"/>
      <c r="V45" s="2949"/>
      <c r="W45" s="2949"/>
      <c r="X45" s="2949"/>
      <c r="Y45" s="2949"/>
      <c r="Z45" s="2949"/>
      <c r="AA45" s="2949"/>
      <c r="AB45" s="2949"/>
      <c r="AC45" s="2949"/>
      <c r="AD45" s="2949"/>
    </row>
    <row r="46" spans="1:30" s="465" customFormat="1" ht="15">
      <c r="A46" s="462" t="s">
        <v>2369</v>
      </c>
      <c r="B46" s="463"/>
      <c r="C46" s="1346" t="str">
        <f>YEAR(C7)&amp;"-"&amp;MONTH(C7)</f>
        <v>2021-3</v>
      </c>
      <c r="D46" s="1347">
        <f>EDATE(C46,-1)</f>
        <v>44228</v>
      </c>
      <c r="E46" s="1347">
        <f t="shared" ref="E46:O46" si="16">EDATE(D46,-1)</f>
        <v>44197</v>
      </c>
      <c r="F46" s="1347">
        <f t="shared" si="16"/>
        <v>44166</v>
      </c>
      <c r="G46" s="1347">
        <f t="shared" si="16"/>
        <v>44136</v>
      </c>
      <c r="H46" s="1347">
        <f t="shared" si="16"/>
        <v>44105</v>
      </c>
      <c r="I46" s="1347">
        <f t="shared" si="16"/>
        <v>44075</v>
      </c>
      <c r="J46" s="1347">
        <f t="shared" si="16"/>
        <v>44044</v>
      </c>
      <c r="K46" s="1347">
        <f t="shared" si="16"/>
        <v>44013</v>
      </c>
      <c r="L46" s="1347">
        <f t="shared" si="16"/>
        <v>43983</v>
      </c>
      <c r="M46" s="1347">
        <f t="shared" si="16"/>
        <v>43952</v>
      </c>
      <c r="N46" s="1347">
        <f t="shared" si="16"/>
        <v>43922</v>
      </c>
      <c r="O46" s="1347">
        <f t="shared" si="16"/>
        <v>43891</v>
      </c>
      <c r="P46" s="3000"/>
      <c r="Q46" s="2965"/>
      <c r="R46" s="2965"/>
      <c r="S46" s="2965"/>
      <c r="T46" s="2965"/>
      <c r="U46" s="2965"/>
      <c r="V46" s="2965"/>
      <c r="W46" s="2965"/>
      <c r="X46" s="2965"/>
      <c r="Y46" s="2965"/>
      <c r="Z46" s="2965"/>
      <c r="AA46" s="2965"/>
      <c r="AB46" s="2965"/>
      <c r="AC46" s="2965"/>
      <c r="AD46" s="2965"/>
    </row>
    <row r="47" spans="1:30" s="113" customFormat="1" ht="15">
      <c r="A47" s="466"/>
      <c r="B47" s="467"/>
      <c r="C47" s="1345">
        <v>100</v>
      </c>
      <c r="D47" s="469"/>
      <c r="E47" s="469"/>
      <c r="F47" s="469"/>
      <c r="G47" s="469"/>
      <c r="H47" s="469"/>
      <c r="I47" s="469"/>
      <c r="J47" s="469"/>
      <c r="K47" s="469"/>
      <c r="L47" s="469"/>
      <c r="M47" s="470"/>
      <c r="N47" s="469"/>
      <c r="O47" s="471"/>
      <c r="P47" s="2963"/>
      <c r="Q47" s="2884"/>
      <c r="R47" s="2884"/>
      <c r="S47" s="2884"/>
      <c r="T47" s="2884"/>
      <c r="U47" s="2884"/>
      <c r="V47" s="2884"/>
      <c r="W47" s="2884"/>
      <c r="X47" s="2884"/>
      <c r="Y47" s="2884"/>
      <c r="Z47" s="2884"/>
      <c r="AA47" s="2884"/>
      <c r="AB47" s="2884"/>
      <c r="AC47" s="2884"/>
      <c r="AD47" s="2884"/>
    </row>
    <row r="48" spans="1:30" s="113" customFormat="1" ht="15.75" thickBot="1">
      <c r="A48" s="472" t="s">
        <v>2406</v>
      </c>
      <c r="B48" s="473"/>
      <c r="C48" s="474"/>
      <c r="D48" s="475"/>
      <c r="E48" s="475"/>
      <c r="F48" s="475"/>
      <c r="G48" s="475"/>
      <c r="H48" s="475"/>
      <c r="I48" s="475"/>
      <c r="J48" s="475"/>
      <c r="K48" s="475"/>
      <c r="L48" s="475"/>
      <c r="M48" s="476"/>
      <c r="N48" s="475"/>
      <c r="O48" s="477"/>
      <c r="P48" s="2963"/>
      <c r="Q48" s="2963"/>
      <c r="R48" s="2884"/>
      <c r="S48" s="2884"/>
      <c r="T48" s="2884"/>
      <c r="U48" s="2884"/>
      <c r="V48" s="2884"/>
      <c r="W48" s="2884"/>
      <c r="X48" s="2884"/>
      <c r="Y48" s="2884"/>
      <c r="Z48" s="2884"/>
      <c r="AA48" s="2884"/>
      <c r="AB48" s="2884"/>
      <c r="AC48" s="2884"/>
      <c r="AD48" s="2884"/>
    </row>
    <row r="49" spans="1:30" s="113" customFormat="1" ht="15">
      <c r="A49" s="478" t="s">
        <v>2371</v>
      </c>
      <c r="B49" s="467"/>
      <c r="C49" s="479" t="s">
        <v>2473</v>
      </c>
      <c r="D49" s="480"/>
      <c r="E49" s="480"/>
      <c r="F49" s="480"/>
      <c r="G49" s="480"/>
      <c r="H49" s="480"/>
      <c r="I49" s="480"/>
      <c r="J49" s="480"/>
      <c r="K49" s="480"/>
      <c r="L49" s="481"/>
      <c r="M49" s="482"/>
      <c r="N49" s="2976"/>
      <c r="O49" s="2976"/>
      <c r="P49" s="3001"/>
      <c r="Q49" s="2963"/>
      <c r="R49" s="2884"/>
      <c r="S49" s="2884"/>
      <c r="T49" s="2884"/>
      <c r="U49" s="2884"/>
      <c r="V49" s="2884"/>
      <c r="W49" s="2884"/>
      <c r="X49" s="2884"/>
      <c r="Y49" s="2884"/>
      <c r="Z49" s="2884"/>
      <c r="AA49" s="2884"/>
      <c r="AB49" s="2884"/>
      <c r="AC49" s="2884"/>
      <c r="AD49" s="2884"/>
    </row>
    <row r="50" spans="1:30" s="113" customFormat="1" ht="15.75" thickBot="1">
      <c r="A50" s="478"/>
      <c r="B50" s="467"/>
      <c r="C50" s="595">
        <v>100</v>
      </c>
      <c r="D50" s="469"/>
      <c r="E50" s="469"/>
      <c r="F50" s="469"/>
      <c r="G50" s="469"/>
      <c r="H50" s="469"/>
      <c r="I50" s="469"/>
      <c r="J50" s="469"/>
      <c r="K50" s="469"/>
      <c r="L50" s="469"/>
      <c r="M50" s="471"/>
      <c r="N50" s="2976"/>
      <c r="O50" s="2976"/>
      <c r="P50" s="2963"/>
      <c r="Q50" s="2963"/>
      <c r="R50" s="2884"/>
      <c r="S50" s="2884"/>
      <c r="T50" s="2884"/>
      <c r="U50" s="2884"/>
      <c r="V50" s="2884"/>
      <c r="W50" s="2884"/>
      <c r="X50" s="2884"/>
      <c r="Y50" s="2884"/>
      <c r="Z50" s="2884"/>
      <c r="AA50" s="2884"/>
      <c r="AB50" s="2884"/>
      <c r="AC50" s="2884"/>
      <c r="AD50" s="2884"/>
    </row>
    <row r="51" spans="1:30">
      <c r="A51" s="484" t="s">
        <v>2409</v>
      </c>
      <c r="B51" s="485" t="s">
        <v>2375</v>
      </c>
      <c r="C51" s="486">
        <f>C9</f>
        <v>0</v>
      </c>
      <c r="D51" s="487"/>
      <c r="E51" s="487"/>
      <c r="F51" s="487"/>
      <c r="G51" s="487"/>
      <c r="H51" s="487"/>
      <c r="I51" s="487"/>
      <c r="J51" s="487"/>
      <c r="K51" s="488"/>
      <c r="L51" s="489"/>
      <c r="M51" s="490"/>
      <c r="N51" s="2977"/>
      <c r="O51" s="2977"/>
      <c r="P51" s="3002"/>
      <c r="Q51" s="2963"/>
      <c r="R51" s="2949"/>
      <c r="S51" s="2949"/>
      <c r="T51" s="2949"/>
      <c r="U51" s="2949"/>
      <c r="V51" s="2949"/>
      <c r="W51" s="2949"/>
      <c r="X51" s="2949"/>
      <c r="Y51" s="2949"/>
      <c r="Z51" s="2949"/>
      <c r="AA51" s="2949"/>
      <c r="AB51" s="2949"/>
      <c r="AC51" s="2949"/>
      <c r="AD51" s="2949"/>
    </row>
    <row r="52" spans="1:30" ht="15.75" thickBot="1">
      <c r="A52" s="491"/>
      <c r="B52" s="492"/>
      <c r="C52" s="493">
        <v>100</v>
      </c>
      <c r="D52" s="493"/>
      <c r="E52" s="493"/>
      <c r="F52" s="493"/>
      <c r="G52" s="493"/>
      <c r="H52" s="493"/>
      <c r="I52" s="493"/>
      <c r="J52" s="493"/>
      <c r="K52" s="493"/>
      <c r="L52" s="493"/>
      <c r="M52" s="494"/>
      <c r="N52" s="2978"/>
      <c r="O52" s="2978"/>
      <c r="P52" s="3002"/>
      <c r="Q52" s="2963"/>
      <c r="R52" s="2949"/>
      <c r="S52" s="2949"/>
      <c r="T52" s="2949"/>
      <c r="U52" s="2949"/>
      <c r="V52" s="2949"/>
      <c r="W52" s="2949"/>
      <c r="X52" s="2949"/>
      <c r="Y52" s="2949"/>
      <c r="Z52" s="2949"/>
      <c r="AA52" s="2949"/>
      <c r="AB52" s="2949"/>
      <c r="AC52" s="2949"/>
      <c r="AD52" s="2949"/>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7"/>
      <c r="O53" s="2977"/>
      <c r="P53" s="3002"/>
      <c r="Q53" s="2963"/>
      <c r="R53" s="2949"/>
      <c r="S53" s="2949"/>
      <c r="T53" s="2949"/>
      <c r="U53" s="2949"/>
      <c r="V53" s="2949"/>
      <c r="W53" s="2949"/>
      <c r="X53" s="2949"/>
      <c r="Y53" s="2949"/>
      <c r="Z53" s="2949"/>
      <c r="AA53" s="2949"/>
      <c r="AB53" s="2949"/>
      <c r="AC53" s="2949"/>
      <c r="AD53" s="294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8"/>
      <c r="O54" s="2978"/>
      <c r="P54" s="3002"/>
      <c r="Q54" s="2963"/>
      <c r="R54" s="2949"/>
      <c r="S54" s="2949"/>
      <c r="T54" s="2949"/>
      <c r="U54" s="2949"/>
      <c r="V54" s="2949"/>
      <c r="W54" s="2949"/>
      <c r="X54" s="2949"/>
      <c r="Y54" s="2949"/>
      <c r="Z54" s="2949"/>
      <c r="AA54" s="2949"/>
      <c r="AB54" s="2949"/>
      <c r="AC54" s="2949"/>
      <c r="AD54" s="2949"/>
    </row>
    <row r="55" spans="1:30" ht="15.75" thickTop="1">
      <c r="A55" s="491"/>
      <c r="B55" s="616">
        <f>B11</f>
        <v>111</v>
      </c>
      <c r="C55" s="506"/>
      <c r="D55" s="506"/>
      <c r="E55" s="506"/>
      <c r="F55" s="506"/>
      <c r="G55" s="506"/>
      <c r="H55" s="506"/>
      <c r="I55" s="506"/>
      <c r="J55" s="506"/>
      <c r="K55" s="507"/>
      <c r="L55" s="508"/>
      <c r="M55" s="509"/>
      <c r="N55" s="2977"/>
      <c r="O55" s="2977"/>
      <c r="P55" s="3002"/>
      <c r="Q55" s="2963"/>
      <c r="R55" s="2949"/>
      <c r="S55" s="2949"/>
      <c r="T55" s="2949"/>
      <c r="U55" s="2949"/>
      <c r="V55" s="2949"/>
      <c r="W55" s="2949"/>
      <c r="X55" s="2949"/>
      <c r="Y55" s="2949"/>
      <c r="Z55" s="2949"/>
      <c r="AA55" s="2949"/>
      <c r="AB55" s="2949"/>
      <c r="AC55" s="2949"/>
      <c r="AD55" s="2949"/>
    </row>
    <row r="56" spans="1:30" ht="15.75" thickBot="1">
      <c r="A56" s="491"/>
      <c r="B56" s="492"/>
      <c r="C56" s="517"/>
      <c r="D56" s="493"/>
      <c r="E56" s="493"/>
      <c r="F56" s="493"/>
      <c r="G56" s="493"/>
      <c r="H56" s="493"/>
      <c r="I56" s="493"/>
      <c r="J56" s="493"/>
      <c r="K56" s="493"/>
      <c r="L56" s="493"/>
      <c r="M56" s="494"/>
      <c r="N56" s="2978"/>
      <c r="O56" s="2978"/>
      <c r="P56" s="3002"/>
      <c r="Q56" s="2963"/>
      <c r="R56" s="2949"/>
      <c r="S56" s="2949"/>
      <c r="T56" s="2949"/>
      <c r="U56" s="2949"/>
      <c r="V56" s="2949"/>
      <c r="W56" s="2949"/>
      <c r="X56" s="2949"/>
      <c r="Y56" s="2949"/>
      <c r="Z56" s="2949"/>
      <c r="AA56" s="2949"/>
      <c r="AB56" s="2949"/>
      <c r="AC56" s="2949"/>
      <c r="AD56" s="2949"/>
    </row>
    <row r="57" spans="1:30" s="430" customFormat="1" ht="15.75" thickTop="1">
      <c r="A57" s="510"/>
      <c r="B57" s="495">
        <f>B12</f>
        <v>111</v>
      </c>
      <c r="C57" s="506"/>
      <c r="D57" s="506"/>
      <c r="E57" s="506"/>
      <c r="F57" s="506"/>
      <c r="G57" s="511"/>
      <c r="H57" s="512"/>
      <c r="I57" s="512"/>
      <c r="J57" s="512"/>
      <c r="K57" s="512"/>
      <c r="L57" s="513"/>
      <c r="M57" s="514"/>
      <c r="N57" s="2979"/>
      <c r="O57" s="2979"/>
      <c r="P57" s="3003"/>
      <c r="Q57" s="2970"/>
      <c r="R57" s="2971"/>
      <c r="S57" s="2971"/>
      <c r="T57" s="2971"/>
      <c r="U57" s="2971"/>
      <c r="V57" s="2971"/>
      <c r="W57" s="2971"/>
      <c r="X57" s="2971"/>
      <c r="Y57" s="2971"/>
      <c r="Z57" s="2971"/>
      <c r="AA57" s="2971"/>
      <c r="AB57" s="2971"/>
      <c r="AC57" s="2971"/>
      <c r="AD57" s="2971"/>
    </row>
    <row r="58" spans="1:30" s="430" customFormat="1" ht="15.75" thickBot="1">
      <c r="A58" s="510"/>
      <c r="B58" s="500"/>
      <c r="C58" s="517"/>
      <c r="D58" s="493"/>
      <c r="E58" s="493"/>
      <c r="F58" s="493"/>
      <c r="G58" s="493"/>
      <c r="H58" s="493"/>
      <c r="I58" s="493"/>
      <c r="J58" s="493"/>
      <c r="K58" s="493"/>
      <c r="L58" s="493"/>
      <c r="M58" s="494"/>
      <c r="N58" s="2978"/>
      <c r="O58" s="2978"/>
      <c r="P58" s="3003"/>
      <c r="Q58" s="2970"/>
      <c r="R58" s="2971"/>
      <c r="S58" s="2971"/>
      <c r="T58" s="2971"/>
      <c r="U58" s="2971"/>
      <c r="V58" s="2971"/>
      <c r="W58" s="2971"/>
      <c r="X58" s="2971"/>
      <c r="Y58" s="2971"/>
      <c r="Z58" s="2971"/>
      <c r="AA58" s="2971"/>
      <c r="AB58" s="2971"/>
      <c r="AC58" s="2971"/>
      <c r="AD58" s="2971"/>
    </row>
    <row r="59" spans="1:30" s="430" customFormat="1" ht="15.75" thickTop="1">
      <c r="A59" s="510"/>
      <c r="B59" s="495">
        <f>B13</f>
        <v>111</v>
      </c>
      <c r="C59" s="506"/>
      <c r="D59" s="506"/>
      <c r="E59" s="506"/>
      <c r="F59" s="506"/>
      <c r="G59" s="511"/>
      <c r="H59" s="512"/>
      <c r="I59" s="512"/>
      <c r="J59" s="512"/>
      <c r="K59" s="512"/>
      <c r="L59" s="513"/>
      <c r="M59" s="514"/>
      <c r="N59" s="2979"/>
      <c r="O59" s="2979"/>
      <c r="P59" s="2947"/>
      <c r="Q59" s="2973"/>
      <c r="R59" s="2971"/>
      <c r="S59" s="2971"/>
      <c r="T59" s="2971"/>
      <c r="U59" s="2971"/>
      <c r="V59" s="2971"/>
      <c r="W59" s="2971"/>
      <c r="X59" s="2971"/>
      <c r="Y59" s="2971"/>
      <c r="Z59" s="2971"/>
      <c r="AA59" s="2971"/>
      <c r="AB59" s="2971"/>
      <c r="AC59" s="2971"/>
      <c r="AD59" s="2971"/>
    </row>
    <row r="60" spans="1:30" s="430" customFormat="1" ht="15.75" thickBot="1">
      <c r="A60" s="510"/>
      <c r="B60" s="500"/>
      <c r="C60" s="517"/>
      <c r="D60" s="517"/>
      <c r="E60" s="517"/>
      <c r="F60" s="517"/>
      <c r="G60" s="517"/>
      <c r="H60" s="519"/>
      <c r="I60" s="519"/>
      <c r="J60" s="519"/>
      <c r="K60" s="519"/>
      <c r="L60" s="519"/>
      <c r="M60" s="520"/>
      <c r="N60" s="2979"/>
      <c r="O60" s="2979"/>
      <c r="P60" s="3003"/>
      <c r="Q60" s="2970"/>
      <c r="R60" s="2971"/>
      <c r="S60" s="2971"/>
      <c r="T60" s="2971"/>
      <c r="U60" s="2971"/>
      <c r="V60" s="2971"/>
      <c r="W60" s="2971"/>
      <c r="X60" s="2971"/>
      <c r="Y60" s="2971"/>
      <c r="Z60" s="2971"/>
      <c r="AA60" s="2971"/>
      <c r="AB60" s="2971"/>
      <c r="AC60" s="2971"/>
      <c r="AD60" s="2971"/>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7"/>
      <c r="O61" s="2977"/>
      <c r="P61" s="3004"/>
      <c r="Q61" s="2963"/>
      <c r="R61" s="2949"/>
      <c r="S61" s="2949"/>
      <c r="T61" s="2949"/>
      <c r="U61" s="2949"/>
      <c r="V61" s="2949"/>
      <c r="W61" s="2949"/>
      <c r="X61" s="2949"/>
      <c r="Y61" s="2949"/>
      <c r="Z61" s="2949"/>
      <c r="AA61" s="2949"/>
      <c r="AB61" s="2949"/>
      <c r="AC61" s="2949"/>
      <c r="AD61" s="294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8"/>
      <c r="O62" s="2978"/>
      <c r="P62" s="3002"/>
      <c r="Q62" s="2963"/>
      <c r="R62" s="2949"/>
      <c r="S62" s="2949"/>
      <c r="T62" s="2949"/>
      <c r="U62" s="2949"/>
      <c r="V62" s="2949"/>
      <c r="W62" s="2949"/>
      <c r="X62" s="2949"/>
      <c r="Y62" s="2949"/>
      <c r="Z62" s="2949"/>
      <c r="AA62" s="2949"/>
      <c r="AB62" s="2949"/>
      <c r="AC62" s="2949"/>
      <c r="AD62" s="2949"/>
    </row>
    <row r="63" spans="1:30" ht="27.75" thickTop="1">
      <c r="A63" s="491"/>
      <c r="B63" s="495" t="s">
        <v>2561</v>
      </c>
      <c r="C63" s="535" t="s">
        <v>2418</v>
      </c>
      <c r="D63" s="535" t="s">
        <v>2419</v>
      </c>
      <c r="E63" s="535" t="s">
        <v>2420</v>
      </c>
      <c r="F63" s="535" t="s">
        <v>2421</v>
      </c>
      <c r="G63" s="535" t="s">
        <v>2422</v>
      </c>
      <c r="H63" s="496"/>
      <c r="I63" s="496"/>
      <c r="J63" s="496"/>
      <c r="K63" s="497"/>
      <c r="L63" s="498"/>
      <c r="M63" s="499"/>
      <c r="N63" s="2977"/>
      <c r="O63" s="2977"/>
      <c r="P63" s="3002"/>
      <c r="Q63" s="2963"/>
      <c r="R63" s="2949"/>
      <c r="S63" s="2949"/>
      <c r="T63" s="2949"/>
      <c r="U63" s="2949"/>
      <c r="V63" s="2949"/>
      <c r="W63" s="2949"/>
      <c r="X63" s="2949"/>
      <c r="Y63" s="2949"/>
      <c r="Z63" s="2949"/>
      <c r="AA63" s="2949"/>
      <c r="AB63" s="2949"/>
      <c r="AC63" s="2949"/>
      <c r="AD63" s="294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8"/>
      <c r="O64" s="2978"/>
      <c r="P64" s="3002"/>
      <c r="Q64" s="2963"/>
      <c r="R64" s="2949"/>
      <c r="S64" s="2949"/>
      <c r="T64" s="2949"/>
      <c r="U64" s="2949"/>
      <c r="V64" s="2949"/>
      <c r="W64" s="2949"/>
      <c r="X64" s="2949"/>
      <c r="Y64" s="2949"/>
      <c r="Z64" s="2949"/>
      <c r="AA64" s="2949"/>
      <c r="AB64" s="2949"/>
      <c r="AC64" s="2949"/>
      <c r="AD64" s="2949"/>
    </row>
    <row r="65" spans="1:30" ht="15.75" thickTop="1">
      <c r="A65" s="491"/>
      <c r="B65" s="503" t="s">
        <v>2510</v>
      </c>
      <c r="C65" s="616" t="s">
        <v>2496</v>
      </c>
      <c r="D65" s="616" t="s">
        <v>2497</v>
      </c>
      <c r="E65" s="616" t="s">
        <v>2498</v>
      </c>
      <c r="F65" s="616" t="s">
        <v>2499</v>
      </c>
      <c r="G65" s="616" t="s">
        <v>2500</v>
      </c>
      <c r="H65" s="496"/>
      <c r="I65" s="496"/>
      <c r="J65" s="496"/>
      <c r="K65" s="496"/>
      <c r="L65" s="496"/>
      <c r="M65" s="1291"/>
      <c r="N65" s="2978"/>
      <c r="O65" s="2978"/>
      <c r="P65" s="3002"/>
      <c r="Q65" s="2963"/>
      <c r="R65" s="2949"/>
      <c r="S65" s="2949"/>
      <c r="T65" s="2949"/>
      <c r="U65" s="2949"/>
      <c r="V65" s="2949"/>
      <c r="W65" s="2949"/>
      <c r="X65" s="2949"/>
      <c r="Y65" s="2949"/>
      <c r="Z65" s="2949"/>
      <c r="AA65" s="2949"/>
      <c r="AB65" s="2949"/>
      <c r="AC65" s="2949"/>
      <c r="AD65" s="294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8"/>
      <c r="O66" s="2978"/>
      <c r="P66" s="3002"/>
      <c r="Q66" s="2963"/>
      <c r="R66" s="2949"/>
      <c r="S66" s="2949"/>
      <c r="T66" s="2949"/>
      <c r="U66" s="2949"/>
      <c r="V66" s="2949"/>
      <c r="W66" s="2949"/>
      <c r="X66" s="2949"/>
      <c r="Y66" s="2949"/>
      <c r="Z66" s="2949"/>
      <c r="AA66" s="2949"/>
      <c r="AB66" s="2949"/>
      <c r="AC66" s="2949"/>
      <c r="AD66" s="2949"/>
    </row>
    <row r="67" spans="1:30" ht="15.75" thickTop="1">
      <c r="A67" s="491"/>
      <c r="B67" s="495" t="s">
        <v>2430</v>
      </c>
      <c r="C67" s="535" t="s">
        <v>2418</v>
      </c>
      <c r="D67" s="535" t="s">
        <v>2419</v>
      </c>
      <c r="E67" s="535" t="s">
        <v>2420</v>
      </c>
      <c r="F67" s="535" t="s">
        <v>2421</v>
      </c>
      <c r="G67" s="535" t="s">
        <v>2422</v>
      </c>
      <c r="H67" s="496"/>
      <c r="I67" s="496"/>
      <c r="J67" s="496"/>
      <c r="K67" s="497"/>
      <c r="L67" s="498"/>
      <c r="M67" s="499"/>
      <c r="N67" s="2977"/>
      <c r="O67" s="2977"/>
      <c r="P67" s="3002"/>
      <c r="Q67" s="2963"/>
      <c r="R67" s="2949"/>
      <c r="S67" s="2949"/>
      <c r="T67" s="2949"/>
      <c r="U67" s="2949"/>
      <c r="V67" s="2949"/>
      <c r="W67" s="2949"/>
      <c r="X67" s="2949"/>
      <c r="Y67" s="2949"/>
      <c r="Z67" s="2949"/>
      <c r="AA67" s="2949"/>
      <c r="AB67" s="2949"/>
      <c r="AC67" s="2949"/>
      <c r="AD67" s="294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8"/>
      <c r="O68" s="2978"/>
      <c r="P68" s="3002"/>
      <c r="Q68" s="2963"/>
      <c r="R68" s="2949"/>
      <c r="S68" s="2949"/>
      <c r="T68" s="2949"/>
      <c r="U68" s="2949"/>
      <c r="V68" s="2949"/>
      <c r="W68" s="2949"/>
      <c r="X68" s="2949"/>
      <c r="Y68" s="2949"/>
      <c r="Z68" s="2949"/>
      <c r="AA68" s="2949"/>
      <c r="AB68" s="2949"/>
      <c r="AC68" s="2949"/>
      <c r="AD68" s="2949"/>
    </row>
    <row r="69" spans="1:30" ht="15.75" thickTop="1">
      <c r="A69" s="491"/>
      <c r="B69" s="495" t="s">
        <v>2550</v>
      </c>
      <c r="C69" s="511"/>
      <c r="D69" s="511"/>
      <c r="E69" s="511"/>
      <c r="F69" s="511"/>
      <c r="G69" s="511"/>
      <c r="H69" s="540"/>
      <c r="I69" s="540"/>
      <c r="J69" s="540"/>
      <c r="K69" s="541"/>
      <c r="L69" s="542"/>
      <c r="M69" s="543"/>
      <c r="N69" s="2977"/>
      <c r="O69" s="2977"/>
      <c r="P69" s="3002"/>
      <c r="Q69" s="2963"/>
      <c r="R69" s="2949"/>
      <c r="S69" s="2949"/>
      <c r="T69" s="2949"/>
      <c r="U69" s="2949"/>
      <c r="V69" s="2949"/>
      <c r="W69" s="2949"/>
      <c r="X69" s="2949"/>
      <c r="Y69" s="2949"/>
      <c r="Z69" s="2949"/>
      <c r="AA69" s="2949"/>
      <c r="AB69" s="2949"/>
      <c r="AC69" s="2949"/>
      <c r="AD69" s="2949"/>
    </row>
    <row r="70" spans="1:30" ht="15.75" thickBot="1">
      <c r="A70" s="491"/>
      <c r="B70" s="500"/>
      <c r="C70" s="501">
        <v>100</v>
      </c>
      <c r="D70" s="501">
        <f>C70-$K22</f>
        <v>100</v>
      </c>
      <c r="E70" s="501"/>
      <c r="F70" s="501"/>
      <c r="G70" s="501"/>
      <c r="H70" s="501"/>
      <c r="I70" s="501"/>
      <c r="J70" s="501"/>
      <c r="K70" s="501"/>
      <c r="L70" s="501"/>
      <c r="M70" s="502"/>
      <c r="N70" s="2978"/>
      <c r="O70" s="2978"/>
      <c r="P70" s="3002"/>
      <c r="Q70" s="2963"/>
      <c r="R70" s="2949"/>
      <c r="S70" s="2949"/>
      <c r="T70" s="2949"/>
      <c r="U70" s="2949"/>
      <c r="V70" s="2949"/>
      <c r="W70" s="2949"/>
      <c r="X70" s="2949"/>
      <c r="Y70" s="2949"/>
      <c r="Z70" s="2949"/>
      <c r="AA70" s="2949"/>
      <c r="AB70" s="2949"/>
      <c r="AC70" s="2949"/>
      <c r="AD70" s="2949"/>
    </row>
    <row r="71" spans="1:30" s="113" customFormat="1" ht="15.75" thickTop="1">
      <c r="A71" s="536"/>
      <c r="B71" s="495">
        <f>B23</f>
        <v>111</v>
      </c>
      <c r="C71" s="506"/>
      <c r="D71" s="506"/>
      <c r="E71" s="506"/>
      <c r="F71" s="506"/>
      <c r="G71" s="511"/>
      <c r="H71" s="511"/>
      <c r="I71" s="511"/>
      <c r="J71" s="511"/>
      <c r="K71" s="511"/>
      <c r="L71" s="537"/>
      <c r="M71" s="538"/>
      <c r="N71" s="2976"/>
      <c r="O71" s="2976"/>
      <c r="P71" s="3002"/>
      <c r="Q71" s="2963"/>
      <c r="R71" s="2884"/>
      <c r="S71" s="2884"/>
      <c r="T71" s="2884"/>
      <c r="U71" s="2884"/>
      <c r="V71" s="2884"/>
      <c r="W71" s="2884"/>
      <c r="X71" s="2884"/>
      <c r="Y71" s="2884"/>
      <c r="Z71" s="2884"/>
      <c r="AA71" s="2884"/>
      <c r="AB71" s="2884"/>
      <c r="AC71" s="2884"/>
      <c r="AD71" s="2884"/>
    </row>
    <row r="72" spans="1:30" s="113" customFormat="1" ht="15.75" thickBot="1">
      <c r="A72" s="536"/>
      <c r="B72" s="500"/>
      <c r="C72" s="517"/>
      <c r="D72" s="493"/>
      <c r="E72" s="493"/>
      <c r="F72" s="493"/>
      <c r="G72" s="493"/>
      <c r="H72" s="493"/>
      <c r="I72" s="493"/>
      <c r="J72" s="493"/>
      <c r="K72" s="493"/>
      <c r="L72" s="493"/>
      <c r="M72" s="494"/>
      <c r="N72" s="2978"/>
      <c r="O72" s="2978"/>
      <c r="P72" s="3002"/>
      <c r="Q72" s="2963"/>
      <c r="R72" s="2884"/>
      <c r="S72" s="2884"/>
      <c r="T72" s="2884"/>
      <c r="U72" s="2884"/>
      <c r="V72" s="2884"/>
      <c r="W72" s="2884"/>
      <c r="X72" s="2884"/>
      <c r="Y72" s="2884"/>
      <c r="Z72" s="2884"/>
      <c r="AA72" s="2884"/>
      <c r="AB72" s="2884"/>
      <c r="AC72" s="2884"/>
      <c r="AD72" s="2884"/>
    </row>
    <row r="73" spans="1:30" s="113" customFormat="1" ht="15.75" thickTop="1">
      <c r="A73" s="536"/>
      <c r="B73" s="495">
        <f>B24</f>
        <v>111</v>
      </c>
      <c r="C73" s="506"/>
      <c r="D73" s="506"/>
      <c r="E73" s="506"/>
      <c r="F73" s="506"/>
      <c r="G73" s="511"/>
      <c r="H73" s="511"/>
      <c r="I73" s="511"/>
      <c r="J73" s="511"/>
      <c r="K73" s="511"/>
      <c r="L73" s="511"/>
      <c r="M73" s="538"/>
      <c r="N73" s="2976"/>
      <c r="O73" s="2976"/>
      <c r="P73" s="3002"/>
      <c r="Q73" s="2963"/>
      <c r="R73" s="2884"/>
      <c r="S73" s="2884"/>
      <c r="T73" s="2884"/>
      <c r="U73" s="2884"/>
      <c r="V73" s="2884"/>
      <c r="W73" s="2884"/>
      <c r="X73" s="2884"/>
      <c r="Y73" s="2884"/>
      <c r="Z73" s="2884"/>
      <c r="AA73" s="2884"/>
      <c r="AB73" s="2884"/>
      <c r="AC73" s="2884"/>
      <c r="AD73" s="2884"/>
    </row>
    <row r="74" spans="1:30" s="113" customFormat="1" ht="15.75" thickBot="1">
      <c r="A74" s="536"/>
      <c r="B74" s="500"/>
      <c r="C74" s="517"/>
      <c r="D74" s="493"/>
      <c r="E74" s="493"/>
      <c r="F74" s="493"/>
      <c r="G74" s="493"/>
      <c r="H74" s="493"/>
      <c r="I74" s="493"/>
      <c r="J74" s="493"/>
      <c r="K74" s="493"/>
      <c r="L74" s="493"/>
      <c r="M74" s="494"/>
      <c r="N74" s="2978"/>
      <c r="O74" s="2978"/>
      <c r="P74" s="3002"/>
      <c r="Q74" s="2963"/>
      <c r="R74" s="2884"/>
      <c r="S74" s="2884"/>
      <c r="T74" s="2884"/>
      <c r="U74" s="2884"/>
      <c r="V74" s="2884"/>
      <c r="W74" s="2884"/>
      <c r="X74" s="2884"/>
      <c r="Y74" s="2884"/>
      <c r="Z74" s="2884"/>
      <c r="AA74" s="2884"/>
      <c r="AB74" s="2884"/>
      <c r="AC74" s="2884"/>
      <c r="AD74" s="2884"/>
    </row>
    <row r="75" spans="1:30" s="430" customFormat="1" ht="15.75" thickTop="1">
      <c r="A75" s="510"/>
      <c r="B75" s="495">
        <f>B25</f>
        <v>111</v>
      </c>
      <c r="C75" s="506"/>
      <c r="D75" s="506"/>
      <c r="E75" s="506"/>
      <c r="F75" s="506"/>
      <c r="G75" s="511"/>
      <c r="H75" s="512"/>
      <c r="I75" s="512"/>
      <c r="J75" s="512"/>
      <c r="K75" s="512"/>
      <c r="L75" s="513"/>
      <c r="M75" s="514"/>
      <c r="N75" s="2979"/>
      <c r="O75" s="2979"/>
      <c r="P75" s="3003"/>
      <c r="Q75" s="2970"/>
      <c r="R75" s="2971"/>
      <c r="S75" s="2971"/>
      <c r="T75" s="2971"/>
      <c r="U75" s="2971"/>
      <c r="V75" s="2971"/>
      <c r="W75" s="2971"/>
      <c r="X75" s="2971"/>
      <c r="Y75" s="2971"/>
      <c r="Z75" s="2971"/>
      <c r="AA75" s="2971"/>
      <c r="AB75" s="2971"/>
      <c r="AC75" s="2971"/>
      <c r="AD75" s="2971"/>
    </row>
    <row r="76" spans="1:30" s="430" customFormat="1" ht="15.75" thickBot="1">
      <c r="A76" s="510"/>
      <c r="B76" s="500"/>
      <c r="C76" s="517"/>
      <c r="D76" s="517"/>
      <c r="E76" s="517"/>
      <c r="F76" s="517"/>
      <c r="G76" s="493"/>
      <c r="H76" s="493"/>
      <c r="I76" s="493"/>
      <c r="J76" s="493"/>
      <c r="K76" s="493"/>
      <c r="L76" s="493"/>
      <c r="M76" s="494"/>
      <c r="N76" s="2979"/>
      <c r="O76" s="2979"/>
      <c r="P76" s="3003"/>
      <c r="Q76" s="2970"/>
      <c r="R76" s="2971"/>
      <c r="S76" s="2971"/>
      <c r="T76" s="2971"/>
      <c r="U76" s="2971"/>
      <c r="V76" s="2971"/>
      <c r="W76" s="2971"/>
      <c r="X76" s="2971"/>
      <c r="Y76" s="2971"/>
      <c r="Z76" s="2971"/>
      <c r="AA76" s="2971"/>
      <c r="AB76" s="2971"/>
      <c r="AC76" s="2971"/>
      <c r="AD76" s="2971"/>
    </row>
    <row r="77" spans="1:30" ht="15" thickTop="1">
      <c r="A77" s="484" t="s">
        <v>2384</v>
      </c>
      <c r="B77" s="485" t="s">
        <v>2437</v>
      </c>
      <c r="C77" s="511"/>
      <c r="D77" s="511"/>
      <c r="E77" s="487"/>
      <c r="F77" s="487"/>
      <c r="G77" s="487"/>
      <c r="H77" s="487"/>
      <c r="I77" s="487"/>
      <c r="J77" s="487"/>
      <c r="K77" s="488"/>
      <c r="L77" s="489"/>
      <c r="M77" s="490"/>
      <c r="N77" s="2977"/>
      <c r="O77" s="2977"/>
      <c r="P77" s="3002"/>
      <c r="Q77" s="2963"/>
      <c r="R77" s="2949"/>
      <c r="S77" s="2949"/>
      <c r="T77" s="2949"/>
      <c r="U77" s="2949"/>
      <c r="V77" s="2949"/>
      <c r="W77" s="2949"/>
      <c r="X77" s="2949"/>
      <c r="Y77" s="2949"/>
      <c r="Z77" s="2949"/>
      <c r="AA77" s="2949"/>
      <c r="AB77" s="2949"/>
      <c r="AC77" s="2949"/>
      <c r="AD77" s="294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6"/>
      <c r="O79" s="2976"/>
      <c r="P79" s="3002"/>
      <c r="Q79" s="2963"/>
      <c r="R79" s="2949"/>
      <c r="S79" s="2949"/>
      <c r="T79" s="2949"/>
      <c r="U79" s="2949"/>
      <c r="V79" s="2949"/>
      <c r="W79" s="2949"/>
      <c r="X79" s="2949"/>
      <c r="Y79" s="2949"/>
      <c r="Z79" s="2949"/>
      <c r="AA79" s="2949"/>
      <c r="AB79" s="2949"/>
      <c r="AC79" s="2949"/>
      <c r="AD79" s="2949"/>
    </row>
    <row r="80" spans="1:30" ht="15">
      <c r="A80" s="491"/>
      <c r="B80" s="503"/>
      <c r="C80" s="560">
        <v>0.5</v>
      </c>
      <c r="D80" s="560">
        <v>0.6</v>
      </c>
      <c r="E80" s="560">
        <v>0.7</v>
      </c>
      <c r="F80" s="560">
        <v>0.8</v>
      </c>
      <c r="G80" s="560">
        <v>0.9</v>
      </c>
      <c r="H80" s="560">
        <v>1.0001</v>
      </c>
      <c r="I80" s="616"/>
      <c r="J80" s="616"/>
      <c r="K80" s="624"/>
      <c r="L80" s="625"/>
      <c r="M80" s="626"/>
      <c r="N80" s="2976"/>
      <c r="O80" s="2976"/>
      <c r="P80" s="3002"/>
      <c r="Q80" s="2963"/>
      <c r="R80" s="2949"/>
      <c r="S80" s="2949"/>
      <c r="T80" s="2949"/>
      <c r="U80" s="2949"/>
      <c r="V80" s="2949"/>
      <c r="W80" s="2949"/>
      <c r="X80" s="2949"/>
      <c r="Y80" s="2949"/>
      <c r="Z80" s="2949"/>
      <c r="AA80" s="2949"/>
      <c r="AB80" s="2949"/>
      <c r="AC80" s="2949"/>
      <c r="AD80" s="294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6"/>
      <c r="B82" s="503" t="s">
        <v>2554</v>
      </c>
      <c r="C82" s="511"/>
      <c r="D82" s="511"/>
      <c r="E82" s="540"/>
      <c r="F82" s="540"/>
      <c r="G82" s="540"/>
      <c r="H82" s="540"/>
      <c r="I82" s="540"/>
      <c r="J82" s="540"/>
      <c r="K82" s="541"/>
      <c r="L82" s="542"/>
      <c r="M82" s="543"/>
      <c r="N82" s="2977"/>
      <c r="O82" s="2977"/>
      <c r="P82" s="3002"/>
      <c r="Q82" s="2963"/>
      <c r="R82" s="2949"/>
      <c r="S82" s="2949"/>
      <c r="T82" s="2949"/>
      <c r="U82" s="2949"/>
      <c r="V82" s="2949"/>
      <c r="W82" s="2949"/>
      <c r="X82" s="2949"/>
      <c r="Y82" s="2949"/>
      <c r="Z82" s="2949"/>
      <c r="AA82" s="2949"/>
      <c r="AB82" s="2949"/>
      <c r="AC82" s="2949"/>
      <c r="AD82" s="294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6"/>
      <c r="B84" s="495" t="s">
        <v>2562</v>
      </c>
      <c r="C84" s="511"/>
      <c r="D84" s="511"/>
      <c r="E84" s="511"/>
      <c r="F84" s="511"/>
      <c r="G84" s="511"/>
      <c r="H84" s="511"/>
      <c r="I84" s="540"/>
      <c r="J84" s="540"/>
      <c r="K84" s="541"/>
      <c r="L84" s="542"/>
      <c r="M84" s="543"/>
      <c r="N84" s="2977"/>
      <c r="O84" s="2977"/>
      <c r="P84" s="3002"/>
      <c r="Q84" s="2963"/>
      <c r="R84" s="2949"/>
      <c r="S84" s="2949"/>
      <c r="T84" s="2949"/>
      <c r="U84" s="2949"/>
      <c r="V84" s="2949"/>
      <c r="W84" s="2949"/>
      <c r="X84" s="2949"/>
      <c r="Y84" s="2949"/>
      <c r="Z84" s="2949"/>
      <c r="AA84" s="2949"/>
      <c r="AB84" s="2949"/>
      <c r="AC84" s="2949"/>
      <c r="AD84" s="294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6"/>
      <c r="B87" s="503"/>
      <c r="C87" s="552"/>
      <c r="D87" s="552"/>
      <c r="E87" s="552"/>
      <c r="F87" s="552"/>
      <c r="G87" s="552"/>
      <c r="H87" s="552"/>
      <c r="I87" s="552"/>
      <c r="J87" s="553"/>
      <c r="K87" s="553"/>
      <c r="L87" s="554"/>
      <c r="M87" s="555"/>
      <c r="N87" s="2977"/>
      <c r="O87" s="2977"/>
      <c r="P87" s="3002"/>
      <c r="Q87" s="2963"/>
      <c r="R87" s="2949"/>
      <c r="S87" s="2949"/>
      <c r="T87" s="2949"/>
      <c r="U87" s="2949"/>
      <c r="V87" s="2949"/>
      <c r="W87" s="2949"/>
      <c r="X87" s="2949"/>
      <c r="Y87" s="2949"/>
      <c r="Z87" s="2949"/>
      <c r="AA87" s="2949"/>
      <c r="AB87" s="2949"/>
      <c r="AC87" s="2949"/>
      <c r="AD87" s="2949"/>
    </row>
    <row r="88" spans="1:30" ht="15.75" thickBot="1">
      <c r="A88" s="491"/>
      <c r="B88" s="500"/>
      <c r="C88" s="517"/>
      <c r="D88" s="493"/>
      <c r="E88" s="493"/>
      <c r="F88" s="493"/>
      <c r="G88" s="493"/>
      <c r="H88" s="493"/>
      <c r="I88" s="493"/>
      <c r="J88" s="493"/>
      <c r="K88" s="493"/>
      <c r="L88" s="493"/>
      <c r="M88" s="493"/>
      <c r="N88" s="2978"/>
      <c r="O88" s="2978"/>
      <c r="P88" s="3002"/>
      <c r="Q88" s="2963"/>
      <c r="R88" s="2949"/>
      <c r="S88" s="2949"/>
      <c r="T88" s="2949"/>
      <c r="U88" s="2949"/>
      <c r="V88" s="2949"/>
      <c r="W88" s="2949"/>
      <c r="X88" s="2949"/>
      <c r="Y88" s="2949"/>
      <c r="Z88" s="2949"/>
      <c r="AA88" s="2949"/>
      <c r="AB88" s="2949"/>
      <c r="AC88" s="2949"/>
      <c r="AD88" s="2949"/>
    </row>
    <row r="89" spans="1:30" s="430" customFormat="1" ht="15" thickTop="1">
      <c r="A89" s="550"/>
      <c r="B89" s="495" t="s">
        <v>2564</v>
      </c>
      <c r="C89" s="511"/>
      <c r="D89" s="511"/>
      <c r="E89" s="511"/>
      <c r="F89" s="511"/>
      <c r="G89" s="511"/>
      <c r="H89" s="511"/>
      <c r="I89" s="511"/>
      <c r="J89" s="511"/>
      <c r="K89" s="511"/>
      <c r="L89" s="511"/>
      <c r="M89" s="538"/>
      <c r="N89" s="2979"/>
      <c r="O89" s="2979"/>
      <c r="P89" s="3003"/>
      <c r="Q89" s="2970"/>
      <c r="R89" s="2971"/>
      <c r="S89" s="2971"/>
      <c r="T89" s="2971"/>
      <c r="U89" s="2971"/>
      <c r="V89" s="2971"/>
      <c r="W89" s="2971"/>
      <c r="X89" s="2971"/>
      <c r="Y89" s="2971"/>
      <c r="Z89" s="2971"/>
      <c r="AA89" s="2971"/>
      <c r="AB89" s="2971"/>
      <c r="AC89" s="2971"/>
      <c r="AD89" s="2971"/>
    </row>
    <row r="90" spans="1:30" s="430" customFormat="1" ht="15.75" thickBot="1">
      <c r="A90" s="510"/>
      <c r="B90" s="500"/>
      <c r="C90" s="517"/>
      <c r="D90" s="493"/>
      <c r="E90" s="493"/>
      <c r="F90" s="493"/>
      <c r="G90" s="493"/>
      <c r="H90" s="493"/>
      <c r="I90" s="493"/>
      <c r="J90" s="493"/>
      <c r="K90" s="493"/>
      <c r="L90" s="493"/>
      <c r="M90" s="494"/>
      <c r="N90" s="2979"/>
      <c r="O90" s="2979"/>
      <c r="P90" s="3003"/>
      <c r="Q90" s="2970"/>
      <c r="R90" s="2971"/>
      <c r="S90" s="2971"/>
      <c r="T90" s="2971"/>
      <c r="U90" s="2971"/>
      <c r="V90" s="2971"/>
      <c r="W90" s="2971"/>
      <c r="X90" s="2971"/>
      <c r="Y90" s="2971"/>
      <c r="Z90" s="2971"/>
      <c r="AA90" s="2971"/>
      <c r="AB90" s="2971"/>
      <c r="AC90" s="2971"/>
      <c r="AD90" s="2971"/>
    </row>
    <row r="91" spans="1:30" ht="15" thickTop="1">
      <c r="A91" s="556"/>
      <c r="B91" s="495">
        <f>B32</f>
        <v>111</v>
      </c>
      <c r="C91" s="506"/>
      <c r="D91" s="506"/>
      <c r="E91" s="506"/>
      <c r="F91" s="506"/>
      <c r="G91" s="511"/>
      <c r="H91" s="512"/>
      <c r="I91" s="512"/>
      <c r="J91" s="512"/>
      <c r="K91" s="512"/>
      <c r="L91" s="513"/>
      <c r="M91" s="514"/>
      <c r="N91" s="2977"/>
      <c r="O91" s="2977"/>
      <c r="P91" s="3002"/>
      <c r="Q91" s="2963"/>
      <c r="R91" s="2949"/>
      <c r="S91" s="2949"/>
      <c r="T91" s="2949"/>
      <c r="U91" s="2949"/>
      <c r="V91" s="2949"/>
      <c r="W91" s="2949"/>
      <c r="X91" s="2949"/>
      <c r="Y91" s="2949"/>
      <c r="Z91" s="2949"/>
      <c r="AA91" s="2949"/>
      <c r="AB91" s="2949"/>
      <c r="AC91" s="2949"/>
      <c r="AD91" s="2949"/>
    </row>
    <row r="92" spans="1:30" ht="15.75" thickBot="1">
      <c r="A92" s="491"/>
      <c r="B92" s="500"/>
      <c r="C92" s="517"/>
      <c r="D92" s="493"/>
      <c r="E92" s="493"/>
      <c r="F92" s="493"/>
      <c r="G92" s="517"/>
      <c r="H92" s="519"/>
      <c r="I92" s="519"/>
      <c r="J92" s="519"/>
      <c r="K92" s="519"/>
      <c r="L92" s="519"/>
      <c r="M92" s="520"/>
      <c r="N92" s="2978"/>
      <c r="O92" s="2978"/>
      <c r="P92" s="3002"/>
      <c r="Q92" s="2963"/>
      <c r="R92" s="2949"/>
      <c r="S92" s="2949"/>
      <c r="T92" s="2949"/>
      <c r="U92" s="2949"/>
      <c r="V92" s="2949"/>
      <c r="W92" s="2949"/>
      <c r="X92" s="2949"/>
      <c r="Y92" s="2949"/>
      <c r="Z92" s="2949"/>
      <c r="AA92" s="2949"/>
      <c r="AB92" s="2949"/>
      <c r="AC92" s="2949"/>
      <c r="AD92" s="2949"/>
    </row>
    <row r="93" spans="1:30" ht="15" thickTop="1">
      <c r="A93" s="556"/>
      <c r="B93" s="495">
        <f>B33</f>
        <v>111</v>
      </c>
      <c r="C93" s="506"/>
      <c r="D93" s="506"/>
      <c r="E93" s="506"/>
      <c r="F93" s="506"/>
      <c r="G93" s="511"/>
      <c r="H93" s="512"/>
      <c r="I93" s="512"/>
      <c r="J93" s="512"/>
      <c r="K93" s="512"/>
      <c r="L93" s="513"/>
      <c r="M93" s="514"/>
      <c r="N93" s="2977"/>
      <c r="O93" s="2977"/>
      <c r="P93" s="3002"/>
      <c r="Q93" s="2963"/>
      <c r="R93" s="2949"/>
      <c r="S93" s="2949"/>
      <c r="T93" s="2949"/>
      <c r="U93" s="2949"/>
      <c r="V93" s="2949"/>
      <c r="W93" s="2949"/>
      <c r="X93" s="2949"/>
      <c r="Y93" s="2949"/>
      <c r="Z93" s="2949"/>
      <c r="AA93" s="2949"/>
      <c r="AB93" s="2949"/>
      <c r="AC93" s="2949"/>
      <c r="AD93" s="2949"/>
    </row>
    <row r="94" spans="1:30" ht="15.75" thickBot="1">
      <c r="A94" s="491"/>
      <c r="B94" s="500"/>
      <c r="C94" s="517"/>
      <c r="D94" s="493"/>
      <c r="E94" s="493"/>
      <c r="F94" s="493"/>
      <c r="G94" s="517"/>
      <c r="H94" s="519"/>
      <c r="I94" s="519"/>
      <c r="J94" s="519"/>
      <c r="K94" s="519"/>
      <c r="L94" s="519"/>
      <c r="M94" s="520"/>
      <c r="N94" s="2978"/>
      <c r="O94" s="2978"/>
      <c r="P94" s="3002"/>
      <c r="Q94" s="2963"/>
      <c r="R94" s="2949"/>
      <c r="S94" s="2949"/>
      <c r="T94" s="2949"/>
      <c r="U94" s="2949"/>
      <c r="V94" s="2949"/>
      <c r="W94" s="2949"/>
      <c r="X94" s="2949"/>
      <c r="Y94" s="2949"/>
      <c r="Z94" s="2949"/>
      <c r="AA94" s="2949"/>
      <c r="AB94" s="2949"/>
      <c r="AC94" s="2949"/>
      <c r="AD94" s="2949"/>
    </row>
    <row r="95" spans="1:30" ht="15" thickTop="1">
      <c r="A95" s="556"/>
      <c r="B95" s="592">
        <f>B34</f>
        <v>111</v>
      </c>
      <c r="C95" s="506"/>
      <c r="D95" s="506"/>
      <c r="E95" s="506"/>
      <c r="F95" s="506"/>
      <c r="G95" s="511"/>
      <c r="H95" s="512"/>
      <c r="I95" s="512"/>
      <c r="J95" s="512"/>
      <c r="K95" s="512"/>
      <c r="L95" s="513"/>
      <c r="M95" s="514"/>
      <c r="N95" s="2978"/>
      <c r="O95" s="2978"/>
      <c r="P95" s="3005"/>
      <c r="Q95" s="2992"/>
      <c r="R95" s="2949"/>
      <c r="S95" s="2949"/>
      <c r="T95" s="2949"/>
      <c r="U95" s="2949"/>
      <c r="V95" s="2949"/>
      <c r="W95" s="2949"/>
      <c r="X95" s="2949"/>
      <c r="Y95" s="2949"/>
      <c r="Z95" s="2949"/>
      <c r="AA95" s="2949"/>
      <c r="AB95" s="2949"/>
      <c r="AC95" s="2949"/>
      <c r="AD95" s="2949"/>
    </row>
    <row r="96" spans="1:30" ht="15.75" thickBot="1">
      <c r="A96" s="491"/>
      <c r="B96" s="500"/>
      <c r="C96" s="517"/>
      <c r="D96" s="517"/>
      <c r="E96" s="517"/>
      <c r="F96" s="517"/>
      <c r="G96" s="517"/>
      <c r="H96" s="519"/>
      <c r="I96" s="519"/>
      <c r="J96" s="519"/>
      <c r="K96" s="519"/>
      <c r="L96" s="519"/>
      <c r="M96" s="520"/>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7"/>
      <c r="B98" s="1067"/>
      <c r="C98" s="1067"/>
      <c r="D98" s="1067"/>
      <c r="E98" s="1067"/>
      <c r="F98" s="1067"/>
      <c r="G98" s="1067"/>
      <c r="H98" s="1067"/>
      <c r="I98" s="1067"/>
      <c r="J98" s="1067"/>
      <c r="K98" s="1068"/>
      <c r="L98" s="1069"/>
      <c r="M98" s="1067"/>
      <c r="N98" s="2949"/>
      <c r="O98" s="2949"/>
      <c r="P98" s="2949"/>
      <c r="Q98" s="2949"/>
      <c r="R98" s="2949"/>
      <c r="S98" s="2949"/>
      <c r="T98" s="2949"/>
      <c r="U98" s="2949"/>
      <c r="V98" s="2949"/>
      <c r="W98" s="2949"/>
      <c r="X98" s="2949"/>
      <c r="Y98" s="2949"/>
      <c r="Z98" s="2949"/>
      <c r="AA98" s="2949"/>
      <c r="AB98" s="2949"/>
      <c r="AC98" s="2949"/>
      <c r="AD98" s="2949"/>
    </row>
    <row r="99" spans="1:30">
      <c r="A99" s="1067"/>
      <c r="B99" s="1067"/>
      <c r="C99" s="1067"/>
      <c r="D99" s="1067"/>
      <c r="E99" s="1067"/>
      <c r="F99" s="1067"/>
      <c r="G99" s="1067"/>
      <c r="H99" s="1067"/>
      <c r="I99" s="1067"/>
      <c r="J99" s="1067"/>
      <c r="K99" s="1068"/>
      <c r="L99" s="1069"/>
      <c r="M99" s="1067"/>
      <c r="N99" s="2949"/>
      <c r="O99" s="2949"/>
      <c r="P99" s="2949"/>
      <c r="Q99" s="2949"/>
      <c r="R99" s="2949"/>
      <c r="S99" s="2949"/>
      <c r="T99" s="2949"/>
      <c r="U99" s="2949"/>
      <c r="V99" s="2949"/>
      <c r="W99" s="2949"/>
      <c r="X99" s="2949"/>
      <c r="Y99" s="2949"/>
      <c r="Z99" s="2949"/>
      <c r="AA99" s="2949"/>
      <c r="AB99" s="2949"/>
      <c r="AC99" s="2949"/>
      <c r="AD99" s="2949"/>
    </row>
    <row r="100" spans="1:30">
      <c r="A100" s="1067"/>
      <c r="B100" s="1067"/>
      <c r="C100" s="1067"/>
      <c r="D100" s="1067"/>
      <c r="E100" s="1067"/>
      <c r="F100" s="1067"/>
      <c r="G100" s="1067"/>
      <c r="H100" s="1067"/>
      <c r="I100" s="1067"/>
      <c r="J100" s="1067"/>
      <c r="K100" s="1068"/>
      <c r="L100" s="1069"/>
      <c r="M100" s="1067"/>
      <c r="N100" s="2949"/>
      <c r="O100" s="2949"/>
      <c r="P100" s="2949"/>
      <c r="Q100" s="2949"/>
      <c r="R100" s="2949"/>
      <c r="S100" s="2949"/>
      <c r="T100" s="2949"/>
      <c r="U100" s="2949"/>
      <c r="V100" s="2949"/>
      <c r="W100" s="2949"/>
      <c r="X100" s="2949"/>
      <c r="Y100" s="2949"/>
      <c r="Z100" s="2949"/>
      <c r="AA100" s="2949"/>
      <c r="AB100" s="2949"/>
      <c r="AC100" s="2949"/>
      <c r="AD100" s="2949"/>
    </row>
    <row r="101" spans="1:30">
      <c r="A101" s="1067"/>
      <c r="B101" s="1067"/>
      <c r="C101" s="1067"/>
      <c r="D101" s="1067"/>
      <c r="E101" s="1067"/>
      <c r="F101" s="1067"/>
      <c r="G101" s="1067"/>
      <c r="H101" s="1067"/>
      <c r="I101" s="1067"/>
      <c r="J101" s="1067"/>
      <c r="K101" s="1068"/>
      <c r="L101" s="1069"/>
      <c r="M101" s="1067"/>
      <c r="N101" s="2949"/>
      <c r="O101" s="2949"/>
      <c r="P101" s="2949"/>
      <c r="Q101" s="2949"/>
      <c r="R101" s="2949"/>
      <c r="S101" s="2949"/>
      <c r="T101" s="2949"/>
      <c r="U101" s="2949"/>
      <c r="V101" s="2949"/>
      <c r="W101" s="2949"/>
      <c r="X101" s="2949"/>
      <c r="Y101" s="2949"/>
      <c r="Z101" s="2949"/>
      <c r="AA101" s="2949"/>
      <c r="AB101" s="2949"/>
      <c r="AC101" s="2949"/>
      <c r="AD101" s="2949"/>
    </row>
    <row r="102" spans="1:30">
      <c r="A102" s="1067"/>
      <c r="B102" s="1067"/>
      <c r="C102" s="1067"/>
      <c r="D102" s="1067"/>
      <c r="E102" s="1067"/>
      <c r="F102" s="1067"/>
      <c r="G102" s="1067"/>
      <c r="H102" s="1067"/>
      <c r="I102" s="1067"/>
      <c r="J102" s="1067"/>
      <c r="K102" s="1068"/>
      <c r="L102" s="1069"/>
      <c r="M102" s="1067"/>
      <c r="N102" s="2949"/>
      <c r="O102" s="2949"/>
      <c r="P102" s="2949"/>
      <c r="Q102" s="2949"/>
      <c r="R102" s="2949"/>
      <c r="S102" s="2949"/>
      <c r="T102" s="2949"/>
      <c r="U102" s="2949"/>
      <c r="V102" s="2949"/>
      <c r="W102" s="2949"/>
      <c r="X102" s="2949"/>
      <c r="Y102" s="2949"/>
      <c r="Z102" s="2949"/>
      <c r="AA102" s="2949"/>
      <c r="AB102" s="2949"/>
      <c r="AC102" s="2949"/>
      <c r="AD102" s="2949"/>
    </row>
    <row r="103" spans="1:30">
      <c r="A103" s="1067"/>
      <c r="B103" s="1067"/>
      <c r="C103" s="1067"/>
      <c r="D103" s="1067"/>
      <c r="E103" s="1067"/>
      <c r="F103" s="1067"/>
      <c r="G103" s="1067"/>
      <c r="H103" s="1067"/>
      <c r="I103" s="1067"/>
      <c r="J103" s="1067"/>
      <c r="K103" s="1068"/>
      <c r="L103" s="1069"/>
      <c r="M103" s="1067"/>
      <c r="N103" s="1067"/>
      <c r="O103" s="1067"/>
      <c r="P103" s="2949"/>
      <c r="Q103" s="2949"/>
      <c r="R103" s="2949"/>
      <c r="S103" s="2949"/>
      <c r="T103" s="2949"/>
      <c r="U103" s="2949"/>
      <c r="V103" s="2949"/>
      <c r="W103" s="2949"/>
      <c r="X103" s="2949"/>
      <c r="Y103" s="2949"/>
      <c r="Z103" s="2949"/>
      <c r="AA103" s="2949"/>
      <c r="AB103" s="2949"/>
      <c r="AC103" s="2949"/>
      <c r="AD103" s="2949"/>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9.5" thickBot="1">
      <c r="A4" s="1679"/>
      <c r="B4" s="3238" t="s">
        <v>1595</v>
      </c>
      <c r="C4" s="3238"/>
      <c r="D4" s="3238"/>
      <c r="E4" s="1679"/>
    </row>
    <row r="5" spans="1:5" ht="16.5" thickTop="1">
      <c r="A5" s="1677"/>
      <c r="B5" s="3236" t="s">
        <v>1587</v>
      </c>
      <c r="C5" s="1680" t="s">
        <v>1588</v>
      </c>
      <c r="D5" s="959">
        <f ca="1">结果表!H101</f>
        <v>39669</v>
      </c>
      <c r="E5" s="1677"/>
    </row>
    <row r="6" spans="1:5" ht="15.75">
      <c r="A6" s="1677"/>
      <c r="B6" s="3236"/>
      <c r="C6" s="1680" t="s">
        <v>1589</v>
      </c>
      <c r="D6" s="959" t="str">
        <f ca="1">NUMBERSTRING(INT(D5*10000),2)&amp;"元整"</f>
        <v>叁亿玖仟陆佰陆拾玖万元整</v>
      </c>
      <c r="E6" s="1677"/>
    </row>
    <row r="7" spans="1:5" ht="15.75">
      <c r="A7" s="1677"/>
      <c r="B7" s="3241"/>
      <c r="C7" s="1681" t="s">
        <v>1590</v>
      </c>
      <c r="D7" s="960">
        <f ca="1">结果表!H102</f>
        <v>8843</v>
      </c>
      <c r="E7" s="1677"/>
    </row>
    <row r="8" spans="1:5" ht="15.75">
      <c r="A8" s="1677"/>
      <c r="B8" s="3242" t="str">
        <f>结果表!E103</f>
        <v>2.估价师知悉的法定优先受偿款</v>
      </c>
      <c r="C8" s="1682" t="s">
        <v>1591</v>
      </c>
      <c r="D8" s="960">
        <f>结果表!H103</f>
        <v>0</v>
      </c>
      <c r="E8" s="1677"/>
    </row>
    <row r="9" spans="1:5" ht="15.75">
      <c r="A9" s="1677"/>
      <c r="B9" s="3244"/>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235" t="str">
        <f>结果表!E107</f>
        <v>3.房地产抵押价值</v>
      </c>
      <c r="C13" s="1685" t="s">
        <v>1588</v>
      </c>
      <c r="D13" s="962">
        <f ca="1">结果表!H107</f>
        <v>39669</v>
      </c>
      <c r="E13" s="1677"/>
    </row>
    <row r="14" spans="1:5" ht="15.75">
      <c r="A14" s="1677"/>
      <c r="B14" s="3236"/>
      <c r="C14" s="1680" t="s">
        <v>1589</v>
      </c>
      <c r="D14" s="959" t="str">
        <f ca="1">NUMBERSTRING(INT(D13*10000),2)&amp;"元整"</f>
        <v>叁亿玖仟陆佰陆拾玖万元整</v>
      </c>
      <c r="E14" s="1677"/>
    </row>
    <row r="15" spans="1:5" ht="15">
      <c r="A15" s="1677"/>
      <c r="B15" s="3241"/>
      <c r="C15" s="1681" t="s">
        <v>1599</v>
      </c>
      <c r="D15" s="968">
        <f ca="1">结果表!H108</f>
        <v>8843</v>
      </c>
      <c r="E15" s="1677"/>
    </row>
    <row r="16" spans="1:5" ht="15">
      <c r="A16" s="1677"/>
      <c r="B16" s="3242" t="str">
        <f>结果表!E109</f>
        <v>——</v>
      </c>
      <c r="C16" s="1685" t="s">
        <v>1600</v>
      </c>
      <c r="D16" s="1686" t="str">
        <f>结果表!H109</f>
        <v>——</v>
      </c>
      <c r="E16" s="1677"/>
    </row>
    <row r="17" spans="1:5" ht="15.75">
      <c r="A17" s="1677"/>
      <c r="B17" s="3243"/>
      <c r="C17" s="1680" t="s">
        <v>1601</v>
      </c>
      <c r="D17" s="959" t="e">
        <f>NUMBERSTRING(INT(D16*10000),2)&amp;"元整"</f>
        <v>#VALUE!</v>
      </c>
      <c r="E17" s="1677"/>
    </row>
    <row r="18" spans="1:5" ht="15">
      <c r="A18" s="1677"/>
      <c r="B18" s="3244"/>
      <c r="C18" s="1681" t="s">
        <v>1590</v>
      </c>
      <c r="D18" s="968" t="str">
        <f>结果表!H110</f>
        <v>——</v>
      </c>
      <c r="E18" s="1677"/>
    </row>
    <row r="19" spans="1:5" ht="15.75">
      <c r="A19" s="1677"/>
      <c r="B19" s="3235" t="str">
        <f>结果表!E111</f>
        <v>4.抵押净值</v>
      </c>
      <c r="C19" s="1685" t="s">
        <v>1588</v>
      </c>
      <c r="D19" s="960">
        <f ca="1">结果表!H111</f>
        <v>37533</v>
      </c>
      <c r="E19" s="1677"/>
    </row>
    <row r="20" spans="1:5" ht="15.75">
      <c r="A20" s="1677"/>
      <c r="B20" s="3236"/>
      <c r="C20" s="1680" t="s">
        <v>1601</v>
      </c>
      <c r="D20" s="959" t="str">
        <f ca="1">NUMBERSTRING(INT(D19*10000),2)&amp;"元整"</f>
        <v>叁亿柒仟伍佰叁拾叁万元整</v>
      </c>
      <c r="E20" s="1677"/>
    </row>
    <row r="21" spans="1:5" ht="15.75" thickBot="1">
      <c r="A21" s="1677"/>
      <c r="B21" s="3237"/>
      <c r="C21" s="1687" t="s">
        <v>1599</v>
      </c>
      <c r="D21" s="969">
        <f ca="1">结果表!H112</f>
        <v>8367</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V4" sqref="V4:W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58"/>
      <c r="M2" s="2959"/>
      <c r="N2" s="2959"/>
      <c r="O2" s="2959"/>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58"/>
      <c r="M3" s="2959"/>
      <c r="N3" s="2959"/>
      <c r="O3" s="2959"/>
      <c r="P3" s="708"/>
      <c r="Q3" s="708"/>
      <c r="R3" s="708"/>
      <c r="S3" s="708"/>
      <c r="T3" s="708"/>
      <c r="U3" s="708"/>
      <c r="V3" s="708"/>
      <c r="W3" s="708"/>
      <c r="X3" s="708"/>
      <c r="Y3" s="708"/>
      <c r="Z3" s="708"/>
      <c r="AA3" s="708"/>
      <c r="AB3" s="725"/>
      <c r="AC3" s="722"/>
    </row>
    <row r="4" spans="1:29" ht="15">
      <c r="A4" s="361" t="s">
        <v>2466</v>
      </c>
      <c r="B4" s="362"/>
      <c r="C4" s="3448" t="s">
        <v>2467</v>
      </c>
      <c r="D4" s="3449"/>
      <c r="E4" s="3450" t="s">
        <v>2468</v>
      </c>
      <c r="F4" s="3451"/>
      <c r="G4" s="3448" t="s">
        <v>2469</v>
      </c>
      <c r="H4" s="3449"/>
      <c r="I4" s="3448" t="s">
        <v>2470</v>
      </c>
      <c r="J4" s="3449"/>
      <c r="K4" s="567" t="s">
        <v>2471</v>
      </c>
      <c r="L4" s="2939"/>
      <c r="M4" s="2940"/>
      <c r="N4" s="2940"/>
      <c r="O4" s="2940"/>
      <c r="P4" s="3452" t="s">
        <v>2472</v>
      </c>
      <c r="Q4" s="3453"/>
      <c r="R4" s="3435" t="s">
        <v>2468</v>
      </c>
      <c r="S4" s="3436"/>
      <c r="T4" s="3435" t="s">
        <v>2469</v>
      </c>
      <c r="U4" s="3436"/>
      <c r="V4" s="3460" t="s">
        <v>2470</v>
      </c>
      <c r="W4" s="3460"/>
      <c r="X4" s="1540"/>
      <c r="Y4" s="3435" t="s">
        <v>2472</v>
      </c>
      <c r="Z4" s="3436"/>
      <c r="AA4" s="3430" t="s">
        <v>2468</v>
      </c>
      <c r="AB4" s="3431" t="s">
        <v>2469</v>
      </c>
      <c r="AC4" s="3430" t="s">
        <v>2470</v>
      </c>
    </row>
    <row r="5" spans="1:29" ht="15">
      <c r="A5" s="364"/>
      <c r="B5" s="365"/>
      <c r="C5" s="3441" t="s">
        <v>2363</v>
      </c>
      <c r="D5" s="3442"/>
      <c r="E5" s="3439" t="s">
        <v>2364</v>
      </c>
      <c r="F5" s="3440"/>
      <c r="G5" s="3441" t="s">
        <v>2365</v>
      </c>
      <c r="H5" s="3442"/>
      <c r="I5" s="3441" t="s">
        <v>2366</v>
      </c>
      <c r="J5" s="3442"/>
      <c r="K5" s="567"/>
      <c r="L5" s="2939"/>
      <c r="M5" s="2940"/>
      <c r="N5" s="2940"/>
      <c r="O5" s="2940"/>
      <c r="P5" s="3454"/>
      <c r="Q5" s="3455"/>
      <c r="R5" s="3437"/>
      <c r="S5" s="3438"/>
      <c r="T5" s="3437"/>
      <c r="U5" s="3438"/>
      <c r="V5" s="3460"/>
      <c r="W5" s="3460"/>
      <c r="X5" s="1540"/>
      <c r="Y5" s="3437"/>
      <c r="Z5" s="3438"/>
      <c r="AA5" s="3431"/>
      <c r="AB5" s="3431"/>
      <c r="AC5" s="3431"/>
    </row>
    <row r="6" spans="1:29" ht="15.75" thickBot="1">
      <c r="A6" s="366"/>
      <c r="B6" s="367"/>
      <c r="C6" s="3546" t="s">
        <v>2618</v>
      </c>
      <c r="D6" s="3547"/>
      <c r="E6" s="3548" t="s">
        <v>2618</v>
      </c>
      <c r="F6" s="3549"/>
      <c r="G6" s="3546" t="s">
        <v>2618</v>
      </c>
      <c r="H6" s="3547"/>
      <c r="I6" s="3546" t="s">
        <v>2618</v>
      </c>
      <c r="J6" s="3547"/>
      <c r="K6" s="567" t="s">
        <v>2368</v>
      </c>
      <c r="L6" s="2939"/>
      <c r="M6" s="2940"/>
      <c r="N6" s="2940"/>
      <c r="O6" s="2940"/>
      <c r="P6" s="3456"/>
      <c r="Q6" s="3457"/>
      <c r="R6" s="3437"/>
      <c r="S6" s="3438"/>
      <c r="T6" s="3458"/>
      <c r="U6" s="3459"/>
      <c r="V6" s="3460"/>
      <c r="W6" s="3460"/>
      <c r="X6" s="1540"/>
      <c r="Y6" s="3458"/>
      <c r="Z6" s="3459"/>
      <c r="AA6" s="3432"/>
      <c r="AB6" s="3432"/>
      <c r="AC6" s="3432"/>
    </row>
    <row r="7" spans="1:29" s="113" customFormat="1" ht="15.75" thickBot="1">
      <c r="A7" s="368" t="s">
        <v>2369</v>
      </c>
      <c r="B7" s="369"/>
      <c r="C7" s="370">
        <f>'数据-取费表'!B2</f>
        <v>44280</v>
      </c>
      <c r="D7" s="371">
        <v>100</v>
      </c>
      <c r="E7" s="372"/>
      <c r="F7" s="373">
        <f>SUMIF(65:65,YEAR(E7)&amp;"-"&amp;INT((MONTH(E7)+2)/3),66:66)</f>
        <v>0</v>
      </c>
      <c r="G7" s="2160"/>
      <c r="H7" s="371">
        <f>SUMIF(65:65,YEAR(G7)&amp;"-"&amp;INT((MONTH(G7)+2)/3),66:66)</f>
        <v>0</v>
      </c>
      <c r="I7" s="2160"/>
      <c r="J7" s="371">
        <f>SUMIF(65:65,YEAR(I7)&amp;"-"&amp;INT((MONTH(I7)+2)/3),66:66)</f>
        <v>0</v>
      </c>
      <c r="K7" s="568"/>
      <c r="L7" s="2941"/>
      <c r="M7" s="2942"/>
      <c r="N7" s="2942"/>
      <c r="O7" s="2942"/>
      <c r="P7" s="3433" t="s">
        <v>2370</v>
      </c>
      <c r="Q7" s="3461"/>
      <c r="R7" s="710" t="s">
        <v>17</v>
      </c>
      <c r="S7" s="711">
        <f t="shared" ref="S7:S15" si="0">F7</f>
        <v>0</v>
      </c>
      <c r="T7" s="710" t="s">
        <v>17</v>
      </c>
      <c r="U7" s="711">
        <f t="shared" ref="U7:U15" si="1">H7</f>
        <v>0</v>
      </c>
      <c r="V7" s="710" t="s">
        <v>17</v>
      </c>
      <c r="W7" s="711">
        <f t="shared" ref="W7:W15" si="2">J7</f>
        <v>0</v>
      </c>
      <c r="X7" s="712"/>
      <c r="Y7" s="3433" t="s">
        <v>2370</v>
      </c>
      <c r="Z7" s="3434"/>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1"/>
      <c r="M8" s="2942"/>
      <c r="N8" s="2942"/>
      <c r="O8" s="2942"/>
      <c r="P8" s="3433" t="s">
        <v>2373</v>
      </c>
      <c r="Q8" s="3434"/>
      <c r="R8" s="710" t="s">
        <v>17</v>
      </c>
      <c r="S8" s="711">
        <f t="shared" si="0"/>
        <v>0</v>
      </c>
      <c r="T8" s="710" t="s">
        <v>17</v>
      </c>
      <c r="U8" s="711">
        <f t="shared" si="1"/>
        <v>0</v>
      </c>
      <c r="V8" s="710" t="s">
        <v>17</v>
      </c>
      <c r="W8" s="711">
        <f t="shared" si="2"/>
        <v>0</v>
      </c>
      <c r="X8" s="712"/>
      <c r="Y8" s="3433" t="s">
        <v>2373</v>
      </c>
      <c r="Z8" s="3434"/>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1"/>
      <c r="M9" s="2942"/>
      <c r="N9" s="2942"/>
      <c r="O9" s="2996"/>
      <c r="P9" s="3447" t="s">
        <v>2376</v>
      </c>
      <c r="Q9" s="1528" t="str">
        <f t="shared" ref="Q9:Q15" si="6">B9</f>
        <v>用途</v>
      </c>
      <c r="R9" s="710" t="s">
        <v>17</v>
      </c>
      <c r="S9" s="711">
        <f t="shared" si="0"/>
        <v>100</v>
      </c>
      <c r="T9" s="710" t="s">
        <v>17</v>
      </c>
      <c r="U9" s="711">
        <f t="shared" si="1"/>
        <v>100</v>
      </c>
      <c r="V9" s="710" t="s">
        <v>17</v>
      </c>
      <c r="W9" s="711">
        <f t="shared" si="2"/>
        <v>100</v>
      </c>
      <c r="X9" s="712"/>
      <c r="Y9" s="3399"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112</v>
      </c>
      <c r="G10" s="391"/>
      <c r="H10" s="132">
        <f>ROUND(100/'数据-取费表'!G16,0)</f>
        <v>112</v>
      </c>
      <c r="I10" s="391"/>
      <c r="J10" s="132">
        <f>ROUND(100/'数据-取费表'!G16,0)</f>
        <v>112</v>
      </c>
      <c r="K10" s="628"/>
      <c r="L10" s="2943"/>
      <c r="M10" s="2944"/>
      <c r="N10" s="2944"/>
      <c r="O10" s="2997"/>
      <c r="P10" s="3447"/>
      <c r="Q10" s="1528" t="str">
        <f t="shared" si="6"/>
        <v>土地使用年限（年）</v>
      </c>
      <c r="R10" s="710" t="s">
        <v>17</v>
      </c>
      <c r="S10" s="711">
        <f t="shared" si="0"/>
        <v>112</v>
      </c>
      <c r="T10" s="710" t="s">
        <v>17</v>
      </c>
      <c r="U10" s="711">
        <f t="shared" si="1"/>
        <v>112</v>
      </c>
      <c r="V10" s="710" t="s">
        <v>17</v>
      </c>
      <c r="W10" s="711">
        <f t="shared" si="2"/>
        <v>112</v>
      </c>
      <c r="X10" s="712"/>
      <c r="Y10" s="3399"/>
      <c r="Z10" s="55" t="str">
        <f t="shared" si="7"/>
        <v>土地使用年限（年）</v>
      </c>
      <c r="AA10" s="713">
        <f t="shared" si="3"/>
        <v>0.8928571428571429</v>
      </c>
      <c r="AB10" s="713">
        <f t="shared" si="4"/>
        <v>0.8928571428571429</v>
      </c>
      <c r="AC10" s="713">
        <f t="shared" si="5"/>
        <v>0.8928571428571429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5"/>
      <c r="M11" s="2940"/>
      <c r="N11" s="2940"/>
      <c r="O11" s="2998"/>
      <c r="P11" s="3447"/>
      <c r="Q11" s="152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1"/>
      <c r="M12" s="2942"/>
      <c r="N12" s="2942"/>
      <c r="O12" s="2996"/>
      <c r="P12" s="3447"/>
      <c r="Q12" s="152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6"/>
      <c r="M13" s="2940"/>
      <c r="N13" s="2940"/>
      <c r="O13" s="2998"/>
      <c r="P13" s="3447"/>
      <c r="Q13" s="152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6"/>
      <c r="M14" s="2940"/>
      <c r="N14" s="2940"/>
      <c r="O14" s="2998"/>
      <c r="P14" s="3447"/>
      <c r="Q14" s="152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6"/>
      <c r="M15" s="2940"/>
      <c r="N15" s="2940"/>
      <c r="O15" s="2998"/>
      <c r="P15" s="3462" t="s">
        <v>2381</v>
      </c>
      <c r="Q15" s="1537" t="str">
        <f t="shared" si="6"/>
        <v>产业集聚程度</v>
      </c>
      <c r="R15" s="714" t="s">
        <v>17</v>
      </c>
      <c r="S15" s="715">
        <f t="shared" si="0"/>
        <v>100</v>
      </c>
      <c r="T15" s="714" t="s">
        <v>17</v>
      </c>
      <c r="U15" s="715">
        <f t="shared" si="1"/>
        <v>100</v>
      </c>
      <c r="V15" s="714" t="s">
        <v>17</v>
      </c>
      <c r="W15" s="715">
        <f t="shared" si="2"/>
        <v>100</v>
      </c>
      <c r="X15" s="1540"/>
      <c r="Y15" s="3462" t="s">
        <v>2381</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46"/>
      <c r="M16" s="2940"/>
      <c r="N16" s="2940"/>
      <c r="O16" s="2998"/>
      <c r="P16" s="3463"/>
      <c r="Q16" s="1537"/>
      <c r="R16" s="714"/>
      <c r="S16" s="715"/>
      <c r="T16" s="714"/>
      <c r="U16" s="715"/>
      <c r="V16" s="714"/>
      <c r="W16" s="715"/>
      <c r="X16" s="1540"/>
      <c r="Y16" s="3463"/>
      <c r="Z16" s="1541"/>
      <c r="AA16" s="1538">
        <v>1</v>
      </c>
      <c r="AB16" s="1538">
        <v>1</v>
      </c>
      <c r="AC16" s="1538">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6"/>
      <c r="M17" s="2940"/>
      <c r="N17" s="2940"/>
      <c r="O17" s="2998"/>
      <c r="P17" s="3463"/>
      <c r="Q17" s="1537" t="str">
        <f>B17</f>
        <v>交通便捷度</v>
      </c>
      <c r="R17" s="714" t="s">
        <v>17</v>
      </c>
      <c r="S17" s="715">
        <f>F17</f>
        <v>100</v>
      </c>
      <c r="T17" s="714" t="s">
        <v>17</v>
      </c>
      <c r="U17" s="715">
        <f>H17</f>
        <v>100</v>
      </c>
      <c r="V17" s="714" t="s">
        <v>17</v>
      </c>
      <c r="W17" s="715">
        <f>J17</f>
        <v>100</v>
      </c>
      <c r="X17" s="1540"/>
      <c r="Y17" s="3463"/>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46"/>
      <c r="M18" s="2940"/>
      <c r="N18" s="2940"/>
      <c r="O18" s="2998"/>
      <c r="P18" s="3463"/>
      <c r="Q18" s="1537"/>
      <c r="R18" s="714"/>
      <c r="S18" s="715"/>
      <c r="T18" s="714"/>
      <c r="U18" s="715"/>
      <c r="V18" s="714"/>
      <c r="W18" s="715"/>
      <c r="X18" s="1540"/>
      <c r="Y18" s="3463"/>
      <c r="Z18" s="1541"/>
      <c r="AA18" s="1538">
        <v>1</v>
      </c>
      <c r="AB18" s="1538">
        <v>1</v>
      </c>
      <c r="AC18" s="1538">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6"/>
      <c r="M19" s="2940"/>
      <c r="N19" s="2940"/>
      <c r="O19" s="2998"/>
      <c r="P19" s="3463"/>
      <c r="Q19" s="1537" t="str">
        <f t="shared" ref="Q19:Q33" si="8">B19</f>
        <v>区域土地利用方向</v>
      </c>
      <c r="R19" s="714" t="s">
        <v>17</v>
      </c>
      <c r="S19" s="715">
        <f>F19</f>
        <v>100</v>
      </c>
      <c r="T19" s="714" t="s">
        <v>17</v>
      </c>
      <c r="U19" s="715">
        <f>H19</f>
        <v>100</v>
      </c>
      <c r="V19" s="714" t="s">
        <v>17</v>
      </c>
      <c r="W19" s="715">
        <f>J19</f>
        <v>100</v>
      </c>
      <c r="X19" s="1540"/>
      <c r="Y19" s="3463"/>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46"/>
      <c r="M20" s="2940"/>
      <c r="N20" s="2940"/>
      <c r="O20" s="2998"/>
      <c r="P20" s="3463"/>
      <c r="Q20" s="1537"/>
      <c r="R20" s="714"/>
      <c r="S20" s="715"/>
      <c r="T20" s="714"/>
      <c r="U20" s="715"/>
      <c r="V20" s="714"/>
      <c r="W20" s="715"/>
      <c r="X20" s="1540"/>
      <c r="Y20" s="3463"/>
      <c r="Z20" s="1541"/>
      <c r="AA20" s="1538"/>
      <c r="AB20" s="1538"/>
      <c r="AC20" s="1538"/>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6"/>
      <c r="M21" s="2940"/>
      <c r="N21" s="2940"/>
      <c r="O21" s="2998"/>
      <c r="P21" s="3463"/>
      <c r="Q21" s="1537" t="str">
        <f t="shared" si="8"/>
        <v>环境状况</v>
      </c>
      <c r="R21" s="714" t="s">
        <v>17</v>
      </c>
      <c r="S21" s="715">
        <f>F21</f>
        <v>100</v>
      </c>
      <c r="T21" s="714" t="s">
        <v>17</v>
      </c>
      <c r="U21" s="715">
        <f>H21</f>
        <v>100</v>
      </c>
      <c r="V21" s="714" t="s">
        <v>17</v>
      </c>
      <c r="W21" s="715">
        <f>J21</f>
        <v>100</v>
      </c>
      <c r="X21" s="1540"/>
      <c r="Y21" s="3463"/>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46"/>
      <c r="M22" s="2940"/>
      <c r="N22" s="2940"/>
      <c r="O22" s="2998"/>
      <c r="P22" s="3463"/>
      <c r="Q22" s="1537"/>
      <c r="R22" s="714"/>
      <c r="S22" s="715"/>
      <c r="T22" s="714"/>
      <c r="U22" s="715"/>
      <c r="V22" s="714"/>
      <c r="W22" s="715"/>
      <c r="X22" s="1540"/>
      <c r="Y22" s="3463"/>
      <c r="Z22" s="1541"/>
      <c r="AA22" s="1538">
        <v>1</v>
      </c>
      <c r="AB22" s="1538">
        <v>1</v>
      </c>
      <c r="AC22" s="1538">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1"/>
      <c r="M23" s="2942"/>
      <c r="N23" s="2942"/>
      <c r="O23" s="2996"/>
      <c r="P23" s="3463"/>
      <c r="Q23" s="1528" t="str">
        <f t="shared" si="8"/>
        <v>公共配套设施</v>
      </c>
      <c r="R23" s="710" t="s">
        <v>17</v>
      </c>
      <c r="S23" s="711">
        <f>F23</f>
        <v>100</v>
      </c>
      <c r="T23" s="710" t="s">
        <v>17</v>
      </c>
      <c r="U23" s="711">
        <f>H23</f>
        <v>100</v>
      </c>
      <c r="V23" s="710" t="s">
        <v>17</v>
      </c>
      <c r="W23" s="711">
        <f>J23</f>
        <v>100</v>
      </c>
      <c r="X23" s="712"/>
      <c r="Y23" s="3463"/>
      <c r="Z23" s="55" t="str">
        <f>Q23</f>
        <v>公共配套设施</v>
      </c>
      <c r="AA23" s="1538">
        <f>D23/F23</f>
        <v>1</v>
      </c>
      <c r="AB23" s="1538">
        <f>D23/H23</f>
        <v>1</v>
      </c>
      <c r="AC23" s="1538">
        <f>D23/J23</f>
        <v>1</v>
      </c>
    </row>
    <row r="24" spans="1:29" s="113" customFormat="1" ht="15">
      <c r="A24" s="605"/>
      <c r="B24" s="588"/>
      <c r="C24" s="2164"/>
      <c r="D24" s="407"/>
      <c r="E24" s="2090"/>
      <c r="F24" s="407"/>
      <c r="G24" s="2090"/>
      <c r="H24" s="407"/>
      <c r="I24" s="406"/>
      <c r="J24" s="407"/>
      <c r="K24" s="628"/>
      <c r="L24" s="2941"/>
      <c r="M24" s="2942"/>
      <c r="N24" s="2942"/>
      <c r="O24" s="2996"/>
      <c r="P24" s="3463"/>
      <c r="Q24" s="1528"/>
      <c r="R24" s="710"/>
      <c r="S24" s="711"/>
      <c r="T24" s="710"/>
      <c r="U24" s="711"/>
      <c r="V24" s="710"/>
      <c r="W24" s="711"/>
      <c r="X24" s="712"/>
      <c r="Y24" s="3463"/>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1"/>
      <c r="M25" s="2942"/>
      <c r="N25" s="2942"/>
      <c r="O25" s="2996"/>
      <c r="P25" s="3463"/>
      <c r="Q25" s="1528" t="str">
        <f t="shared" ref="Q25" si="9">B25</f>
        <v>基础设施水平</v>
      </c>
      <c r="R25" s="710" t="s">
        <v>17</v>
      </c>
      <c r="S25" s="711">
        <f>F25</f>
        <v>100</v>
      </c>
      <c r="T25" s="710" t="s">
        <v>17</v>
      </c>
      <c r="U25" s="711">
        <f>H25</f>
        <v>100</v>
      </c>
      <c r="V25" s="710" t="s">
        <v>17</v>
      </c>
      <c r="W25" s="711">
        <f>J25</f>
        <v>100</v>
      </c>
      <c r="X25" s="712"/>
      <c r="Y25" s="3463"/>
      <c r="Z25" s="55" t="str">
        <f>Q25</f>
        <v>基础设施水平</v>
      </c>
      <c r="AA25" s="1538">
        <f>D25/F25</f>
        <v>1</v>
      </c>
      <c r="AB25" s="1538">
        <f>D25/H25</f>
        <v>1</v>
      </c>
      <c r="AC25" s="1538">
        <f>D25/J25</f>
        <v>1</v>
      </c>
    </row>
    <row r="26" spans="1:29" s="113" customFormat="1" ht="15">
      <c r="A26" s="605"/>
      <c r="B26" s="588"/>
      <c r="C26" s="2164"/>
      <c r="D26" s="407"/>
      <c r="E26" s="2165"/>
      <c r="F26" s="407"/>
      <c r="G26" s="2165"/>
      <c r="H26" s="407"/>
      <c r="I26" s="2165"/>
      <c r="J26" s="407"/>
      <c r="K26" s="628"/>
      <c r="L26" s="2941"/>
      <c r="M26" s="2942"/>
      <c r="N26" s="2942"/>
      <c r="O26" s="2996"/>
      <c r="P26" s="3463"/>
      <c r="Q26" s="1528"/>
      <c r="R26" s="710"/>
      <c r="S26" s="711"/>
      <c r="T26" s="710"/>
      <c r="U26" s="711"/>
      <c r="V26" s="710"/>
      <c r="W26" s="711"/>
      <c r="X26" s="712"/>
      <c r="Y26" s="3463"/>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6"/>
      <c r="M27" s="2940"/>
      <c r="N27" s="2940"/>
      <c r="O27" s="2998"/>
      <c r="P27" s="3463"/>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463"/>
      <c r="Z27" s="1541" t="str">
        <f t="shared" ref="Z27:Z40" si="13">Q27</f>
        <v>临街状况</v>
      </c>
      <c r="AA27" s="1538">
        <f t="shared" si="3"/>
        <v>1</v>
      </c>
      <c r="AB27" s="1538">
        <f t="shared" si="4"/>
        <v>1</v>
      </c>
      <c r="AC27" s="1538">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6"/>
      <c r="M28" s="2940"/>
      <c r="N28" s="2940"/>
      <c r="O28" s="2998"/>
      <c r="P28" s="3463"/>
      <c r="Q28" s="1537" t="str">
        <f t="shared" si="8"/>
        <v>毗邻道路的类型与等级</v>
      </c>
      <c r="R28" s="714" t="s">
        <v>17</v>
      </c>
      <c r="S28" s="715">
        <f t="shared" si="10"/>
        <v>100</v>
      </c>
      <c r="T28" s="714" t="s">
        <v>17</v>
      </c>
      <c r="U28" s="715">
        <f t="shared" si="11"/>
        <v>100</v>
      </c>
      <c r="V28" s="714" t="s">
        <v>17</v>
      </c>
      <c r="W28" s="715">
        <f t="shared" si="12"/>
        <v>100</v>
      </c>
      <c r="X28" s="1540"/>
      <c r="Y28" s="3463"/>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46"/>
      <c r="M29" s="2940"/>
      <c r="N29" s="2940"/>
      <c r="O29" s="2998"/>
      <c r="P29" s="3463"/>
      <c r="Q29" s="1537"/>
      <c r="R29" s="714"/>
      <c r="S29" s="715"/>
      <c r="T29" s="714"/>
      <c r="U29" s="715"/>
      <c r="V29" s="714"/>
      <c r="W29" s="715"/>
      <c r="X29" s="1540"/>
      <c r="Y29" s="3463"/>
      <c r="Z29" s="1541"/>
      <c r="AA29" s="1538">
        <v>1</v>
      </c>
      <c r="AB29" s="1538">
        <v>1</v>
      </c>
      <c r="AC29" s="1538">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6"/>
      <c r="M30" s="2940"/>
      <c r="N30" s="2940"/>
      <c r="O30" s="2998"/>
      <c r="P30" s="3463"/>
      <c r="Q30" s="1537" t="str">
        <f t="shared" si="8"/>
        <v>土地级别</v>
      </c>
      <c r="R30" s="714" t="s">
        <v>17</v>
      </c>
      <c r="S30" s="715">
        <f t="shared" si="10"/>
        <v>100</v>
      </c>
      <c r="T30" s="714" t="s">
        <v>17</v>
      </c>
      <c r="U30" s="715">
        <f t="shared" si="11"/>
        <v>100</v>
      </c>
      <c r="V30" s="714" t="s">
        <v>17</v>
      </c>
      <c r="W30" s="715">
        <f t="shared" si="12"/>
        <v>100</v>
      </c>
      <c r="X30" s="1540"/>
      <c r="Y30" s="3463"/>
      <c r="Z30" s="1541" t="str">
        <f t="shared" si="13"/>
        <v>土地级别</v>
      </c>
      <c r="AA30" s="1538">
        <f t="shared" si="3"/>
        <v>1</v>
      </c>
      <c r="AB30" s="1538">
        <f t="shared" si="4"/>
        <v>1</v>
      </c>
      <c r="AC30" s="1538">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6"/>
      <c r="M31" s="2940"/>
      <c r="N31" s="2940"/>
      <c r="O31" s="2998"/>
      <c r="P31" s="3463"/>
      <c r="Q31" s="1537">
        <f t="shared" si="8"/>
        <v>111</v>
      </c>
      <c r="R31" s="714" t="s">
        <v>17</v>
      </c>
      <c r="S31" s="715">
        <f t="shared" si="10"/>
        <v>100</v>
      </c>
      <c r="T31" s="714" t="s">
        <v>17</v>
      </c>
      <c r="U31" s="715">
        <f t="shared" si="11"/>
        <v>100</v>
      </c>
      <c r="V31" s="714" t="s">
        <v>17</v>
      </c>
      <c r="W31" s="715">
        <f t="shared" si="12"/>
        <v>100</v>
      </c>
      <c r="X31" s="1540"/>
      <c r="Y31" s="3463"/>
      <c r="Z31" s="1541">
        <f t="shared" si="13"/>
        <v>111</v>
      </c>
      <c r="AA31" s="1538">
        <f t="shared" si="3"/>
        <v>1</v>
      </c>
      <c r="AB31" s="1538">
        <f t="shared" si="4"/>
        <v>1</v>
      </c>
      <c r="AC31" s="1538">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6"/>
      <c r="M32" s="2940"/>
      <c r="N32" s="2940"/>
      <c r="O32" s="2998"/>
      <c r="P32" s="3464" t="s">
        <v>2386</v>
      </c>
      <c r="Q32" s="1537">
        <f t="shared" si="8"/>
        <v>111</v>
      </c>
      <c r="R32" s="714" t="s">
        <v>17</v>
      </c>
      <c r="S32" s="715">
        <f t="shared" si="10"/>
        <v>100</v>
      </c>
      <c r="T32" s="714" t="s">
        <v>17</v>
      </c>
      <c r="U32" s="715">
        <f t="shared" si="11"/>
        <v>100</v>
      </c>
      <c r="V32" s="714" t="s">
        <v>17</v>
      </c>
      <c r="W32" s="715">
        <f t="shared" si="12"/>
        <v>100</v>
      </c>
      <c r="X32" s="1540"/>
      <c r="Y32" s="3465" t="s">
        <v>2386</v>
      </c>
      <c r="Z32" s="1541">
        <f t="shared" si="13"/>
        <v>111</v>
      </c>
      <c r="AA32" s="1538">
        <f t="shared" si="3"/>
        <v>1</v>
      </c>
      <c r="AB32" s="1538">
        <f t="shared" si="4"/>
        <v>1</v>
      </c>
      <c r="AC32" s="1538">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5"/>
      <c r="M33" s="2947"/>
      <c r="N33" s="2947"/>
      <c r="O33" s="2999"/>
      <c r="P33" s="3465"/>
      <c r="Q33" s="1537">
        <f t="shared" si="8"/>
        <v>111</v>
      </c>
      <c r="R33" s="717" t="s">
        <v>17</v>
      </c>
      <c r="S33" s="718">
        <f t="shared" si="10"/>
        <v>100</v>
      </c>
      <c r="T33" s="717" t="s">
        <v>17</v>
      </c>
      <c r="U33" s="718">
        <f t="shared" si="11"/>
        <v>100</v>
      </c>
      <c r="V33" s="717" t="s">
        <v>17</v>
      </c>
      <c r="W33" s="718">
        <f t="shared" si="12"/>
        <v>100</v>
      </c>
      <c r="X33" s="719"/>
      <c r="Y33" s="3465"/>
      <c r="Z33" s="720">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6"/>
      <c r="M34" s="2940"/>
      <c r="N34" s="2940"/>
      <c r="O34" s="2998"/>
      <c r="P34" s="3465"/>
      <c r="Q34" s="1537" t="str">
        <f>B34</f>
        <v>宗地面积</v>
      </c>
      <c r="R34" s="714" t="s">
        <v>17</v>
      </c>
      <c r="S34" s="715" t="e">
        <f t="shared" si="10"/>
        <v>#N/A</v>
      </c>
      <c r="T34" s="714" t="s">
        <v>17</v>
      </c>
      <c r="U34" s="715" t="e">
        <f t="shared" si="11"/>
        <v>#N/A</v>
      </c>
      <c r="V34" s="714" t="s">
        <v>17</v>
      </c>
      <c r="W34" s="715" t="e">
        <f t="shared" si="12"/>
        <v>#N/A</v>
      </c>
      <c r="X34" s="1540"/>
      <c r="Y34" s="3465"/>
      <c r="Z34" s="1541" t="str">
        <f t="shared" si="13"/>
        <v>宗地面积</v>
      </c>
      <c r="AA34" s="1538" t="e">
        <f t="shared" si="3"/>
        <v>#N/A</v>
      </c>
      <c r="AB34" s="1538" t="e">
        <f t="shared" si="4"/>
        <v>#N/A</v>
      </c>
      <c r="AC34" s="1538"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6"/>
      <c r="M35" s="2940"/>
      <c r="N35" s="2940"/>
      <c r="O35" s="2998"/>
      <c r="P35" s="3465"/>
      <c r="Q35" s="1537" t="str">
        <f t="shared" ref="Q35:Q40" si="14">B35</f>
        <v>宗地形状</v>
      </c>
      <c r="R35" s="714" t="s">
        <v>17</v>
      </c>
      <c r="S35" s="715">
        <f t="shared" si="10"/>
        <v>100</v>
      </c>
      <c r="T35" s="714" t="s">
        <v>17</v>
      </c>
      <c r="U35" s="715">
        <f t="shared" si="11"/>
        <v>100</v>
      </c>
      <c r="V35" s="714" t="s">
        <v>17</v>
      </c>
      <c r="W35" s="715">
        <f t="shared" si="12"/>
        <v>100</v>
      </c>
      <c r="X35" s="1540"/>
      <c r="Y35" s="3465"/>
      <c r="Z35" s="1541" t="str">
        <f t="shared" si="13"/>
        <v>宗地形状</v>
      </c>
      <c r="AA35" s="1538">
        <f t="shared" si="3"/>
        <v>1</v>
      </c>
      <c r="AB35" s="1538">
        <f t="shared" si="4"/>
        <v>1</v>
      </c>
      <c r="AC35" s="1538">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1"/>
      <c r="M36" s="2942"/>
      <c r="N36" s="2942"/>
      <c r="O36" s="2996"/>
      <c r="P36" s="3465"/>
      <c r="Q36" s="1537" t="str">
        <f t="shared" si="14"/>
        <v>宗地开发程度</v>
      </c>
      <c r="R36" s="710" t="s">
        <v>17</v>
      </c>
      <c r="S36" s="711">
        <f t="shared" si="10"/>
        <v>100</v>
      </c>
      <c r="T36" s="710" t="s">
        <v>17</v>
      </c>
      <c r="U36" s="711">
        <f t="shared" si="11"/>
        <v>100</v>
      </c>
      <c r="V36" s="710" t="s">
        <v>17</v>
      </c>
      <c r="W36" s="711">
        <f t="shared" si="12"/>
        <v>100</v>
      </c>
      <c r="X36" s="712"/>
      <c r="Y36" s="3465"/>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6"/>
      <c r="M37" s="2940"/>
      <c r="N37" s="2940"/>
      <c r="O37" s="2998"/>
      <c r="P37" s="3465" t="s">
        <v>2386</v>
      </c>
      <c r="Q37" s="1537" t="str">
        <f t="shared" si="14"/>
        <v>工程地质条件</v>
      </c>
      <c r="R37" s="714" t="s">
        <v>17</v>
      </c>
      <c r="S37" s="715">
        <f t="shared" si="10"/>
        <v>100</v>
      </c>
      <c r="T37" s="714" t="s">
        <v>17</v>
      </c>
      <c r="U37" s="715">
        <f t="shared" si="11"/>
        <v>100</v>
      </c>
      <c r="V37" s="714" t="s">
        <v>17</v>
      </c>
      <c r="W37" s="715">
        <f t="shared" si="12"/>
        <v>100</v>
      </c>
      <c r="X37" s="1540"/>
      <c r="Y37" s="3465"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6"/>
      <c r="M38" s="2940"/>
      <c r="N38" s="2940"/>
      <c r="O38" s="2998"/>
      <c r="P38" s="3465"/>
      <c r="Q38" s="1537">
        <f t="shared" si="14"/>
        <v>111</v>
      </c>
      <c r="R38" s="714" t="s">
        <v>17</v>
      </c>
      <c r="S38" s="715">
        <f t="shared" si="10"/>
        <v>100</v>
      </c>
      <c r="T38" s="714" t="s">
        <v>17</v>
      </c>
      <c r="U38" s="715">
        <f t="shared" si="11"/>
        <v>100</v>
      </c>
      <c r="V38" s="714" t="s">
        <v>17</v>
      </c>
      <c r="W38" s="715">
        <f t="shared" si="12"/>
        <v>100</v>
      </c>
      <c r="X38" s="1540"/>
      <c r="Y38" s="3465"/>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6"/>
      <c r="M39" s="2940"/>
      <c r="N39" s="2940"/>
      <c r="O39" s="2998"/>
      <c r="P39" s="3465"/>
      <c r="Q39" s="1537">
        <f t="shared" si="14"/>
        <v>111</v>
      </c>
      <c r="R39" s="714" t="s">
        <v>17</v>
      </c>
      <c r="S39" s="715">
        <f t="shared" si="10"/>
        <v>100</v>
      </c>
      <c r="T39" s="714" t="s">
        <v>17</v>
      </c>
      <c r="U39" s="715">
        <f t="shared" si="11"/>
        <v>100</v>
      </c>
      <c r="V39" s="714" t="s">
        <v>17</v>
      </c>
      <c r="W39" s="715">
        <f t="shared" si="12"/>
        <v>100</v>
      </c>
      <c r="X39" s="1540"/>
      <c r="Y39" s="3465"/>
      <c r="Z39" s="1541">
        <f t="shared" si="13"/>
        <v>111</v>
      </c>
      <c r="AA39" s="1538">
        <f t="shared" si="3"/>
        <v>1</v>
      </c>
      <c r="AB39" s="1538">
        <f t="shared" si="4"/>
        <v>1</v>
      </c>
      <c r="AC39" s="1538">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5"/>
      <c r="M40" s="2947"/>
      <c r="N40" s="2947"/>
      <c r="O40" s="2999"/>
      <c r="P40" s="3465"/>
      <c r="Q40" s="1537">
        <f t="shared" si="14"/>
        <v>111</v>
      </c>
      <c r="R40" s="717" t="s">
        <v>17</v>
      </c>
      <c r="S40" s="718">
        <f t="shared" si="10"/>
        <v>100</v>
      </c>
      <c r="T40" s="717" t="s">
        <v>17</v>
      </c>
      <c r="U40" s="718">
        <f t="shared" si="11"/>
        <v>100</v>
      </c>
      <c r="V40" s="717" t="s">
        <v>17</v>
      </c>
      <c r="W40" s="718">
        <f t="shared" si="12"/>
        <v>100</v>
      </c>
      <c r="X40" s="719"/>
      <c r="Y40" s="3465"/>
      <c r="Z40" s="720">
        <f t="shared" si="13"/>
        <v>111</v>
      </c>
      <c r="AA40" s="1538">
        <f t="shared" si="3"/>
        <v>1</v>
      </c>
      <c r="AB40" s="1538">
        <f t="shared" si="4"/>
        <v>1</v>
      </c>
      <c r="AC40" s="1538">
        <f t="shared" si="5"/>
        <v>1</v>
      </c>
    </row>
    <row r="41" spans="1:31" ht="15">
      <c r="A41" s="438" t="s">
        <v>2541</v>
      </c>
      <c r="B41" s="2168" t="s">
        <v>2621</v>
      </c>
      <c r="C41" s="638" t="s">
        <v>1</v>
      </c>
      <c r="D41" s="440"/>
      <c r="E41" s="441"/>
      <c r="F41" s="442"/>
      <c r="G41" s="443"/>
      <c r="H41" s="444"/>
      <c r="I41" s="441"/>
      <c r="J41" s="444"/>
      <c r="K41" s="723"/>
      <c r="L41" s="2948"/>
      <c r="M41" s="2940"/>
      <c r="N41" s="2940"/>
      <c r="O41" s="2949"/>
      <c r="P41" s="3447" t="str">
        <f>A41</f>
        <v>成交单价</v>
      </c>
      <c r="Q41" s="3447"/>
      <c r="R41" s="3460">
        <f>E41</f>
        <v>0</v>
      </c>
      <c r="S41" s="3460"/>
      <c r="T41" s="3460">
        <f>G41</f>
        <v>0</v>
      </c>
      <c r="U41" s="3460"/>
      <c r="V41" s="3460">
        <f>I41</f>
        <v>0</v>
      </c>
      <c r="W41" s="3460"/>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48"/>
      <c r="M42" s="2940"/>
      <c r="N42" s="2940"/>
      <c r="O42" s="2949"/>
      <c r="P42" s="3447" t="str">
        <f>A42</f>
        <v>比较价值（元/平方米）</v>
      </c>
      <c r="Q42" s="3447"/>
      <c r="R42" s="3466" t="e">
        <f>ROUND(PRODUCT(R41,AA7:AA40),0)</f>
        <v>#DIV/0!</v>
      </c>
      <c r="S42" s="3466"/>
      <c r="T42" s="3466" t="e">
        <f>ROUND(PRODUCT(T41,AB7:AB40),0)</f>
        <v>#DIV/0!</v>
      </c>
      <c r="U42" s="3466"/>
      <c r="V42" s="3466" t="e">
        <f>ROUND(PRODUCT(V41,AC7:AC40),0)</f>
        <v>#DIV/0!</v>
      </c>
      <c r="W42" s="346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8"/>
      <c r="M43" s="2940"/>
      <c r="N43" s="2940"/>
      <c r="O43" s="2949"/>
      <c r="P43" s="3467" t="str">
        <f>A43</f>
        <v>估价对象XX用房的比较价值（楼面单价，元/平方米）</v>
      </c>
      <c r="Q43" s="3468"/>
      <c r="R43" s="3469" t="e">
        <f>ROUND(IF(D42="简单平均",AVERAGE(R42:W42),R42*F42+T42*H42+V42*J42),0)</f>
        <v>#DIV/0!</v>
      </c>
      <c r="S43" s="3469"/>
      <c r="T43" s="3469"/>
      <c r="U43" s="3469"/>
      <c r="V43" s="3469"/>
      <c r="W43" s="3469"/>
      <c r="X43" s="699"/>
      <c r="Y43" s="699"/>
      <c r="Z43" s="699"/>
      <c r="AA43" s="699"/>
      <c r="AB43" s="699"/>
      <c r="AC43" s="699"/>
    </row>
    <row r="44" spans="1:31">
      <c r="A44" s="2949"/>
      <c r="B44" s="2949"/>
      <c r="C44" s="2949"/>
      <c r="D44" s="2949"/>
      <c r="E44" s="2949"/>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9" customFormat="1" ht="13.5" customHeight="1">
      <c r="A48" s="2952"/>
      <c r="B48" s="2952"/>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9" customFormat="1" ht="15" thickBot="1">
      <c r="A49" s="2952"/>
      <c r="B49" s="2955"/>
      <c r="C49" s="702"/>
      <c r="D49" s="700"/>
      <c r="E49" s="700"/>
      <c r="F49" s="700"/>
      <c r="G49" s="700"/>
      <c r="H49" s="700"/>
      <c r="I49" s="700"/>
      <c r="J49" s="700"/>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40" t="s">
        <v>2579</v>
      </c>
      <c r="B50" s="641" t="s">
        <v>2580</v>
      </c>
      <c r="C50" s="2169" t="s">
        <v>2581</v>
      </c>
      <c r="D50" s="2170" t="s">
        <v>2582</v>
      </c>
      <c r="E50" s="642" t="s">
        <v>2583</v>
      </c>
      <c r="F50" s="643" t="s">
        <v>2584</v>
      </c>
      <c r="G50" s="3448" t="s">
        <v>2585</v>
      </c>
      <c r="H50" s="3470"/>
      <c r="I50" s="1541" t="s">
        <v>2622</v>
      </c>
      <c r="J50" s="1541">
        <f>项目基本情况!F35</f>
        <v>0</v>
      </c>
      <c r="K50" s="2172" t="s">
        <v>2587</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8" customFormat="1">
      <c r="A51" s="644" t="s">
        <v>2588</v>
      </c>
      <c r="B51" s="645" t="e">
        <f>C43</f>
        <v>#DIV/0!</v>
      </c>
      <c r="C51" s="646">
        <v>1</v>
      </c>
      <c r="D51" s="1075">
        <v>1</v>
      </c>
      <c r="E51" s="646">
        <f>'数据-汇总表'!E8+'数据-汇总表'!E9</f>
        <v>44859.7</v>
      </c>
      <c r="F51" s="647" t="e">
        <f t="shared" ref="F51:F60" si="15">ROUND(B51*E51/10000,0)</f>
        <v>#DIV/0!</v>
      </c>
      <c r="G51" s="3471"/>
      <c r="H51" s="3447"/>
      <c r="I51" s="879">
        <v>1</v>
      </c>
      <c r="J51" s="879">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8" customFormat="1">
      <c r="A52" s="649" t="s">
        <v>2589</v>
      </c>
      <c r="B52" s="224" t="e">
        <f>ROUND($C$43*C52*D52,0)</f>
        <v>#DIV/0!</v>
      </c>
      <c r="C52" s="176">
        <f t="shared" ref="C52:C60" si="16">IF($C$50="北京市系数",I52,J52)</f>
        <v>0</v>
      </c>
      <c r="D52" s="1076">
        <v>0.25</v>
      </c>
      <c r="E52" s="650"/>
      <c r="F52" s="647" t="e">
        <f t="shared" si="15"/>
        <v>#DIV/0!</v>
      </c>
      <c r="G52" s="3472" t="s">
        <v>2590</v>
      </c>
      <c r="H52" s="1018">
        <f>项目基本情况!B37</f>
        <v>0</v>
      </c>
      <c r="I52" s="879">
        <f>SUMIF(修正!A45:A56,H52,修正!B45:B56)</f>
        <v>0</v>
      </c>
      <c r="J52" s="880"/>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8" customFormat="1">
      <c r="A53" s="649" t="s">
        <v>2591</v>
      </c>
      <c r="B53" s="224" t="e">
        <f t="shared" ref="B53:B60" si="17">ROUND($C$43*C53*D53,0)</f>
        <v>#DIV/0!</v>
      </c>
      <c r="C53" s="176">
        <f t="shared" si="16"/>
        <v>0</v>
      </c>
      <c r="D53" s="1076">
        <v>0.25</v>
      </c>
      <c r="E53" s="650"/>
      <c r="F53" s="647" t="e">
        <f t="shared" si="15"/>
        <v>#DIV/0!</v>
      </c>
      <c r="G53" s="3472"/>
      <c r="H53" s="1018">
        <f>项目基本情况!B37</f>
        <v>0</v>
      </c>
      <c r="I53" s="879">
        <f>SUMIF(修正!A45:A56,H53,修正!C45:C56)</f>
        <v>0</v>
      </c>
      <c r="J53" s="880"/>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8" customFormat="1">
      <c r="A54" s="649" t="s">
        <v>2592</v>
      </c>
      <c r="B54" s="224" t="e">
        <f t="shared" si="17"/>
        <v>#DIV/0!</v>
      </c>
      <c r="C54" s="176">
        <f t="shared" si="16"/>
        <v>0</v>
      </c>
      <c r="D54" s="1076">
        <v>0.25</v>
      </c>
      <c r="E54" s="650"/>
      <c r="F54" s="647" t="e">
        <f t="shared" si="15"/>
        <v>#DIV/0!</v>
      </c>
      <c r="G54" s="3472"/>
      <c r="H54" s="1018">
        <f>项目基本情况!B37</f>
        <v>0</v>
      </c>
      <c r="I54" s="879">
        <f>SUMIF(修正!A45:A56,H54,修正!D45:D56)</f>
        <v>0</v>
      </c>
      <c r="J54" s="880"/>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8" customFormat="1">
      <c r="A55" s="649" t="s">
        <v>2593</v>
      </c>
      <c r="B55" s="224" t="e">
        <f t="shared" si="17"/>
        <v>#DIV/0!</v>
      </c>
      <c r="C55" s="176">
        <f t="shared" si="16"/>
        <v>0</v>
      </c>
      <c r="D55" s="1076">
        <v>0.25</v>
      </c>
      <c r="E55" s="650"/>
      <c r="F55" s="647" t="e">
        <f t="shared" si="15"/>
        <v>#DIV/0!</v>
      </c>
      <c r="G55" s="3472"/>
      <c r="H55" s="1018">
        <f>项目基本情况!B37</f>
        <v>0</v>
      </c>
      <c r="I55" s="879">
        <f>SUMIF(修正!A45:A56,H55,修正!E45:E56)</f>
        <v>0</v>
      </c>
      <c r="J55" s="880"/>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8" customFormat="1" ht="15" thickBot="1">
      <c r="A61" s="651" t="s">
        <v>2602</v>
      </c>
      <c r="B61" s="652" t="s">
        <v>28</v>
      </c>
      <c r="C61" s="652" t="s">
        <v>29</v>
      </c>
      <c r="D61" s="652" t="s">
        <v>997</v>
      </c>
      <c r="E61" s="652">
        <f>IF(B41="楼面地价",SUM(E51:E60),'数据-汇总表'!D3)</f>
        <v>5974.5</v>
      </c>
      <c r="F61" s="653" t="e">
        <f>IF(B41="楼面地价",SUM(F51:F60),ROUND(C43*E61/10000,0))</f>
        <v>#DIV/0!</v>
      </c>
      <c r="G61" s="1070"/>
      <c r="H61" s="1070"/>
      <c r="I61" s="1070"/>
      <c r="J61" s="1070"/>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8"/>
      <c r="B62" s="1060"/>
      <c r="C62" s="1062"/>
      <c r="D62" s="1058"/>
      <c r="E62" s="1058"/>
      <c r="F62" s="1058"/>
      <c r="G62" s="1058"/>
      <c r="H62" s="1058"/>
      <c r="I62" s="1058"/>
      <c r="J62" s="1058"/>
      <c r="K62" s="1019"/>
      <c r="L62" s="1020"/>
      <c r="M62" s="1058"/>
      <c r="N62" s="1058"/>
      <c r="O62" s="1058"/>
      <c r="P62" s="2949"/>
      <c r="Q62" s="2949"/>
      <c r="R62" s="2949"/>
      <c r="S62" s="2949"/>
      <c r="T62" s="2949"/>
      <c r="U62" s="2949"/>
      <c r="V62" s="2949"/>
      <c r="W62" s="2949"/>
      <c r="X62" s="2949"/>
      <c r="Y62" s="2949"/>
      <c r="Z62" s="2949"/>
      <c r="AA62" s="2949"/>
      <c r="AB62" s="2949"/>
      <c r="AC62" s="2949"/>
      <c r="AD62" s="2949"/>
      <c r="AE62" s="2949"/>
    </row>
    <row r="63" spans="1:31">
      <c r="A63" s="1058"/>
      <c r="B63" s="1060"/>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49"/>
      <c r="Q63" s="2949"/>
      <c r="R63" s="2949"/>
      <c r="S63" s="2949"/>
      <c r="T63" s="2949"/>
      <c r="U63" s="2949"/>
      <c r="V63" s="2949"/>
      <c r="W63" s="2949"/>
      <c r="X63" s="2949"/>
      <c r="Y63" s="2949"/>
      <c r="Z63" s="2949"/>
      <c r="AA63" s="2949"/>
      <c r="AB63" s="2949"/>
      <c r="AC63" s="2949"/>
      <c r="AD63" s="2949"/>
      <c r="AE63" s="2949"/>
    </row>
    <row r="64" spans="1:31" ht="21.75" thickBot="1">
      <c r="A64" s="703" t="s">
        <v>2495</v>
      </c>
      <c r="B64" s="699"/>
      <c r="C64" s="704"/>
      <c r="D64" s="704"/>
      <c r="E64" s="704"/>
      <c r="F64" s="705"/>
      <c r="G64" s="705"/>
      <c r="H64" s="704"/>
      <c r="I64" s="704"/>
      <c r="J64" s="704"/>
      <c r="K64" s="706"/>
      <c r="L64" s="707"/>
      <c r="M64" s="704"/>
      <c r="N64" s="704"/>
      <c r="O64" s="1071"/>
      <c r="P64" s="2993"/>
      <c r="Q64" s="2963"/>
      <c r="R64" s="2949"/>
      <c r="S64" s="2949"/>
      <c r="T64" s="2949"/>
      <c r="U64" s="2949"/>
      <c r="V64" s="2949"/>
      <c r="W64" s="2949"/>
      <c r="X64" s="2949"/>
      <c r="Y64" s="2949"/>
      <c r="Z64" s="2949"/>
      <c r="AA64" s="2949"/>
      <c r="AB64" s="2949"/>
      <c r="AC64" s="2949"/>
      <c r="AD64" s="2949"/>
      <c r="AE64" s="2949"/>
    </row>
    <row r="65" spans="1:31" s="465" customFormat="1" ht="15">
      <c r="A65" s="2175" t="s">
        <v>2603</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0"/>
      <c r="Q65" s="2965"/>
      <c r="R65" s="2965"/>
      <c r="S65" s="2965"/>
      <c r="T65" s="2965"/>
      <c r="U65" s="2965"/>
      <c r="V65" s="2965"/>
      <c r="W65" s="2965"/>
      <c r="X65" s="2965"/>
      <c r="Y65" s="2965"/>
      <c r="Z65" s="2965"/>
      <c r="AA65" s="2965"/>
      <c r="AB65" s="2965"/>
      <c r="AC65" s="2965"/>
      <c r="AD65" s="2965"/>
      <c r="AE65" s="2965"/>
    </row>
    <row r="66" spans="1:31" s="113" customFormat="1" ht="30.75" customHeight="1">
      <c r="A66" s="2180" t="s">
        <v>2623</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3"/>
      <c r="Q66" s="2884"/>
      <c r="R66" s="2884"/>
      <c r="S66" s="2884"/>
      <c r="T66" s="2884"/>
      <c r="U66" s="2884"/>
      <c r="V66" s="2884"/>
      <c r="W66" s="2884"/>
      <c r="X66" s="2884"/>
      <c r="Y66" s="2884"/>
      <c r="Z66" s="2884"/>
      <c r="AA66" s="2884"/>
      <c r="AB66" s="2884"/>
      <c r="AC66" s="2884"/>
      <c r="AD66" s="2884"/>
      <c r="AE66" s="2884"/>
    </row>
    <row r="67" spans="1:31" s="113" customFormat="1" ht="15.75" thickBot="1">
      <c r="A67" s="472" t="s">
        <v>2406</v>
      </c>
      <c r="B67" s="473"/>
      <c r="C67" s="474"/>
      <c r="D67" s="475"/>
      <c r="E67" s="475"/>
      <c r="F67" s="475"/>
      <c r="G67" s="475"/>
      <c r="H67" s="475"/>
      <c r="I67" s="475"/>
      <c r="J67" s="475"/>
      <c r="K67" s="475"/>
      <c r="L67" s="475"/>
      <c r="M67" s="476"/>
      <c r="N67" s="476"/>
      <c r="O67" s="477"/>
      <c r="P67" s="2963"/>
      <c r="Q67" s="2963"/>
      <c r="R67" s="2884"/>
      <c r="S67" s="2884"/>
      <c r="T67" s="2884"/>
      <c r="U67" s="2884"/>
      <c r="V67" s="2884"/>
      <c r="W67" s="2884"/>
      <c r="X67" s="2884"/>
      <c r="Y67" s="2884"/>
      <c r="Z67" s="2884"/>
      <c r="AA67" s="2884"/>
      <c r="AB67" s="2884"/>
      <c r="AC67" s="2884"/>
      <c r="AD67" s="2884"/>
      <c r="AE67" s="2884"/>
    </row>
    <row r="68" spans="1:31" s="113" customFormat="1" ht="15">
      <c r="A68" s="478" t="s">
        <v>2371</v>
      </c>
      <c r="B68" s="467"/>
      <c r="C68" s="479" t="s">
        <v>2473</v>
      </c>
      <c r="D68" s="480"/>
      <c r="E68" s="480"/>
      <c r="F68" s="480"/>
      <c r="G68" s="480"/>
      <c r="H68" s="480"/>
      <c r="I68" s="480"/>
      <c r="J68" s="480"/>
      <c r="K68" s="480"/>
      <c r="L68" s="481"/>
      <c r="M68" s="482"/>
      <c r="N68" s="2976"/>
      <c r="O68" s="2976"/>
      <c r="P68" s="3001"/>
      <c r="Q68" s="2963"/>
      <c r="R68" s="2884"/>
      <c r="S68" s="2884"/>
      <c r="T68" s="2884"/>
      <c r="U68" s="2884"/>
      <c r="V68" s="2884"/>
      <c r="W68" s="2884"/>
      <c r="X68" s="2884"/>
      <c r="Y68" s="2884"/>
      <c r="Z68" s="2884"/>
      <c r="AA68" s="2884"/>
      <c r="AB68" s="2884"/>
      <c r="AC68" s="2884"/>
      <c r="AD68" s="2884"/>
      <c r="AE68" s="2884"/>
    </row>
    <row r="69" spans="1:31" s="113" customFormat="1" ht="15.75" thickBot="1">
      <c r="A69" s="478"/>
      <c r="B69" s="467"/>
      <c r="C69" s="595">
        <v>100</v>
      </c>
      <c r="D69" s="469"/>
      <c r="E69" s="469"/>
      <c r="F69" s="469"/>
      <c r="G69" s="469"/>
      <c r="H69" s="469"/>
      <c r="I69" s="469"/>
      <c r="J69" s="469"/>
      <c r="K69" s="469"/>
      <c r="L69" s="469"/>
      <c r="M69" s="471"/>
      <c r="N69" s="2976"/>
      <c r="O69" s="2976"/>
      <c r="P69" s="2963"/>
      <c r="Q69" s="2963"/>
      <c r="R69" s="2884"/>
      <c r="S69" s="2884"/>
      <c r="T69" s="2884"/>
      <c r="U69" s="2884"/>
      <c r="V69" s="2884"/>
      <c r="W69" s="2884"/>
      <c r="X69" s="2884"/>
      <c r="Y69" s="2884"/>
      <c r="Z69" s="2884"/>
      <c r="AA69" s="2884"/>
      <c r="AB69" s="2884"/>
      <c r="AC69" s="2884"/>
      <c r="AD69" s="2884"/>
      <c r="AE69" s="2884"/>
    </row>
    <row r="70" spans="1:31">
      <c r="A70" s="484" t="s">
        <v>2409</v>
      </c>
      <c r="B70" s="485" t="s">
        <v>2375</v>
      </c>
      <c r="C70" s="487"/>
      <c r="D70" s="487"/>
      <c r="E70" s="487"/>
      <c r="F70" s="487"/>
      <c r="G70" s="487"/>
      <c r="H70" s="487"/>
      <c r="I70" s="487"/>
      <c r="J70" s="487"/>
      <c r="K70" s="488"/>
      <c r="L70" s="489"/>
      <c r="M70" s="490"/>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91"/>
      <c r="B71" s="492"/>
      <c r="C71" s="493"/>
      <c r="D71" s="493"/>
      <c r="E71" s="493"/>
      <c r="F71" s="493"/>
      <c r="G71" s="493"/>
      <c r="H71" s="493"/>
      <c r="I71" s="493"/>
      <c r="J71" s="493"/>
      <c r="K71" s="493"/>
      <c r="L71" s="493"/>
      <c r="M71" s="494"/>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91"/>
      <c r="B72" s="495" t="s">
        <v>2378</v>
      </c>
      <c r="C72" s="496"/>
      <c r="D72" s="496"/>
      <c r="E72" s="496"/>
      <c r="F72" s="496"/>
      <c r="G72" s="496"/>
      <c r="H72" s="496"/>
      <c r="I72" s="496"/>
      <c r="J72" s="496"/>
      <c r="K72" s="497"/>
      <c r="L72" s="498"/>
      <c r="M72" s="499"/>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91"/>
      <c r="B73" s="500"/>
      <c r="C73" s="501"/>
      <c r="D73" s="501"/>
      <c r="E73" s="501"/>
      <c r="F73" s="501"/>
      <c r="G73" s="501"/>
      <c r="H73" s="501"/>
      <c r="I73" s="501"/>
      <c r="J73" s="501"/>
      <c r="K73" s="501"/>
      <c r="L73" s="501"/>
      <c r="M73" s="502"/>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91"/>
      <c r="B75" s="505"/>
      <c r="C75" s="506"/>
      <c r="D75" s="506"/>
      <c r="E75" s="506"/>
      <c r="F75" s="506"/>
      <c r="G75" s="506"/>
      <c r="H75" s="506"/>
      <c r="I75" s="506"/>
      <c r="J75" s="506"/>
      <c r="K75" s="507"/>
      <c r="L75" s="508"/>
      <c r="M75" s="509"/>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8"/>
      <c r="O76" s="2978"/>
      <c r="P76" s="3002"/>
      <c r="Q76" s="2963"/>
      <c r="R76" s="2949"/>
      <c r="S76" s="2949"/>
      <c r="T76" s="2949"/>
      <c r="U76" s="2949"/>
      <c r="V76" s="2949"/>
      <c r="W76" s="2949"/>
      <c r="X76" s="2949"/>
      <c r="Y76" s="2949"/>
      <c r="Z76" s="2949"/>
      <c r="AA76" s="2949"/>
      <c r="AB76" s="2949"/>
      <c r="AC76" s="2949"/>
      <c r="AD76" s="2949"/>
      <c r="AE76" s="2949"/>
    </row>
    <row r="77" spans="1:31" s="430" customFormat="1" ht="15.75" thickTop="1">
      <c r="A77" s="510"/>
      <c r="B77" s="495">
        <f>B12</f>
        <v>111</v>
      </c>
      <c r="C77" s="511"/>
      <c r="D77" s="511"/>
      <c r="E77" s="511"/>
      <c r="F77" s="511"/>
      <c r="G77" s="511"/>
      <c r="H77" s="512"/>
      <c r="I77" s="512"/>
      <c r="J77" s="512"/>
      <c r="K77" s="512"/>
      <c r="L77" s="513"/>
      <c r="M77" s="514"/>
      <c r="N77" s="2979"/>
      <c r="O77" s="2979"/>
      <c r="P77" s="3003"/>
      <c r="Q77" s="2970"/>
      <c r="R77" s="2971"/>
      <c r="S77" s="2971"/>
      <c r="T77" s="2971"/>
      <c r="U77" s="2971"/>
      <c r="V77" s="2971"/>
      <c r="W77" s="2971"/>
      <c r="X77" s="2971"/>
      <c r="Y77" s="2971"/>
      <c r="Z77" s="2971"/>
      <c r="AA77" s="2971"/>
      <c r="AB77" s="2971"/>
      <c r="AC77" s="2971"/>
      <c r="AD77" s="2971"/>
      <c r="AE77" s="2971"/>
    </row>
    <row r="78" spans="1:31" s="430" customFormat="1" ht="15.75" thickBot="1">
      <c r="A78" s="510"/>
      <c r="B78" s="500"/>
      <c r="C78" s="517"/>
      <c r="D78" s="493"/>
      <c r="E78" s="493"/>
      <c r="F78" s="493"/>
      <c r="G78" s="493"/>
      <c r="H78" s="493"/>
      <c r="I78" s="493"/>
      <c r="J78" s="493"/>
      <c r="K78" s="493"/>
      <c r="L78" s="493"/>
      <c r="M78" s="494"/>
      <c r="N78" s="2978"/>
      <c r="O78" s="2978"/>
      <c r="P78" s="3003"/>
      <c r="Q78" s="2970"/>
      <c r="R78" s="2971"/>
      <c r="S78" s="2971"/>
      <c r="T78" s="2971"/>
      <c r="U78" s="2971"/>
      <c r="V78" s="2971"/>
      <c r="W78" s="2971"/>
      <c r="X78" s="2971"/>
      <c r="Y78" s="2971"/>
      <c r="Z78" s="2971"/>
      <c r="AA78" s="2971"/>
      <c r="AB78" s="2971"/>
      <c r="AC78" s="2971"/>
      <c r="AD78" s="2971"/>
      <c r="AE78" s="2971"/>
    </row>
    <row r="79" spans="1:31" s="430" customFormat="1" ht="15.75" thickTop="1">
      <c r="A79" s="510"/>
      <c r="B79" s="495">
        <f>B13</f>
        <v>111</v>
      </c>
      <c r="C79" s="511"/>
      <c r="D79" s="511"/>
      <c r="E79" s="511"/>
      <c r="F79" s="511"/>
      <c r="G79" s="511"/>
      <c r="H79" s="512"/>
      <c r="I79" s="512"/>
      <c r="J79" s="512"/>
      <c r="K79" s="512"/>
      <c r="L79" s="513"/>
      <c r="M79" s="514"/>
      <c r="N79" s="2979"/>
      <c r="O79" s="2979"/>
      <c r="P79" s="2947"/>
      <c r="Q79" s="2973"/>
      <c r="R79" s="2971"/>
      <c r="S79" s="2971"/>
      <c r="T79" s="2971"/>
      <c r="U79" s="2971"/>
      <c r="V79" s="2971"/>
      <c r="W79" s="2971"/>
      <c r="X79" s="2971"/>
      <c r="Y79" s="2971"/>
      <c r="Z79" s="2971"/>
      <c r="AA79" s="2971"/>
      <c r="AB79" s="2971"/>
      <c r="AC79" s="2971"/>
      <c r="AD79" s="2971"/>
      <c r="AE79" s="2971"/>
    </row>
    <row r="80" spans="1:31" s="430" customFormat="1" ht="15.75" thickBot="1">
      <c r="A80" s="510"/>
      <c r="B80" s="500"/>
      <c r="C80" s="517"/>
      <c r="D80" s="517"/>
      <c r="E80" s="517"/>
      <c r="F80" s="517"/>
      <c r="G80" s="517"/>
      <c r="H80" s="519"/>
      <c r="I80" s="519"/>
      <c r="J80" s="519"/>
      <c r="K80" s="519"/>
      <c r="L80" s="519"/>
      <c r="M80" s="520"/>
      <c r="N80" s="2979"/>
      <c r="O80" s="2979"/>
      <c r="P80" s="3003"/>
      <c r="Q80" s="2970"/>
      <c r="R80" s="2971"/>
      <c r="S80" s="2971"/>
      <c r="T80" s="2971"/>
      <c r="U80" s="2971"/>
      <c r="V80" s="2971"/>
      <c r="W80" s="2971"/>
      <c r="X80" s="2971"/>
      <c r="Y80" s="2971"/>
      <c r="Z80" s="2971"/>
      <c r="AA80" s="2971"/>
      <c r="AB80" s="2971"/>
      <c r="AC80" s="2971"/>
      <c r="AD80" s="2971"/>
      <c r="AE80" s="2971"/>
    </row>
    <row r="81" spans="1:31" s="430" customFormat="1" ht="15.75" thickTop="1">
      <c r="A81" s="510"/>
      <c r="B81" s="503">
        <f>B14</f>
        <v>111</v>
      </c>
      <c r="C81" s="480"/>
      <c r="D81" s="480"/>
      <c r="E81" s="480"/>
      <c r="F81" s="480"/>
      <c r="G81" s="480"/>
      <c r="H81" s="521"/>
      <c r="I81" s="521"/>
      <c r="J81" s="521"/>
      <c r="K81" s="521"/>
      <c r="L81" s="522"/>
      <c r="M81" s="523"/>
      <c r="N81" s="2979"/>
      <c r="O81" s="2979"/>
      <c r="P81" s="3008"/>
      <c r="Q81" s="2970"/>
      <c r="R81" s="2971"/>
      <c r="S81" s="2971"/>
      <c r="T81" s="2971"/>
      <c r="U81" s="2971"/>
      <c r="V81" s="2971"/>
      <c r="W81" s="2971"/>
      <c r="X81" s="2971"/>
      <c r="Y81" s="2971"/>
      <c r="Z81" s="2971"/>
      <c r="AA81" s="2971"/>
      <c r="AB81" s="2971"/>
      <c r="AC81" s="2971"/>
      <c r="AD81" s="2971"/>
      <c r="AE81" s="2971"/>
    </row>
    <row r="82" spans="1:31" s="430" customFormat="1" ht="15.75" thickBot="1">
      <c r="A82" s="525"/>
      <c r="B82" s="526"/>
      <c r="C82" s="527"/>
      <c r="D82" s="527"/>
      <c r="E82" s="527"/>
      <c r="F82" s="527"/>
      <c r="G82" s="527"/>
      <c r="H82" s="528"/>
      <c r="I82" s="528"/>
      <c r="J82" s="528"/>
      <c r="K82" s="528"/>
      <c r="L82" s="528"/>
      <c r="M82" s="529"/>
      <c r="N82" s="2979"/>
      <c r="O82" s="2979"/>
      <c r="P82" s="3003"/>
      <c r="Q82" s="2970"/>
      <c r="R82" s="2971"/>
      <c r="S82" s="2971"/>
      <c r="T82" s="2971"/>
      <c r="U82" s="2971"/>
      <c r="V82" s="2971"/>
      <c r="W82" s="2971"/>
      <c r="X82" s="2971"/>
      <c r="Y82" s="2971"/>
      <c r="Z82" s="2971"/>
      <c r="AA82" s="2971"/>
      <c r="AB82" s="2971"/>
      <c r="AC82" s="2971"/>
      <c r="AD82" s="2971"/>
      <c r="AE82" s="2971"/>
    </row>
    <row r="83" spans="1:31">
      <c r="A83" s="484" t="s">
        <v>2380</v>
      </c>
      <c r="B83" s="485" t="s">
        <v>2526</v>
      </c>
      <c r="C83" s="530" t="s">
        <v>2418</v>
      </c>
      <c r="D83" s="530" t="s">
        <v>2419</v>
      </c>
      <c r="E83" s="530" t="s">
        <v>2420</v>
      </c>
      <c r="F83" s="530" t="s">
        <v>2421</v>
      </c>
      <c r="G83" s="530" t="s">
        <v>2422</v>
      </c>
      <c r="H83" s="486"/>
      <c r="I83" s="486"/>
      <c r="J83" s="486"/>
      <c r="K83" s="531"/>
      <c r="L83" s="532"/>
      <c r="M83" s="533"/>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91"/>
      <c r="B85" s="495" t="s">
        <v>2423</v>
      </c>
      <c r="C85" s="535" t="s">
        <v>2418</v>
      </c>
      <c r="D85" s="535" t="s">
        <v>2419</v>
      </c>
      <c r="E85" s="535" t="s">
        <v>2420</v>
      </c>
      <c r="F85" s="535" t="s">
        <v>2421</v>
      </c>
      <c r="G85" s="535" t="s">
        <v>2422</v>
      </c>
      <c r="H85" s="496"/>
      <c r="I85" s="496"/>
      <c r="J85" s="496"/>
      <c r="K85" s="497"/>
      <c r="L85" s="498"/>
      <c r="M85" s="499"/>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8"/>
      <c r="O86" s="2978"/>
      <c r="P86" s="3002"/>
      <c r="Q86" s="2963"/>
      <c r="R86" s="2949"/>
      <c r="S86" s="2949"/>
      <c r="T86" s="2949"/>
      <c r="U86" s="2949"/>
      <c r="V86" s="2949"/>
      <c r="W86" s="2949"/>
      <c r="X86" s="2949"/>
      <c r="Y86" s="2949"/>
      <c r="Z86" s="2949"/>
      <c r="AA86" s="2949"/>
      <c r="AB86" s="2949"/>
      <c r="AC86" s="2949"/>
      <c r="AD86" s="2949"/>
      <c r="AE86" s="2949"/>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6"/>
      <c r="O87" s="2976"/>
      <c r="P87" s="3002"/>
      <c r="Q87" s="2963"/>
      <c r="R87" s="2884"/>
      <c r="S87" s="2884"/>
      <c r="T87" s="2884"/>
      <c r="U87" s="2884"/>
      <c r="V87" s="2884"/>
      <c r="W87" s="2884"/>
      <c r="X87" s="2884"/>
      <c r="Y87" s="2884"/>
      <c r="Z87" s="2884"/>
      <c r="AA87" s="2884"/>
      <c r="AB87" s="2884"/>
      <c r="AC87" s="2884"/>
      <c r="AD87" s="2884"/>
      <c r="AE87" s="288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8"/>
      <c r="O88" s="2978"/>
      <c r="P88" s="3002"/>
      <c r="Q88" s="2963"/>
      <c r="R88" s="2884"/>
      <c r="S88" s="2884"/>
      <c r="T88" s="2884"/>
      <c r="U88" s="2884"/>
      <c r="V88" s="2884"/>
      <c r="W88" s="2884"/>
      <c r="X88" s="2884"/>
      <c r="Y88" s="2884"/>
      <c r="Z88" s="2884"/>
      <c r="AA88" s="2884"/>
      <c r="AB88" s="2884"/>
      <c r="AC88" s="2884"/>
      <c r="AD88" s="2884"/>
      <c r="AE88" s="2884"/>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6"/>
      <c r="O89" s="2976"/>
      <c r="P89" s="3002"/>
      <c r="Q89" s="2963"/>
      <c r="R89" s="2884"/>
      <c r="S89" s="2884"/>
      <c r="T89" s="2884"/>
      <c r="U89" s="2884"/>
      <c r="V89" s="2884"/>
      <c r="W89" s="2884"/>
      <c r="X89" s="2884"/>
      <c r="Y89" s="2884"/>
      <c r="Z89" s="2884"/>
      <c r="AA89" s="2884"/>
      <c r="AB89" s="2884"/>
      <c r="AC89" s="2884"/>
      <c r="AD89" s="2884"/>
      <c r="AE89" s="288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8"/>
      <c r="O90" s="2978"/>
      <c r="P90" s="3002"/>
      <c r="Q90" s="2963"/>
      <c r="R90" s="2884"/>
      <c r="S90" s="2884"/>
      <c r="T90" s="2884"/>
      <c r="U90" s="2884"/>
      <c r="V90" s="2884"/>
      <c r="W90" s="2884"/>
      <c r="X90" s="2884"/>
      <c r="Y90" s="2884"/>
      <c r="Z90" s="2884"/>
      <c r="AA90" s="2884"/>
      <c r="AB90" s="2884"/>
      <c r="AC90" s="2884"/>
      <c r="AD90" s="2884"/>
      <c r="AE90" s="2884"/>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9"/>
      <c r="O91" s="2979"/>
      <c r="P91" s="3003"/>
      <c r="Q91" s="2970"/>
      <c r="R91" s="2971"/>
      <c r="S91" s="2971"/>
      <c r="T91" s="2971"/>
      <c r="U91" s="2971"/>
      <c r="V91" s="2971"/>
      <c r="W91" s="2971"/>
      <c r="X91" s="2971"/>
      <c r="Y91" s="2971"/>
      <c r="Z91" s="2971"/>
      <c r="AA91" s="2971"/>
      <c r="AB91" s="2971"/>
      <c r="AC91" s="2971"/>
      <c r="AD91" s="2971"/>
      <c r="AE91" s="297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9"/>
      <c r="O92" s="2979"/>
      <c r="P92" s="3003"/>
      <c r="Q92" s="2970"/>
      <c r="R92" s="2971"/>
      <c r="S92" s="2971"/>
      <c r="T92" s="2971"/>
      <c r="U92" s="2971"/>
      <c r="V92" s="2971"/>
      <c r="W92" s="2971"/>
      <c r="X92" s="2971"/>
      <c r="Y92" s="2971"/>
      <c r="Z92" s="2971"/>
      <c r="AA92" s="2971"/>
      <c r="AB92" s="2971"/>
      <c r="AC92" s="2971"/>
      <c r="AD92" s="2971"/>
      <c r="AE92" s="2971"/>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79"/>
      <c r="O93" s="2979"/>
      <c r="P93" s="3003"/>
      <c r="Q93" s="2970"/>
      <c r="R93" s="2971"/>
      <c r="S93" s="2971"/>
      <c r="T93" s="2971"/>
      <c r="U93" s="2971"/>
      <c r="V93" s="2971"/>
      <c r="W93" s="2971"/>
      <c r="X93" s="2971"/>
      <c r="Y93" s="2971"/>
      <c r="Z93" s="2971"/>
      <c r="AA93" s="2971"/>
      <c r="AB93" s="2971"/>
      <c r="AC93" s="2971"/>
      <c r="AD93" s="2971"/>
      <c r="AE93" s="297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91"/>
      <c r="B97" s="495" t="s">
        <v>2512</v>
      </c>
      <c r="C97" s="511"/>
      <c r="D97" s="511"/>
      <c r="E97" s="511"/>
      <c r="F97" s="511"/>
      <c r="G97" s="511"/>
      <c r="H97" s="540"/>
      <c r="I97" s="540"/>
      <c r="J97" s="540"/>
      <c r="K97" s="541"/>
      <c r="L97" s="542"/>
      <c r="M97" s="543"/>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91"/>
      <c r="B99" s="495" t="s">
        <v>2571</v>
      </c>
      <c r="C99" s="540"/>
      <c r="D99" s="540"/>
      <c r="E99" s="540"/>
      <c r="F99" s="540"/>
      <c r="G99" s="540"/>
      <c r="H99" s="540"/>
      <c r="I99" s="540"/>
      <c r="J99" s="540"/>
      <c r="K99" s="541"/>
      <c r="L99" s="542"/>
      <c r="M99" s="543"/>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91"/>
      <c r="B101" s="503">
        <f>B31</f>
        <v>111</v>
      </c>
      <c r="C101" s="511"/>
      <c r="D101" s="511"/>
      <c r="E101" s="511"/>
      <c r="F101" s="511"/>
      <c r="G101" s="544"/>
      <c r="H101" s="544"/>
      <c r="I101" s="544"/>
      <c r="J101" s="544"/>
      <c r="K101" s="545"/>
      <c r="L101" s="546"/>
      <c r="M101" s="547"/>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91"/>
      <c r="B102" s="526"/>
      <c r="C102" s="517"/>
      <c r="D102" s="493"/>
      <c r="E102" s="493"/>
      <c r="F102" s="493"/>
      <c r="G102" s="548"/>
      <c r="H102" s="548"/>
      <c r="I102" s="548"/>
      <c r="J102" s="548"/>
      <c r="K102" s="548"/>
      <c r="L102" s="548"/>
      <c r="M102" s="549"/>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31"/>
      <c r="B103" s="495">
        <f>B32</f>
        <v>111</v>
      </c>
      <c r="C103" s="511"/>
      <c r="D103" s="511"/>
      <c r="E103" s="511"/>
      <c r="F103" s="511"/>
      <c r="G103" s="540"/>
      <c r="H103" s="540"/>
      <c r="I103" s="540"/>
      <c r="J103" s="540"/>
      <c r="K103" s="541"/>
      <c r="L103" s="542"/>
      <c r="M103" s="543"/>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91"/>
      <c r="B104" s="500"/>
      <c r="C104" s="517"/>
      <c r="D104" s="517"/>
      <c r="E104" s="517"/>
      <c r="F104" s="517"/>
      <c r="G104" s="493"/>
      <c r="H104" s="493"/>
      <c r="I104" s="493"/>
      <c r="J104" s="493"/>
      <c r="K104" s="493"/>
      <c r="L104" s="493"/>
      <c r="M104" s="494"/>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30" customFormat="1" ht="15" thickTop="1">
      <c r="A105" s="550"/>
      <c r="B105" s="551">
        <f>B33</f>
        <v>111</v>
      </c>
      <c r="C105" s="480"/>
      <c r="D105" s="480"/>
      <c r="E105" s="480"/>
      <c r="F105" s="480"/>
      <c r="G105" s="552"/>
      <c r="H105" s="552"/>
      <c r="I105" s="552"/>
      <c r="J105" s="553"/>
      <c r="K105" s="553"/>
      <c r="L105" s="554"/>
      <c r="M105" s="555"/>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30" customFormat="1" ht="15.75" thickBot="1">
      <c r="A106" s="510"/>
      <c r="B106" s="503"/>
      <c r="C106" s="527"/>
      <c r="D106" s="527"/>
      <c r="E106" s="527"/>
      <c r="F106" s="527"/>
      <c r="G106" s="633"/>
      <c r="H106" s="633"/>
      <c r="I106" s="633"/>
      <c r="J106" s="633"/>
      <c r="K106" s="633"/>
      <c r="L106" s="633"/>
      <c r="M106" s="655"/>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91"/>
      <c r="B108" s="503"/>
      <c r="C108" s="552"/>
      <c r="D108" s="552"/>
      <c r="E108" s="552"/>
      <c r="F108" s="552"/>
      <c r="G108" s="552"/>
      <c r="H108" s="552"/>
      <c r="I108" s="552"/>
      <c r="J108" s="553"/>
      <c r="K108" s="553"/>
      <c r="L108" s="554"/>
      <c r="M108" s="555"/>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91"/>
      <c r="B109" s="500"/>
      <c r="C109" s="527"/>
      <c r="D109" s="548"/>
      <c r="E109" s="548"/>
      <c r="F109" s="548"/>
      <c r="G109" s="548"/>
      <c r="H109" s="548"/>
      <c r="I109" s="548"/>
      <c r="J109" s="548"/>
      <c r="K109" s="548"/>
      <c r="L109" s="548"/>
      <c r="M109" s="549"/>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6"/>
      <c r="B110" s="495" t="s">
        <v>2613</v>
      </c>
      <c r="C110" s="540"/>
      <c r="D110" s="540"/>
      <c r="E110" s="540"/>
      <c r="F110" s="540"/>
      <c r="G110" s="540"/>
      <c r="H110" s="540"/>
      <c r="I110" s="540"/>
      <c r="J110" s="540"/>
      <c r="K110" s="541"/>
      <c r="L110" s="542"/>
      <c r="M110" s="543"/>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30" customFormat="1" ht="15" thickTop="1">
      <c r="A112" s="550"/>
      <c r="B112" s="495" t="s">
        <v>2615</v>
      </c>
      <c r="C112" s="511"/>
      <c r="D112" s="511"/>
      <c r="E112" s="511"/>
      <c r="F112" s="511"/>
      <c r="G112" s="511"/>
      <c r="H112" s="540"/>
      <c r="I112" s="540"/>
      <c r="J112" s="540"/>
      <c r="K112" s="541"/>
      <c r="L112" s="542"/>
      <c r="M112" s="543"/>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6"/>
      <c r="B114" s="495" t="s">
        <v>2616</v>
      </c>
      <c r="C114" s="511"/>
      <c r="D114" s="511"/>
      <c r="E114" s="540"/>
      <c r="F114" s="540"/>
      <c r="G114" s="540"/>
      <c r="H114" s="540"/>
      <c r="I114" s="540"/>
      <c r="J114" s="540"/>
      <c r="K114" s="541"/>
      <c r="L114" s="542"/>
      <c r="M114" s="543"/>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6"/>
      <c r="B116" s="495">
        <f>B38</f>
        <v>111</v>
      </c>
      <c r="C116" s="511"/>
      <c r="D116" s="511"/>
      <c r="E116" s="511"/>
      <c r="F116" s="511"/>
      <c r="G116" s="511"/>
      <c r="H116" s="540"/>
      <c r="I116" s="540"/>
      <c r="J116" s="540"/>
      <c r="K116" s="541"/>
      <c r="L116" s="542"/>
      <c r="M116" s="543"/>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91"/>
      <c r="B117" s="500"/>
      <c r="C117" s="517"/>
      <c r="D117" s="493"/>
      <c r="E117" s="493"/>
      <c r="F117" s="493"/>
      <c r="G117" s="493"/>
      <c r="H117" s="493"/>
      <c r="I117" s="493"/>
      <c r="J117" s="493"/>
      <c r="K117" s="493"/>
      <c r="L117" s="493"/>
      <c r="M117" s="494"/>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6"/>
      <c r="B118" s="495">
        <f>B39</f>
        <v>111</v>
      </c>
      <c r="C118" s="511"/>
      <c r="D118" s="511"/>
      <c r="E118" s="511"/>
      <c r="F118" s="511"/>
      <c r="G118" s="540"/>
      <c r="H118" s="540"/>
      <c r="I118" s="540"/>
      <c r="J118" s="540"/>
      <c r="K118" s="541"/>
      <c r="L118" s="542"/>
      <c r="M118" s="543"/>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91"/>
      <c r="B119" s="500"/>
      <c r="C119" s="517"/>
      <c r="D119" s="517"/>
      <c r="E119" s="517"/>
      <c r="F119" s="517"/>
      <c r="G119" s="493"/>
      <c r="H119" s="493"/>
      <c r="I119" s="493"/>
      <c r="J119" s="493"/>
      <c r="K119" s="493"/>
      <c r="L119" s="493"/>
      <c r="M119" s="494"/>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30" customFormat="1" ht="15" thickTop="1">
      <c r="A120" s="550"/>
      <c r="B120" s="495">
        <f>B40</f>
        <v>111</v>
      </c>
      <c r="C120" s="480"/>
      <c r="D120" s="480"/>
      <c r="E120" s="480"/>
      <c r="F120" s="480"/>
      <c r="G120" s="512"/>
      <c r="H120" s="512"/>
      <c r="I120" s="512"/>
      <c r="J120" s="512"/>
      <c r="K120" s="512"/>
      <c r="L120" s="513"/>
      <c r="M120" s="514"/>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30" customFormat="1" ht="15.75" thickBot="1">
      <c r="A121" s="525"/>
      <c r="B121" s="656"/>
      <c r="C121" s="527"/>
      <c r="D121" s="527"/>
      <c r="E121" s="527"/>
      <c r="F121" s="527"/>
      <c r="G121" s="548"/>
      <c r="H121" s="548"/>
      <c r="I121" s="548"/>
      <c r="J121" s="548"/>
      <c r="K121" s="548"/>
      <c r="L121" s="548"/>
      <c r="M121" s="549"/>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V4" sqref="V4:W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f>IF(F3="宗地容积率",'数据-汇总表'!I4,IF(F3="估价对象容积率",'数据-汇总表'!I6,'数据-汇总表'!I7))</f>
        <v>7.51</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569"/>
      <c r="B4" s="3570"/>
      <c r="C4" s="3570"/>
      <c r="D4" s="3571"/>
      <c r="E4" s="3571"/>
      <c r="F4" s="3571"/>
      <c r="G4" s="3571"/>
      <c r="H4" s="3571"/>
      <c r="I4" s="3571"/>
      <c r="J4" s="3572"/>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4" t="e">
        <f>ROUND(C6+C16,0)</f>
        <v>#DIV/0!</v>
      </c>
      <c r="E5" s="1524"/>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9"/>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550" t="str">
        <f>IF(E2="商业",IF(C8="不临58条商业街","",2),"")</f>
        <v/>
      </c>
      <c r="B7" s="2209" t="s">
        <v>2653</v>
      </c>
      <c r="C7" s="858" t="e">
        <f>IF(C8="不临58条商业街",1,ROUND(1+(1.6*E8+1.2*E9+0.8*E10+0.4*E11)*C9,4))</f>
        <v>#DIV/0!</v>
      </c>
      <c r="D7" s="2210" t="s">
        <v>2654</v>
      </c>
      <c r="E7" s="882"/>
      <c r="F7" s="2211"/>
      <c r="G7" s="2212"/>
      <c r="H7" s="2212"/>
      <c r="I7" s="2212"/>
      <c r="J7" s="2213"/>
      <c r="K7" s="1569"/>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3" t="s">
        <v>2656</v>
      </c>
      <c r="X7" s="1376">
        <f>G2</f>
        <v>0</v>
      </c>
      <c r="Y7" s="1376" t="s">
        <v>2657</v>
      </c>
      <c r="Z7" s="1377">
        <f>G3</f>
        <v>7.51</v>
      </c>
      <c r="AA7" s="1378"/>
      <c r="AB7" s="1378"/>
      <c r="AC7" s="1379"/>
      <c r="AD7" s="1380"/>
      <c r="AE7" s="1380"/>
      <c r="AF7" s="1380"/>
      <c r="AG7" s="1380"/>
      <c r="AH7" s="1380"/>
      <c r="AI7" s="1380"/>
      <c r="AJ7" s="1381"/>
    </row>
    <row r="8" spans="1:36" ht="15">
      <c r="A8" s="3573"/>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566" t="s">
        <v>2661</v>
      </c>
      <c r="X8" s="3567"/>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573"/>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568" t="s">
        <v>2677</v>
      </c>
      <c r="X9" s="1383" t="s">
        <v>2678</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573"/>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56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573"/>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568" t="s">
        <v>2685</v>
      </c>
      <c r="X11" s="1386" t="s">
        <v>2686</v>
      </c>
      <c r="Y11" s="1387">
        <f>$G$3</f>
        <v>7.51</v>
      </c>
      <c r="Z11" s="1387">
        <f t="shared" ref="Z11:AJ11" si="3">$G$3</f>
        <v>7.51</v>
      </c>
      <c r="AA11" s="1387">
        <f t="shared" si="3"/>
        <v>7.51</v>
      </c>
      <c r="AB11" s="1387">
        <f t="shared" si="3"/>
        <v>7.51</v>
      </c>
      <c r="AC11" s="1387">
        <f t="shared" si="3"/>
        <v>7.51</v>
      </c>
      <c r="AD11" s="1387">
        <f t="shared" si="3"/>
        <v>7.51</v>
      </c>
      <c r="AE11" s="1387">
        <f t="shared" si="3"/>
        <v>7.51</v>
      </c>
      <c r="AF11" s="1387">
        <f t="shared" si="3"/>
        <v>7.51</v>
      </c>
      <c r="AG11" s="1387">
        <f t="shared" si="3"/>
        <v>7.51</v>
      </c>
      <c r="AH11" s="1387">
        <f t="shared" si="3"/>
        <v>7.51</v>
      </c>
      <c r="AI11" s="1387">
        <f t="shared" si="3"/>
        <v>7.51</v>
      </c>
      <c r="AJ11" s="1387">
        <f t="shared" si="3"/>
        <v>7.51</v>
      </c>
    </row>
    <row r="12" spans="1:36" ht="25.5" thickBot="1">
      <c r="A12" s="3550"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568"/>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574"/>
      <c r="B13" s="2228" t="s">
        <v>2692</v>
      </c>
      <c r="C13" s="2229" t="s">
        <v>2693</v>
      </c>
      <c r="D13" s="1535" t="s">
        <v>2694</v>
      </c>
      <c r="E13" s="1535"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568"/>
      <c r="X13" s="1388"/>
      <c r="Y13" s="1385">
        <f>(-0.163*(Y12^2)-0.59*Y12+7617)*(10^(-4))/Y11</f>
        <v>0.10142476697736352</v>
      </c>
      <c r="Z13" s="1385">
        <f t="shared" ref="Z13:AJ13" si="5">(-0.163*(Z12^2)-0.59*Z12+7617)*(10^(-4))/Z11</f>
        <v>0.10142476697736352</v>
      </c>
      <c r="AA13" s="1385">
        <f t="shared" si="5"/>
        <v>0.10142476697736352</v>
      </c>
      <c r="AB13" s="1385">
        <f t="shared" si="5"/>
        <v>0.10142476697736352</v>
      </c>
      <c r="AC13" s="1385">
        <f t="shared" si="5"/>
        <v>0.10142476697736352</v>
      </c>
      <c r="AD13" s="1385">
        <f t="shared" si="5"/>
        <v>0.10142476697736352</v>
      </c>
      <c r="AE13" s="1385">
        <f t="shared" si="5"/>
        <v>0.10142476697736352</v>
      </c>
      <c r="AF13" s="1385">
        <f t="shared" si="5"/>
        <v>0.10142476697736352</v>
      </c>
      <c r="AG13" s="1385">
        <f t="shared" si="5"/>
        <v>0.10142476697736352</v>
      </c>
      <c r="AH13" s="1385">
        <f t="shared" si="5"/>
        <v>0.10142476697736352</v>
      </c>
      <c r="AI13" s="1385">
        <f t="shared" si="5"/>
        <v>0.10142476697736352</v>
      </c>
      <c r="AJ13" s="1385">
        <f t="shared" si="5"/>
        <v>0.10142476697736352</v>
      </c>
    </row>
    <row r="14" spans="1:36" ht="15">
      <c r="A14" s="3574"/>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5"/>
      <c r="AE14" s="3015"/>
      <c r="AF14" s="3015"/>
      <c r="AG14" s="3015"/>
      <c r="AH14" s="3015"/>
      <c r="AI14" s="3015"/>
      <c r="AJ14" s="3016"/>
    </row>
    <row r="15" spans="1:36" ht="15.75" thickBot="1">
      <c r="A15" s="3575"/>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5"/>
      <c r="AE15" s="3015"/>
      <c r="AF15" s="3015"/>
      <c r="AG15" s="3015"/>
      <c r="AH15" s="3015"/>
      <c r="AI15" s="3015"/>
      <c r="AJ15" s="3016"/>
    </row>
    <row r="16" spans="1:36" ht="24.6" customHeight="1">
      <c r="A16" s="3550" t="s">
        <v>2704</v>
      </c>
      <c r="B16" s="2209" t="s">
        <v>2705</v>
      </c>
      <c r="C16" s="2371" t="e">
        <f>ROUND(IF(F17="与级别开发程度一致",0,(G17-E17)/C17),0)</f>
        <v>#DIV/0!</v>
      </c>
      <c r="D16" s="3563" t="s">
        <v>2709</v>
      </c>
      <c r="E16" s="3564"/>
      <c r="F16" s="3563" t="s">
        <v>2706</v>
      </c>
      <c r="G16" s="3564"/>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5"/>
      <c r="AE16" s="3015"/>
      <c r="AF16" s="3015"/>
      <c r="AG16" s="3015"/>
      <c r="AH16" s="3015"/>
      <c r="AI16" s="3015"/>
      <c r="AJ16" s="3016"/>
    </row>
    <row r="17" spans="1:37" ht="13.5" thickBot="1">
      <c r="A17" s="3551"/>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4"/>
      <c r="M18" s="3014"/>
      <c r="N18" s="3014"/>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4"/>
    </row>
    <row r="19" spans="1:37" s="2202" customFormat="1" ht="27.75" thickBot="1">
      <c r="A19" s="2246" t="s">
        <v>809</v>
      </c>
      <c r="B19" s="2247" t="s">
        <v>2712</v>
      </c>
      <c r="C19" s="863" t="e">
        <f>ROUND(IF(H19="按公示增长率计算",SUMPRODUCT((地价!A3:A33=YEAR(G19)&amp;"-"&amp;ROUNDUP(MONTH(G19)/3,0))*(地价!X2:AB2=E2)*(地价!X3:AB33)),IF(H19="地价指数",M20/M19,(1+I19)^O19)),4)</f>
        <v>#VALUE!</v>
      </c>
      <c r="D19" s="2251" t="s">
        <v>2713</v>
      </c>
      <c r="E19" s="864">
        <v>41640</v>
      </c>
      <c r="F19" s="2251" t="s">
        <v>2714</v>
      </c>
      <c r="G19" s="865">
        <f>'数据-取费表'!B2</f>
        <v>44280</v>
      </c>
      <c r="H19" s="2252"/>
      <c r="I19" s="866" t="str">
        <f>IF(H19="季度增幅（自定义）",SUMIF(N21:N24,E2,O21:O24),"")</f>
        <v/>
      </c>
      <c r="J19" s="2249"/>
      <c r="K19" s="1287"/>
      <c r="L19" s="2253" t="s">
        <v>2715</v>
      </c>
      <c r="M19" s="1497">
        <f>ROUND(SUMIF(地价!B2:F2,E2,地价!B33:F33),0)</f>
        <v>0</v>
      </c>
      <c r="N19" s="2254" t="s">
        <v>2716</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17"/>
      <c r="AH19" s="2340"/>
      <c r="AI19" s="3018"/>
      <c r="AJ19" s="3018"/>
      <c r="AK19" s="2255"/>
    </row>
    <row r="20" spans="1:37" s="2202" customFormat="1" ht="27.75" thickBot="1">
      <c r="A20" s="2256" t="s">
        <v>810</v>
      </c>
      <c r="B20" s="2257" t="s">
        <v>2717</v>
      </c>
      <c r="C20" s="868" t="e">
        <f>ROUND(POWER(1+G20,J20-I20)*(POWER(1+G20,I20)-1)/(POWER(1+G20,J20)-1),4)</f>
        <v>#DIV/0!</v>
      </c>
      <c r="D20" s="2258" t="s">
        <v>2718</v>
      </c>
      <c r="E20" s="1506">
        <f ca="1">存贷款利率!D4/100</f>
        <v>3.85E-2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8">
        <f>ROUND(SUMPRODUCT((地价!A4:A33=YEAR(G19)&amp;"-"&amp;ROUNDUP(MONTH(G19)/3,0))*(地价!B2:F2=E2)*(地价!B4:F33)),0)</f>
        <v>0</v>
      </c>
      <c r="N20" s="2260" t="s">
        <v>2721</v>
      </c>
      <c r="O20" s="2261" t="s">
        <v>2722</v>
      </c>
      <c r="P20" s="2262" t="s">
        <v>2723</v>
      </c>
      <c r="Q20" s="3014"/>
      <c r="R20" s="1286"/>
      <c r="S20" s="1286"/>
      <c r="T20" s="1281"/>
      <c r="U20" s="1281"/>
      <c r="V20" s="1281"/>
      <c r="W20" s="1280"/>
      <c r="X20" s="1280"/>
      <c r="Y20" s="1280"/>
      <c r="Z20" s="1287"/>
      <c r="AA20" s="1287"/>
      <c r="AB20" s="1287"/>
      <c r="AC20" s="1287"/>
      <c r="AD20" s="1287"/>
      <c r="AE20" s="1287"/>
      <c r="AF20" s="1287"/>
      <c r="AG20" s="3014"/>
      <c r="AH20" s="3014"/>
      <c r="AI20" s="3014"/>
      <c r="AJ20" s="3014"/>
    </row>
    <row r="21" spans="1:37" s="2202" customFormat="1" ht="15">
      <c r="A21" s="2263" t="s">
        <v>811</v>
      </c>
      <c r="B21" s="2264" t="s">
        <v>2724</v>
      </c>
      <c r="C21" s="876">
        <f>IF(B21="容积率修正",IF(G3&lt;=10,D22,J22),C23)</f>
        <v>0</v>
      </c>
      <c r="D21" s="2265"/>
      <c r="E21" s="2265"/>
      <c r="F21" s="2265"/>
      <c r="G21" s="2265"/>
      <c r="H21" s="2265"/>
      <c r="I21" s="2265"/>
      <c r="J21" s="2266"/>
      <c r="K21" s="1287"/>
      <c r="L21" s="3014"/>
      <c r="M21" s="3014"/>
      <c r="N21" s="2267" t="s">
        <v>2725</v>
      </c>
      <c r="O21" s="1335"/>
      <c r="P21" s="1336">
        <f>SUMPRODUCT((地价!A3:A33=YEAR(G19)&amp;"-"&amp;ROUNDUP(MONTH(G19)/3,0))*(地价!AD2:AH2=N21)*(地价!AD3:AH33))</f>
        <v>1.0999999999999999E-2</v>
      </c>
      <c r="Q21" s="3014"/>
      <c r="R21" s="1286"/>
      <c r="S21" s="1286"/>
      <c r="T21" s="1281"/>
      <c r="U21" s="1281"/>
      <c r="V21" s="1281"/>
      <c r="W21" s="1280"/>
      <c r="X21" s="1280"/>
      <c r="Y21" s="1280"/>
      <c r="Z21" s="1287"/>
      <c r="AA21" s="1287"/>
      <c r="AB21" s="1287"/>
      <c r="AC21" s="1287"/>
      <c r="AD21" s="1287"/>
      <c r="AE21" s="1287"/>
      <c r="AF21" s="1287"/>
      <c r="AG21" s="3014"/>
      <c r="AH21" s="3014"/>
      <c r="AI21" s="3014"/>
      <c r="AJ21" s="3014"/>
    </row>
    <row r="22" spans="1:37" s="2202" customFormat="1" ht="14.25">
      <c r="A22" s="2141" t="s">
        <v>2726</v>
      </c>
      <c r="B22" s="2268" t="s">
        <v>2727</v>
      </c>
      <c r="C22" s="1537" t="s">
        <v>2728</v>
      </c>
      <c r="D22" s="1537">
        <f>IF(E22=G22,F22,IF(G3&lt;=10,ROUND(F22+(H22-F22)*(G3-E22)/(G22-E22),4),"——"))</f>
        <v>0</v>
      </c>
      <c r="E22" s="855">
        <f>ROUNDDOWN(G3,1)</f>
        <v>7.5</v>
      </c>
      <c r="F22" s="15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7.6</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7" t="s">
        <v>155</v>
      </c>
      <c r="J22" s="877" t="str">
        <f>IF(G3&gt;10,D113,"——")</f>
        <v>——</v>
      </c>
      <c r="K22" s="1287"/>
      <c r="L22" s="3014"/>
      <c r="M22" s="3014"/>
      <c r="N22" s="2267" t="s">
        <v>2729</v>
      </c>
      <c r="O22" s="1335"/>
      <c r="P22" s="1336">
        <f>SUMPRODUCT((地价!A3:A33=YEAR(G19)&amp;"-"&amp;ROUNDUP(MONTH(G19)/3,0))*(地价!AD2:AH2=N22)*(地价!AD3:AH33))</f>
        <v>1.0999999999999999E-2</v>
      </c>
      <c r="Q22" s="3014"/>
      <c r="R22" s="1286"/>
      <c r="S22" s="1286"/>
      <c r="T22" s="1281"/>
      <c r="U22" s="1281"/>
      <c r="V22" s="1281"/>
      <c r="W22" s="1280"/>
      <c r="X22" s="1280"/>
      <c r="Y22" s="1280"/>
      <c r="Z22" s="1287"/>
      <c r="AA22" s="1287"/>
      <c r="AB22" s="1287"/>
      <c r="AC22" s="1287"/>
      <c r="AD22" s="1287"/>
      <c r="AE22" s="1287"/>
      <c r="AF22" s="1287"/>
      <c r="AG22" s="3014"/>
      <c r="AH22" s="3014"/>
      <c r="AI22" s="3014"/>
      <c r="AJ22" s="3014"/>
    </row>
    <row r="23" spans="1:37" ht="27.75" thickBot="1">
      <c r="A23" s="2141" t="s">
        <v>2730</v>
      </c>
      <c r="B23" s="2269" t="s">
        <v>2731</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2732</v>
      </c>
      <c r="O23" s="1335"/>
      <c r="P23" s="1336">
        <f>SUMPRODUCT((地价!A3:A33=YEAR(G19)&amp;"-"&amp;ROUNDUP(MONTH(G19)/3,0))*(地价!AD2:AH2=N23)*(地价!AD3:AH33))</f>
        <v>1.8499999999999999E-2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4"/>
      <c r="M24" s="3014"/>
      <c r="N24" s="2277" t="s">
        <v>2734</v>
      </c>
      <c r="O24" s="1337"/>
      <c r="P24" s="1338">
        <f>SUMPRODUCT((地价!A3:A33=YEAR(G19)&amp;"-"&amp;ROUNDUP(MONTH(G19)/3,0))*(地价!AD2:AH2=N24)*(地价!AD3:AH33))</f>
        <v>1.1900000000000001E-2</v>
      </c>
      <c r="Q24" s="3014"/>
      <c r="R24" s="1286"/>
      <c r="S24" s="1286"/>
      <c r="T24" s="1281"/>
      <c r="U24" s="1281"/>
      <c r="V24" s="1281"/>
      <c r="W24" s="1280"/>
      <c r="X24" s="1280"/>
      <c r="Y24" s="1280"/>
      <c r="Z24" s="1287"/>
      <c r="AA24" s="1287"/>
      <c r="AB24" s="1287"/>
      <c r="AC24" s="1287"/>
      <c r="AD24" s="1287"/>
      <c r="AE24" s="1287"/>
      <c r="AF24" s="1287"/>
      <c r="AG24" s="3014"/>
      <c r="AH24" s="3014"/>
      <c r="AI24" s="3014"/>
      <c r="AJ24" s="3014"/>
    </row>
    <row r="25" spans="1:37" ht="15.75" thickBot="1">
      <c r="A25" s="2256" t="s">
        <v>813</v>
      </c>
      <c r="B25" s="2278" t="s">
        <v>2735</v>
      </c>
      <c r="C25" s="869"/>
      <c r="D25" s="2212"/>
      <c r="E25" s="2212"/>
      <c r="F25" s="2279"/>
      <c r="G25" s="2212"/>
      <c r="H25" s="2212"/>
      <c r="I25" s="2212"/>
      <c r="J25" s="2213"/>
      <c r="K25" s="1280"/>
      <c r="L25" s="2183"/>
      <c r="M25" s="2183"/>
      <c r="N25" s="3009" t="s">
        <v>2736</v>
      </c>
      <c r="O25" s="3010"/>
      <c r="P25" s="3011">
        <f>SUMPRODUCT((地价!A3:A33=YEAR(G19)&amp;"-"&amp;ROUNDUP(MONTH(G19)/3,0))*(地价!AD2:AH2=N25)*(地价!AD3:AH33))</f>
        <v>1.6799999999999999E-2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2" t="s">
        <v>2635</v>
      </c>
      <c r="M26" s="2210" t="s">
        <v>2700</v>
      </c>
      <c r="N26" s="2210" t="s">
        <v>2701</v>
      </c>
      <c r="O26" s="2210" t="s">
        <v>2702</v>
      </c>
      <c r="P26" s="3013"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560"/>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565"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561"/>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6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561"/>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56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562"/>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562"/>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6"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29" t="s">
        <v>2762</v>
      </c>
      <c r="B47" s="1536" t="s">
        <v>2763</v>
      </c>
      <c r="C47" s="1536" t="s">
        <v>2764</v>
      </c>
      <c r="D47" s="1536" t="s">
        <v>2765</v>
      </c>
      <c r="E47" s="758" t="s">
        <v>2766</v>
      </c>
      <c r="F47" s="2330" t="s">
        <v>2767</v>
      </c>
      <c r="G47" s="1536" t="s">
        <v>754</v>
      </c>
      <c r="H47" s="2331" t="s">
        <v>2768</v>
      </c>
      <c r="I47" s="1536"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24.75">
      <c r="A48" s="2329" t="s">
        <v>2770</v>
      </c>
      <c r="B48" s="2332" t="str">
        <f>估价对象房地状况!C4</f>
        <v>一般</v>
      </c>
      <c r="C48" s="2234"/>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29" t="s">
        <v>2771</v>
      </c>
      <c r="B49" s="2333" t="str">
        <f>估价对象房地状况!C18</f>
        <v>较好</v>
      </c>
      <c r="C49" s="2234"/>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2775</v>
      </c>
      <c r="B52" s="2333" t="str">
        <f>估价对象房地状况!C24</f>
        <v>城市次干道——人民东路</v>
      </c>
      <c r="C52" s="2234"/>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6" t="s">
        <v>2778</v>
      </c>
      <c r="B54" s="1495" t="str">
        <f>估价对象房地状况!C21</f>
        <v>较好</v>
      </c>
      <c r="C54" s="2234"/>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6" t="s">
        <v>2779</v>
      </c>
      <c r="B55" s="2333" t="str">
        <f>估价对象房地状况!C22</f>
        <v>六通</v>
      </c>
      <c r="C55" s="2234"/>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7" t="s">
        <v>2780</v>
      </c>
      <c r="B56" s="2338" t="str">
        <f>估价对象房地状况!C20</f>
        <v>较好</v>
      </c>
      <c r="C56" s="2234"/>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6"/>
      <c r="C58" s="1536" t="s">
        <v>2764</v>
      </c>
      <c r="D58" s="1536" t="s">
        <v>2765</v>
      </c>
      <c r="E58" s="758" t="s">
        <v>2766</v>
      </c>
      <c r="F58" s="2330" t="s">
        <v>2782</v>
      </c>
      <c r="G58" s="1536" t="s">
        <v>754</v>
      </c>
      <c r="H58" s="2331" t="s">
        <v>2768</v>
      </c>
      <c r="I58" s="1536"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24">
      <c r="A59" s="2329" t="s">
        <v>2783</v>
      </c>
      <c r="B59" s="2332">
        <f>估价对象房地状况!C17</f>
        <v>0</v>
      </c>
      <c r="C59" s="2234"/>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4.25">
      <c r="A60" s="2329" t="s">
        <v>2771</v>
      </c>
      <c r="B60" s="2333" t="str">
        <f>估价对象房地状况!C18</f>
        <v>较好</v>
      </c>
      <c r="C60" s="2234"/>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t="str">
        <f>估价对象房地状况!C24</f>
        <v>城市次干道——人民东路</v>
      </c>
      <c r="C63" s="2234"/>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
      <c r="A65" s="2329" t="s">
        <v>2778</v>
      </c>
      <c r="B65" s="1495" t="str">
        <f>估价对象房地状况!C21</f>
        <v>较好</v>
      </c>
      <c r="C65" s="2234"/>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4">
      <c r="A66" s="2329" t="s">
        <v>2779</v>
      </c>
      <c r="B66" s="1495" t="str">
        <f>估价对象房地状况!C22</f>
        <v>六通</v>
      </c>
      <c r="C66" s="2234"/>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24.75" thickBot="1">
      <c r="A67" s="2337" t="s">
        <v>2780</v>
      </c>
      <c r="B67" s="2339" t="str">
        <f>估价对象房地状况!C20</f>
        <v>较好</v>
      </c>
      <c r="C67" s="2234"/>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6"/>
      <c r="C69" s="1536" t="s">
        <v>2764</v>
      </c>
      <c r="D69" s="1536" t="s">
        <v>2765</v>
      </c>
      <c r="E69" s="758" t="s">
        <v>2766</v>
      </c>
      <c r="F69" s="2330" t="s">
        <v>2782</v>
      </c>
      <c r="G69" s="1536" t="s">
        <v>754</v>
      </c>
      <c r="H69" s="2331" t="s">
        <v>2768</v>
      </c>
      <c r="I69" s="1536"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24">
      <c r="A70" s="2329" t="s">
        <v>2785</v>
      </c>
      <c r="B70" s="2332">
        <f>估价对象房地状况!C15</f>
        <v>0</v>
      </c>
      <c r="C70" s="2234"/>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29" t="s">
        <v>2771</v>
      </c>
      <c r="B71" s="2333" t="str">
        <f>估价对象房地状况!C18</f>
        <v>较好</v>
      </c>
      <c r="C71" s="2234"/>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t="str">
        <f>估价对象房地状况!C24</f>
        <v>城市次干道——人民东路</v>
      </c>
      <c r="C73" s="2234"/>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29" t="s">
        <v>2778</v>
      </c>
      <c r="B74" s="1495" t="str">
        <f>估价对象房地状况!C21</f>
        <v>较好</v>
      </c>
      <c r="C74" s="2234"/>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
      <c r="A75" s="2329" t="s">
        <v>2779</v>
      </c>
      <c r="B75" s="1495" t="str">
        <f>估价对象房地状况!C22</f>
        <v>六通</v>
      </c>
      <c r="C75" s="2234"/>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24">
      <c r="A77" s="2329" t="s">
        <v>2780</v>
      </c>
      <c r="B77" s="2332" t="str">
        <f>估价对象房地状况!C20</f>
        <v>较好</v>
      </c>
      <c r="C77" s="2234"/>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6"/>
      <c r="C80" s="1536" t="s">
        <v>2764</v>
      </c>
      <c r="D80" s="1536" t="s">
        <v>2765</v>
      </c>
      <c r="E80" s="758" t="s">
        <v>2766</v>
      </c>
      <c r="F80" s="2330" t="s">
        <v>2782</v>
      </c>
      <c r="G80" s="1536" t="s">
        <v>754</v>
      </c>
      <c r="H80" s="2331" t="s">
        <v>2768</v>
      </c>
      <c r="I80" s="1536"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5" t="str">
        <f>估价对象房地状况!G19</f>
        <v>估价对象所在区域公共配套设施齐备情况</v>
      </c>
      <c r="C85" s="2234"/>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5" t="str">
        <f>估价对象房地状况!G20</f>
        <v>估价对象所在区域基础设施水平</v>
      </c>
      <c r="C86" s="2234"/>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552" t="s">
        <v>2792</v>
      </c>
      <c r="B90" s="3552"/>
      <c r="C90" s="3552"/>
      <c r="D90" s="3552"/>
      <c r="E90" s="3552"/>
      <c r="F90" s="3552"/>
      <c r="G90" s="3552"/>
      <c r="H90" s="3552"/>
      <c r="I90" s="3552"/>
      <c r="J90" s="3552"/>
      <c r="K90" s="2343"/>
      <c r="L90" s="2343"/>
      <c r="M90" s="2343"/>
      <c r="N90" s="2343"/>
    </row>
    <row r="91" spans="1:37">
      <c r="A91" s="3554" t="s">
        <v>2793</v>
      </c>
      <c r="B91" s="3554" t="s">
        <v>2794</v>
      </c>
      <c r="C91" s="2297" t="s">
        <v>2795</v>
      </c>
      <c r="D91" s="2298"/>
      <c r="E91" s="2298"/>
      <c r="F91" s="2298"/>
      <c r="G91" s="2298"/>
      <c r="H91" s="2298"/>
      <c r="I91" s="2298"/>
      <c r="J91" s="2344"/>
      <c r="K91" s="2345"/>
      <c r="L91" s="2345"/>
      <c r="M91" s="2345"/>
      <c r="N91" s="2345"/>
    </row>
    <row r="92" spans="1:37">
      <c r="A92" s="3554"/>
      <c r="B92" s="3554"/>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555"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55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55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55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55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55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556"/>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55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555" t="s">
        <v>2797</v>
      </c>
      <c r="B101" s="2350" t="s">
        <v>2798</v>
      </c>
      <c r="C101" s="2351">
        <f>$G$3</f>
        <v>7.51</v>
      </c>
      <c r="D101" s="2351">
        <f t="shared" ref="D101:N101" si="31">$G$3</f>
        <v>7.51</v>
      </c>
      <c r="E101" s="2351">
        <f t="shared" si="31"/>
        <v>7.51</v>
      </c>
      <c r="F101" s="2351">
        <f t="shared" si="31"/>
        <v>7.51</v>
      </c>
      <c r="G101" s="2351">
        <f t="shared" si="31"/>
        <v>7.51</v>
      </c>
      <c r="H101" s="2351">
        <f t="shared" si="31"/>
        <v>7.51</v>
      </c>
      <c r="I101" s="2351">
        <f t="shared" si="31"/>
        <v>7.51</v>
      </c>
      <c r="J101" s="2351">
        <f t="shared" si="31"/>
        <v>7.51</v>
      </c>
      <c r="K101" s="2351">
        <f t="shared" si="31"/>
        <v>7.51</v>
      </c>
      <c r="L101" s="2351">
        <f t="shared" si="31"/>
        <v>7.51</v>
      </c>
      <c r="M101" s="2351">
        <f t="shared" si="31"/>
        <v>7.51</v>
      </c>
      <c r="N101" s="2351">
        <f t="shared" si="31"/>
        <v>7.51</v>
      </c>
    </row>
    <row r="102" spans="1:14">
      <c r="A102" s="3556"/>
      <c r="B102" s="2346">
        <v>1</v>
      </c>
      <c r="C102" s="2347">
        <f>1.9362/C101</f>
        <v>0.25781624500665778</v>
      </c>
      <c r="D102" s="2347">
        <f>1.9362/D101</f>
        <v>0.25781624500665778</v>
      </c>
      <c r="E102" s="2347">
        <f>1.8629/E101</f>
        <v>0.24805592543275634</v>
      </c>
      <c r="F102" s="2347">
        <f>1.8629/F101</f>
        <v>0.24805592543275634</v>
      </c>
      <c r="G102" s="2347">
        <f>1.8629/G101</f>
        <v>0.24805592543275634</v>
      </c>
      <c r="H102" s="2347">
        <f>1.8629/H101</f>
        <v>0.24805592543275634</v>
      </c>
      <c r="I102" s="2347">
        <f>1.8629/I101</f>
        <v>0.24805592543275634</v>
      </c>
      <c r="J102" s="2347">
        <f>1.942/J101</f>
        <v>0.2585885486018642</v>
      </c>
      <c r="K102" s="2347">
        <f>1.942/K101</f>
        <v>0.2585885486018642</v>
      </c>
      <c r="L102" s="2347">
        <f>1.942/L101</f>
        <v>0.2585885486018642</v>
      </c>
      <c r="M102" s="2347">
        <f>1.942/M101</f>
        <v>0.2585885486018642</v>
      </c>
      <c r="N102" s="2347">
        <f>1.942/N101</f>
        <v>0.2585885486018642</v>
      </c>
    </row>
    <row r="103" spans="1:14">
      <c r="A103" s="3556"/>
      <c r="B103" s="2346">
        <v>2</v>
      </c>
      <c r="C103" s="2347">
        <f>1.4198/C101</f>
        <v>0.18905459387483356</v>
      </c>
      <c r="D103" s="2347">
        <f>1.4198/D101</f>
        <v>0.18905459387483356</v>
      </c>
      <c r="E103" s="2347">
        <f>1.3372/E101</f>
        <v>0.17805592543275633</v>
      </c>
      <c r="F103" s="2347">
        <f>1.3372/F101</f>
        <v>0.17805592543275633</v>
      </c>
      <c r="G103" s="2347">
        <f>1.3372/G101</f>
        <v>0.17805592543275633</v>
      </c>
      <c r="H103" s="2347">
        <f>1.3372/H101</f>
        <v>0.17805592543275633</v>
      </c>
      <c r="I103" s="2347">
        <f>1.3372/I101</f>
        <v>0.17805592543275633</v>
      </c>
      <c r="J103" s="2347">
        <f>1.2799/J101</f>
        <v>0.17042609853528629</v>
      </c>
      <c r="K103" s="2347">
        <f>1.2799/K101</f>
        <v>0.17042609853528629</v>
      </c>
      <c r="L103" s="2347">
        <f>1.2799/L101</f>
        <v>0.17042609853528629</v>
      </c>
      <c r="M103" s="2347">
        <f>1.2799/M101</f>
        <v>0.17042609853528629</v>
      </c>
      <c r="N103" s="2347">
        <f>1.2799/N101</f>
        <v>0.17042609853528629</v>
      </c>
    </row>
    <row r="104" spans="1:14">
      <c r="A104" s="3556"/>
      <c r="B104" s="2346">
        <v>3</v>
      </c>
      <c r="C104" s="2347">
        <f>1.1594/C101</f>
        <v>0.15438082556591212</v>
      </c>
      <c r="D104" s="2347">
        <f>1.1594/D101</f>
        <v>0.15438082556591212</v>
      </c>
      <c r="E104" s="2347">
        <f>1.0788/E101</f>
        <v>0.14364846870838882</v>
      </c>
      <c r="F104" s="2347">
        <f>1.0788/F101</f>
        <v>0.14364846870838882</v>
      </c>
      <c r="G104" s="2347">
        <f>1.0788/G101</f>
        <v>0.14364846870838882</v>
      </c>
      <c r="H104" s="2347">
        <f>1.0788/H101</f>
        <v>0.14364846870838882</v>
      </c>
      <c r="I104" s="2347">
        <f>1.0788/I101</f>
        <v>0.14364846870838882</v>
      </c>
      <c r="J104" s="2347">
        <f>1.0072/J101</f>
        <v>0.13411451398135821</v>
      </c>
      <c r="K104" s="2347">
        <f>1.0072/K101</f>
        <v>0.13411451398135821</v>
      </c>
      <c r="L104" s="2347">
        <f>1.0072/L101</f>
        <v>0.13411451398135821</v>
      </c>
      <c r="M104" s="2347">
        <f>1.0072/M101</f>
        <v>0.13411451398135821</v>
      </c>
      <c r="N104" s="2347">
        <f>1.0072/N101</f>
        <v>0.13411451398135821</v>
      </c>
    </row>
    <row r="105" spans="1:14">
      <c r="A105" s="3556"/>
      <c r="B105" s="2346">
        <v>4</v>
      </c>
      <c r="C105" s="2347">
        <f>0.9622/C101</f>
        <v>0.12812250332889483</v>
      </c>
      <c r="D105" s="2347">
        <f>0.9622/D101</f>
        <v>0.12812250332889483</v>
      </c>
      <c r="E105" s="2347">
        <f>0.8656/E101</f>
        <v>0.11525965379494009</v>
      </c>
      <c r="F105" s="2347">
        <f>0.8656/F101</f>
        <v>0.11525965379494009</v>
      </c>
      <c r="G105" s="2347">
        <f>0.8656/G101</f>
        <v>0.11525965379494009</v>
      </c>
      <c r="H105" s="2347">
        <f>0.8656/H101</f>
        <v>0.11525965379494009</v>
      </c>
      <c r="I105" s="2347">
        <f>0.8656/I101</f>
        <v>0.11525965379494009</v>
      </c>
      <c r="J105" s="2347">
        <f>0.7525/J101</f>
        <v>0.10019973368841543</v>
      </c>
      <c r="K105" s="2347">
        <f>0.7525/K101</f>
        <v>0.10019973368841543</v>
      </c>
      <c r="L105" s="2347">
        <f>0.7525/L101</f>
        <v>0.10019973368841543</v>
      </c>
      <c r="M105" s="2347">
        <f>0.7525/M101</f>
        <v>0.10019973368841543</v>
      </c>
      <c r="N105" s="2347">
        <f>0.7525/N101</f>
        <v>0.10019973368841543</v>
      </c>
    </row>
    <row r="106" spans="1:14">
      <c r="A106" s="3556"/>
      <c r="B106" s="2346">
        <v>5</v>
      </c>
      <c r="C106" s="2347">
        <f>0.8417/C101</f>
        <v>0.11207723035952065</v>
      </c>
      <c r="D106" s="2347">
        <f>0.8417/D101</f>
        <v>0.11207723035952065</v>
      </c>
      <c r="E106" s="2347">
        <f>0.7371/E101</f>
        <v>9.8149134487350201E-2</v>
      </c>
      <c r="F106" s="2347">
        <f>0.7371/F101</f>
        <v>9.8149134487350201E-2</v>
      </c>
      <c r="G106" s="2347">
        <f>0.7371/G101</f>
        <v>9.8149134487350201E-2</v>
      </c>
      <c r="H106" s="2347">
        <f>0.7371/H101</f>
        <v>9.8149134487350201E-2</v>
      </c>
      <c r="I106" s="2347">
        <f>0.7371/I101</f>
        <v>9.8149134487350201E-2</v>
      </c>
      <c r="J106" s="2347">
        <f>0.5659/J101</f>
        <v>7.535286284953395E-2</v>
      </c>
      <c r="K106" s="2347">
        <f>0.5659/K101</f>
        <v>7.535286284953395E-2</v>
      </c>
      <c r="L106" s="2347">
        <f>0.5659/L101</f>
        <v>7.535286284953395E-2</v>
      </c>
      <c r="M106" s="2347">
        <f>0.5659/M101</f>
        <v>7.535286284953395E-2</v>
      </c>
      <c r="N106" s="2347">
        <f>0.5659/N101</f>
        <v>7.535286284953395E-2</v>
      </c>
    </row>
    <row r="107" spans="1:14">
      <c r="A107" s="3556"/>
      <c r="B107" s="2346">
        <v>6</v>
      </c>
      <c r="C107" s="2347">
        <f>0.7608/C101</f>
        <v>0.10130492676431425</v>
      </c>
      <c r="D107" s="2347">
        <f>0.7608/D101</f>
        <v>0.10130492676431425</v>
      </c>
      <c r="E107" s="2347">
        <f>0.6482/E101</f>
        <v>8.6311584553928095E-2</v>
      </c>
      <c r="F107" s="2347">
        <f>0.6482/F101</f>
        <v>8.6311584553928095E-2</v>
      </c>
      <c r="G107" s="2347">
        <f>0.6482/G101</f>
        <v>8.6311584553928095E-2</v>
      </c>
      <c r="H107" s="2347">
        <f>0.6482/H101</f>
        <v>8.6311584553928095E-2</v>
      </c>
      <c r="I107" s="2347">
        <f>0.6482/I101</f>
        <v>8.6311584553928095E-2</v>
      </c>
      <c r="J107" s="2347">
        <f>0.4525/J101</f>
        <v>6.0252996005326236E-2</v>
      </c>
      <c r="K107" s="2347">
        <f>0.4525/K101</f>
        <v>6.0252996005326236E-2</v>
      </c>
      <c r="L107" s="2347">
        <f>0.4525/L101</f>
        <v>6.0252996005326236E-2</v>
      </c>
      <c r="M107" s="2347">
        <f>0.4525/M101</f>
        <v>6.0252996005326236E-2</v>
      </c>
      <c r="N107" s="2347">
        <f>0.4525/N101</f>
        <v>6.0252996005326236E-2</v>
      </c>
    </row>
    <row r="108" spans="1:14">
      <c r="A108" s="3556"/>
      <c r="B108" s="3558"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557"/>
      <c r="B109" s="3559"/>
      <c r="C109" s="2349">
        <f>(-0.163*(C108^2)-0.59*C108+7617)*(10^(-4))/C101</f>
        <v>0.10142476697736352</v>
      </c>
      <c r="D109" s="2349">
        <f>(-0.163*(D108^2)-0.59*D108+7617)*(10^(-4))/D101</f>
        <v>0.10142476697736352</v>
      </c>
      <c r="E109" s="2349">
        <f>(-0.161*(E108^2)-7.509*E108+6533)*(10^(-4))/E101</f>
        <v>8.6990679094540613E-2</v>
      </c>
      <c r="F109" s="2349">
        <f>(-0.161*(F108^2)-7.509*F108+6533)*(10^(-4))/F101</f>
        <v>8.6990679094540613E-2</v>
      </c>
      <c r="G109" s="2349">
        <f>(-0.161*(G108^2)-7.509*G108+6533)*(10^(-4))/G101</f>
        <v>8.6990679094540613E-2</v>
      </c>
      <c r="H109" s="2349">
        <f>(-0.161*(H108^2)-7.509*H108+6533)*(10^(-4))/H101</f>
        <v>8.6990679094540613E-2</v>
      </c>
      <c r="I109" s="2349">
        <f>(-0.161*(I108^2)-7.509*I108+6533)*(10^(-4))/I101</f>
        <v>8.6990679094540613E-2</v>
      </c>
      <c r="J109" s="2349">
        <f>(-0.214*(J108^2)-21.991*J108+4665)*(10^(-4))/J101</f>
        <v>6.2117177097203734E-2</v>
      </c>
      <c r="K109" s="2349">
        <f>(-0.214*(K108^2)-21.991*K108+4665)*(10^(-4))/K101</f>
        <v>6.2117177097203734E-2</v>
      </c>
      <c r="L109" s="2349">
        <f>(-0.214*(L108^2)-21.991*L108+4665)*(10^(-4))/L101</f>
        <v>6.2117177097203734E-2</v>
      </c>
      <c r="M109" s="2349">
        <f>(-0.214*(M108^2)-21.991*M108+4665)*(10^(-4))/M101</f>
        <v>6.2117177097203734E-2</v>
      </c>
      <c r="N109" s="2349">
        <f>(-0.214*(N108^2)-21.991*N108+4665)*(10^(-4))/N101</f>
        <v>6.2117177097203734E-2</v>
      </c>
    </row>
    <row r="110" spans="1:14">
      <c r="A110" s="3553" t="s">
        <v>2800</v>
      </c>
      <c r="B110" s="3553"/>
      <c r="C110" s="3553"/>
      <c r="D110" s="3553"/>
      <c r="E110" s="3553"/>
      <c r="F110" s="3553"/>
      <c r="G110" s="3553"/>
      <c r="H110" s="3553"/>
      <c r="I110" s="3553"/>
      <c r="J110" s="3553"/>
      <c r="K110" s="2352"/>
      <c r="L110" s="2352"/>
      <c r="M110" s="2352"/>
      <c r="N110" s="2352"/>
    </row>
    <row r="112" spans="1:14" ht="13.5" thickBot="1"/>
    <row r="113" spans="1:13" ht="25.5" thickBot="1">
      <c r="A113" s="842" t="s">
        <v>2801</v>
      </c>
      <c r="B113" s="1197">
        <f>G3</f>
        <v>7.51</v>
      </c>
      <c r="C113" s="843" t="s">
        <v>2802</v>
      </c>
      <c r="D113" s="844">
        <f>SUMPRODUCT((A115:A118=F113)*(B114:M114=H113)*B115:M118)</f>
        <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0.8629</v>
      </c>
      <c r="C115" s="849">
        <f>B115</f>
        <v>0.8629</v>
      </c>
      <c r="D115" s="849">
        <f>ROUND(0.8331-0.0109*B113,4)</f>
        <v>0.75119999999999998</v>
      </c>
      <c r="E115" s="849">
        <f>D115</f>
        <v>0.75119999999999998</v>
      </c>
      <c r="F115" s="849">
        <f>E115</f>
        <v>0.75119999999999998</v>
      </c>
      <c r="G115" s="849">
        <f>F115</f>
        <v>0.75119999999999998</v>
      </c>
      <c r="H115" s="849">
        <f>G115</f>
        <v>0.75119999999999998</v>
      </c>
      <c r="I115" s="849">
        <f>ROUND(0.689-0.0155*B113,4)</f>
        <v>0.5726</v>
      </c>
      <c r="J115" s="849">
        <f t="shared" ref="J115:M118" si="33">I115</f>
        <v>0.5726</v>
      </c>
      <c r="K115" s="849">
        <f t="shared" si="33"/>
        <v>0.5726</v>
      </c>
      <c r="L115" s="849">
        <f t="shared" si="33"/>
        <v>0.5726</v>
      </c>
      <c r="M115" s="850">
        <f t="shared" si="33"/>
        <v>0.5726</v>
      </c>
    </row>
    <row r="116" spans="1:13">
      <c r="A116" s="848" t="s">
        <v>2701</v>
      </c>
      <c r="B116" s="849">
        <f>ROUND(0.949-0.012*B113,4)</f>
        <v>0.8589</v>
      </c>
      <c r="C116" s="849">
        <f>B116</f>
        <v>0.8589</v>
      </c>
      <c r="D116" s="849">
        <f>ROUND(0.8567-0.013*B113,4)</f>
        <v>0.7591</v>
      </c>
      <c r="E116" s="849">
        <f t="shared" ref="E116:H117" si="34">D116</f>
        <v>0.7591</v>
      </c>
      <c r="F116" s="849">
        <f t="shared" si="34"/>
        <v>0.7591</v>
      </c>
      <c r="G116" s="849">
        <f t="shared" si="34"/>
        <v>0.7591</v>
      </c>
      <c r="H116" s="849">
        <f t="shared" si="34"/>
        <v>0.7591</v>
      </c>
      <c r="I116" s="849">
        <f>ROUND(0.7694-0.014*B113,4)</f>
        <v>0.6643</v>
      </c>
      <c r="J116" s="849">
        <f t="shared" si="33"/>
        <v>0.6643</v>
      </c>
      <c r="K116" s="849">
        <f t="shared" si="33"/>
        <v>0.6643</v>
      </c>
      <c r="L116" s="849">
        <f t="shared" si="33"/>
        <v>0.6643</v>
      </c>
      <c r="M116" s="850">
        <f t="shared" si="33"/>
        <v>0.6643</v>
      </c>
    </row>
    <row r="117" spans="1:13">
      <c r="A117" s="848" t="s">
        <v>2702</v>
      </c>
      <c r="B117" s="849">
        <f>ROUND(0.8808-0.006*B113,4)</f>
        <v>0.8357</v>
      </c>
      <c r="C117" s="849">
        <f>B117</f>
        <v>0.8357</v>
      </c>
      <c r="D117" s="849">
        <f>ROUND(0.8748-0.008*B113,4)</f>
        <v>0.81469999999999998</v>
      </c>
      <c r="E117" s="849">
        <f t="shared" si="34"/>
        <v>0.81469999999999998</v>
      </c>
      <c r="F117" s="849">
        <f t="shared" si="34"/>
        <v>0.81469999999999998</v>
      </c>
      <c r="G117" s="849">
        <f t="shared" si="34"/>
        <v>0.81469999999999998</v>
      </c>
      <c r="H117" s="849">
        <f t="shared" si="34"/>
        <v>0.81469999999999998</v>
      </c>
      <c r="I117" s="849">
        <f>ROUND(0.7412-0.0095*B113,4)</f>
        <v>0.66990000000000005</v>
      </c>
      <c r="J117" s="849">
        <f t="shared" si="33"/>
        <v>0.66990000000000005</v>
      </c>
      <c r="K117" s="849">
        <f t="shared" si="33"/>
        <v>0.66990000000000005</v>
      </c>
      <c r="L117" s="849">
        <f t="shared" si="33"/>
        <v>0.66990000000000005</v>
      </c>
      <c r="M117" s="850">
        <f t="shared" si="33"/>
        <v>0.66990000000000005</v>
      </c>
    </row>
    <row r="118" spans="1:13" ht="13.5" thickBot="1">
      <c r="A118" s="670" t="s">
        <v>2703</v>
      </c>
      <c r="B118" s="851">
        <f>ROUND(0.7275-0.01*B113,4)</f>
        <v>0.65239999999999998</v>
      </c>
      <c r="C118" s="851">
        <f>B118</f>
        <v>0.65239999999999998</v>
      </c>
      <c r="D118" s="851">
        <f>ROUND(0.7043-0.012*B113,4)</f>
        <v>0.61419999999999997</v>
      </c>
      <c r="E118" s="851">
        <f>D118</f>
        <v>0.61419999999999997</v>
      </c>
      <c r="F118" s="851">
        <f>E118</f>
        <v>0.61419999999999997</v>
      </c>
      <c r="G118" s="851">
        <f>ROUND(0.6299-0.0122*B113,4)</f>
        <v>0.5383</v>
      </c>
      <c r="H118" s="851">
        <f>G118</f>
        <v>0.5383</v>
      </c>
      <c r="I118" s="851">
        <f>ROUND(0.5667-0.0136*B113,4)</f>
        <v>0.46460000000000001</v>
      </c>
      <c r="J118" s="851">
        <f t="shared" si="33"/>
        <v>0.46460000000000001</v>
      </c>
      <c r="K118" s="851">
        <f t="shared" si="33"/>
        <v>0.46460000000000001</v>
      </c>
      <c r="L118" s="851">
        <f t="shared" si="33"/>
        <v>0.46460000000000001</v>
      </c>
      <c r="M118" s="852">
        <f t="shared" si="33"/>
        <v>0.46460000000000001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11" priority="5" stopIfTrue="1" operator="notEqual">
      <formula>"——"</formula>
    </cfRule>
  </conditionalFormatting>
  <conditionalFormatting sqref="F59">
    <cfRule type="cellIs" dxfId="10" priority="4" stopIfTrue="1" operator="notEqual">
      <formula>"——"</formula>
    </cfRule>
  </conditionalFormatting>
  <conditionalFormatting sqref="F70">
    <cfRule type="cellIs" dxfId="9"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dxfId="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6" t="s">
        <v>183</v>
      </c>
      <c r="B18" s="821" t="s">
        <v>560</v>
      </c>
      <c r="C18" s="822" t="s">
        <v>561</v>
      </c>
      <c r="D18" s="823"/>
      <c r="E18" s="821">
        <v>1</v>
      </c>
      <c r="F18" s="824" t="s">
        <v>562</v>
      </c>
      <c r="G18" s="825"/>
      <c r="H18" s="817"/>
      <c r="I18" s="817"/>
    </row>
    <row r="19" spans="1:9" s="826" customFormat="1" ht="19.5" customHeight="1">
      <c r="A19" s="3576"/>
      <c r="B19" s="3576" t="s">
        <v>563</v>
      </c>
      <c r="C19" s="822" t="s">
        <v>564</v>
      </c>
      <c r="D19" s="823"/>
      <c r="E19" s="821">
        <v>0.9</v>
      </c>
      <c r="F19" s="824" t="s">
        <v>565</v>
      </c>
      <c r="G19" s="825"/>
      <c r="H19" s="817"/>
      <c r="I19" s="817"/>
    </row>
    <row r="20" spans="1:9" s="826" customFormat="1" ht="19.5" customHeight="1">
      <c r="A20" s="3576"/>
      <c r="B20" s="3576"/>
      <c r="C20" s="822" t="s">
        <v>566</v>
      </c>
      <c r="D20" s="823"/>
      <c r="E20" s="821">
        <v>1.1000000000000001</v>
      </c>
      <c r="F20" s="824" t="s">
        <v>567</v>
      </c>
      <c r="G20" s="825"/>
      <c r="H20" s="817"/>
      <c r="I20" s="817"/>
    </row>
    <row r="21" spans="1:9" s="826" customFormat="1" ht="19.5" customHeight="1">
      <c r="A21" s="3576"/>
      <c r="B21" s="3576"/>
      <c r="C21" s="822" t="s">
        <v>568</v>
      </c>
      <c r="D21" s="823"/>
      <c r="E21" s="821">
        <v>0.8</v>
      </c>
      <c r="F21" s="824" t="s">
        <v>569</v>
      </c>
      <c r="G21" s="825"/>
      <c r="H21" s="817"/>
      <c r="I21" s="817"/>
    </row>
    <row r="22" spans="1:9" s="826" customFormat="1" ht="19.5" customHeight="1">
      <c r="A22" s="3576"/>
      <c r="B22" s="3576"/>
      <c r="C22" s="822" t="s">
        <v>570</v>
      </c>
      <c r="D22" s="823"/>
      <c r="E22" s="821">
        <v>0.5</v>
      </c>
      <c r="F22" s="824"/>
      <c r="G22" s="825"/>
      <c r="H22" s="817"/>
      <c r="I22" s="817"/>
    </row>
    <row r="23" spans="1:9" s="826" customFormat="1" ht="19.5" customHeight="1">
      <c r="A23" s="3576" t="s">
        <v>184</v>
      </c>
      <c r="B23" s="821" t="s">
        <v>560</v>
      </c>
      <c r="C23" s="822" t="s">
        <v>571</v>
      </c>
      <c r="D23" s="823"/>
      <c r="E23" s="821">
        <v>1</v>
      </c>
      <c r="F23" s="824" t="s">
        <v>572</v>
      </c>
      <c r="G23" s="825"/>
      <c r="H23" s="817"/>
      <c r="I23" s="817"/>
    </row>
    <row r="24" spans="1:9" s="826" customFormat="1" ht="19.5" customHeight="1">
      <c r="A24" s="3576"/>
      <c r="B24" s="3576" t="s">
        <v>563</v>
      </c>
      <c r="C24" s="822" t="s">
        <v>573</v>
      </c>
      <c r="D24" s="823"/>
      <c r="E24" s="821">
        <v>0.5</v>
      </c>
      <c r="F24" s="824"/>
      <c r="G24" s="825"/>
      <c r="H24" s="817"/>
      <c r="I24" s="817"/>
    </row>
    <row r="25" spans="1:9" s="826" customFormat="1" ht="19.5" customHeight="1">
      <c r="A25" s="3576"/>
      <c r="B25" s="3576"/>
      <c r="C25" s="822" t="s">
        <v>574</v>
      </c>
      <c r="D25" s="823"/>
      <c r="E25" s="821">
        <v>1.1000000000000001</v>
      </c>
      <c r="F25" s="824"/>
      <c r="G25" s="825"/>
      <c r="H25" s="817"/>
      <c r="I25" s="817"/>
    </row>
    <row r="26" spans="1:9" s="826" customFormat="1" ht="19.5" customHeight="1">
      <c r="A26" s="3576"/>
      <c r="B26" s="3576"/>
      <c r="C26" s="822" t="s">
        <v>575</v>
      </c>
      <c r="D26" s="823"/>
      <c r="E26" s="821">
        <v>1.1000000000000001</v>
      </c>
      <c r="F26" s="824"/>
      <c r="G26" s="825"/>
      <c r="H26" s="817"/>
      <c r="I26" s="817"/>
    </row>
    <row r="27" spans="1:9" s="826" customFormat="1" ht="19.5" customHeight="1">
      <c r="A27" s="3576"/>
      <c r="B27" s="3576"/>
      <c r="C27" s="822" t="s">
        <v>576</v>
      </c>
      <c r="D27" s="823"/>
      <c r="E27" s="821">
        <v>0.9</v>
      </c>
      <c r="F27" s="824" t="s">
        <v>577</v>
      </c>
      <c r="G27" s="825"/>
      <c r="H27" s="817"/>
      <c r="I27" s="817"/>
    </row>
    <row r="28" spans="1:9" s="826" customFormat="1" ht="19.5" customHeight="1">
      <c r="A28" s="3576"/>
      <c r="B28" s="3576"/>
      <c r="C28" s="822" t="s">
        <v>578</v>
      </c>
      <c r="D28" s="823"/>
      <c r="E28" s="821">
        <v>0.9</v>
      </c>
      <c r="F28" s="824" t="s">
        <v>579</v>
      </c>
      <c r="G28" s="825"/>
      <c r="H28" s="817"/>
      <c r="I28" s="817"/>
    </row>
    <row r="29" spans="1:9" s="826" customFormat="1" ht="19.5" customHeight="1">
      <c r="A29" s="3576"/>
      <c r="B29" s="3576"/>
      <c r="C29" s="822" t="s">
        <v>580</v>
      </c>
      <c r="D29" s="823"/>
      <c r="E29" s="821">
        <v>0.9</v>
      </c>
      <c r="F29" s="824" t="s">
        <v>581</v>
      </c>
      <c r="G29" s="825"/>
      <c r="H29" s="817"/>
      <c r="I29" s="817"/>
    </row>
    <row r="30" spans="1:9" s="826" customFormat="1" ht="19.5" customHeight="1">
      <c r="A30" s="3576"/>
      <c r="B30" s="3576"/>
      <c r="C30" s="822" t="s">
        <v>582</v>
      </c>
      <c r="D30" s="823"/>
      <c r="E30" s="821">
        <v>0.9</v>
      </c>
      <c r="F30" s="824" t="s">
        <v>583</v>
      </c>
      <c r="G30" s="825"/>
      <c r="H30" s="817"/>
      <c r="I30" s="817"/>
    </row>
    <row r="31" spans="1:9" s="826" customFormat="1" ht="19.5" customHeight="1">
      <c r="A31" s="3576"/>
      <c r="B31" s="3576"/>
      <c r="C31" s="822" t="s">
        <v>584</v>
      </c>
      <c r="D31" s="823"/>
      <c r="E31" s="821">
        <v>0.8</v>
      </c>
      <c r="F31" s="824" t="s">
        <v>585</v>
      </c>
      <c r="G31" s="825"/>
      <c r="H31" s="817"/>
      <c r="I31" s="817"/>
    </row>
    <row r="32" spans="1:9" s="826" customFormat="1" ht="19.5" customHeight="1">
      <c r="A32" s="3576"/>
      <c r="B32" s="3576"/>
      <c r="C32" s="822" t="s">
        <v>586</v>
      </c>
      <c r="D32" s="823"/>
      <c r="E32" s="821">
        <v>0.8</v>
      </c>
      <c r="F32" s="824" t="s">
        <v>587</v>
      </c>
      <c r="G32" s="825"/>
      <c r="H32" s="817"/>
      <c r="I32" s="817"/>
    </row>
    <row r="33" spans="1:9" s="826" customFormat="1" ht="19.5" customHeight="1">
      <c r="A33" s="3576" t="s">
        <v>185</v>
      </c>
      <c r="B33" s="821" t="s">
        <v>560</v>
      </c>
      <c r="C33" s="822" t="s">
        <v>588</v>
      </c>
      <c r="D33" s="823"/>
      <c r="E33" s="821">
        <v>1</v>
      </c>
      <c r="F33" s="824" t="s">
        <v>589</v>
      </c>
      <c r="G33" s="825"/>
      <c r="H33" s="817"/>
      <c r="I33" s="817"/>
    </row>
    <row r="34" spans="1:9" s="826" customFormat="1" ht="19.5" customHeight="1">
      <c r="A34" s="3576"/>
      <c r="B34" s="821" t="s">
        <v>563</v>
      </c>
      <c r="C34" s="822" t="s">
        <v>590</v>
      </c>
      <c r="D34" s="823"/>
      <c r="E34" s="821">
        <v>1.5</v>
      </c>
      <c r="F34" s="824" t="s">
        <v>591</v>
      </c>
      <c r="G34" s="825"/>
      <c r="H34" s="817"/>
      <c r="I34" s="817"/>
    </row>
    <row r="35" spans="1:9" s="826" customFormat="1" ht="19.5" customHeight="1">
      <c r="A35" s="3576" t="s">
        <v>186</v>
      </c>
      <c r="B35" s="821" t="s">
        <v>560</v>
      </c>
      <c r="C35" s="822" t="s">
        <v>592</v>
      </c>
      <c r="D35" s="823"/>
      <c r="E35" s="821">
        <v>1</v>
      </c>
      <c r="F35" s="824" t="s">
        <v>593</v>
      </c>
      <c r="G35" s="825"/>
      <c r="H35" s="817"/>
      <c r="I35" s="817"/>
    </row>
    <row r="36" spans="1:9" s="826" customFormat="1" ht="19.5" customHeight="1">
      <c r="A36" s="3576"/>
      <c r="B36" s="3576" t="s">
        <v>563</v>
      </c>
      <c r="C36" s="822" t="s">
        <v>594</v>
      </c>
      <c r="D36" s="823"/>
      <c r="E36" s="821">
        <v>1</v>
      </c>
      <c r="F36" s="824" t="s">
        <v>595</v>
      </c>
      <c r="G36" s="825"/>
      <c r="H36" s="817"/>
      <c r="I36" s="817"/>
    </row>
    <row r="37" spans="1:9" s="826" customFormat="1" ht="19.5" customHeight="1">
      <c r="A37" s="3576"/>
      <c r="B37" s="3576"/>
      <c r="C37" s="822" t="s">
        <v>596</v>
      </c>
      <c r="D37" s="823"/>
      <c r="E37" s="821">
        <v>1.5</v>
      </c>
      <c r="F37" s="824" t="s">
        <v>597</v>
      </c>
      <c r="G37" s="825"/>
      <c r="H37" s="817"/>
      <c r="I37" s="817"/>
    </row>
    <row r="38" spans="1:9" s="826" customFormat="1" ht="19.5" customHeight="1">
      <c r="A38" s="3576"/>
      <c r="B38" s="3576"/>
      <c r="C38" s="822" t="s">
        <v>598</v>
      </c>
      <c r="D38" s="823"/>
      <c r="E38" s="821">
        <v>1</v>
      </c>
      <c r="F38" s="824" t="s">
        <v>599</v>
      </c>
      <c r="G38" s="825"/>
      <c r="H38" s="817"/>
      <c r="I38" s="817"/>
    </row>
    <row r="39" spans="1:9" s="826" customFormat="1" ht="19.5" customHeight="1">
      <c r="A39" s="3576"/>
      <c r="B39" s="357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6" t="s">
        <v>614</v>
      </c>
      <c r="C61" s="757" t="s">
        <v>615</v>
      </c>
      <c r="D61" s="757" t="s">
        <v>616</v>
      </c>
      <c r="E61" s="834">
        <v>0.5</v>
      </c>
      <c r="F61" s="821">
        <v>80</v>
      </c>
    </row>
    <row r="62" spans="1:8" s="817" customFormat="1" ht="24">
      <c r="A62" s="821">
        <v>2</v>
      </c>
      <c r="B62" s="3576"/>
      <c r="C62" s="757" t="s">
        <v>617</v>
      </c>
      <c r="D62" s="757" t="s">
        <v>618</v>
      </c>
      <c r="E62" s="834">
        <v>0.5</v>
      </c>
      <c r="F62" s="821">
        <v>80</v>
      </c>
    </row>
    <row r="63" spans="1:8" s="817" customFormat="1" ht="36">
      <c r="A63" s="821">
        <v>3</v>
      </c>
      <c r="B63" s="3576"/>
      <c r="C63" s="757" t="s">
        <v>619</v>
      </c>
      <c r="D63" s="757" t="s">
        <v>620</v>
      </c>
      <c r="E63" s="834">
        <v>0.5</v>
      </c>
      <c r="F63" s="821">
        <v>80</v>
      </c>
    </row>
    <row r="64" spans="1:8" s="817" customFormat="1" ht="36">
      <c r="A64" s="821">
        <v>4</v>
      </c>
      <c r="B64" s="3576"/>
      <c r="C64" s="757" t="s">
        <v>621</v>
      </c>
      <c r="D64" s="757" t="s">
        <v>622</v>
      </c>
      <c r="E64" s="834">
        <v>0.4</v>
      </c>
      <c r="F64" s="821">
        <v>60</v>
      </c>
    </row>
    <row r="65" spans="1:6" s="817" customFormat="1" ht="36">
      <c r="A65" s="821">
        <v>5</v>
      </c>
      <c r="B65" s="3576"/>
      <c r="C65" s="757" t="s">
        <v>623</v>
      </c>
      <c r="D65" s="757" t="s">
        <v>624</v>
      </c>
      <c r="E65" s="834">
        <v>0.2</v>
      </c>
      <c r="F65" s="821">
        <v>30</v>
      </c>
    </row>
    <row r="66" spans="1:6" s="817" customFormat="1" ht="36">
      <c r="A66" s="821">
        <v>6</v>
      </c>
      <c r="B66" s="3576"/>
      <c r="C66" s="757" t="s">
        <v>625</v>
      </c>
      <c r="D66" s="757" t="s">
        <v>626</v>
      </c>
      <c r="E66" s="834">
        <v>0.3</v>
      </c>
      <c r="F66" s="821">
        <v>50</v>
      </c>
    </row>
    <row r="67" spans="1:6" s="817" customFormat="1" ht="36">
      <c r="A67" s="821">
        <v>7</v>
      </c>
      <c r="B67" s="3576"/>
      <c r="C67" s="757" t="s">
        <v>627</v>
      </c>
      <c r="D67" s="757" t="s">
        <v>628</v>
      </c>
      <c r="E67" s="834">
        <v>0.2</v>
      </c>
      <c r="F67" s="821">
        <v>30</v>
      </c>
    </row>
    <row r="68" spans="1:6" s="817" customFormat="1" ht="36">
      <c r="A68" s="821">
        <v>8</v>
      </c>
      <c r="B68" s="3576"/>
      <c r="C68" s="757" t="s">
        <v>629</v>
      </c>
      <c r="D68" s="757" t="s">
        <v>630</v>
      </c>
      <c r="E68" s="834">
        <v>0.2</v>
      </c>
      <c r="F68" s="821">
        <v>30</v>
      </c>
    </row>
    <row r="69" spans="1:6" s="817" customFormat="1" ht="36">
      <c r="A69" s="821">
        <v>9</v>
      </c>
      <c r="B69" s="3576"/>
      <c r="C69" s="757" t="s">
        <v>631</v>
      </c>
      <c r="D69" s="757" t="s">
        <v>632</v>
      </c>
      <c r="E69" s="834">
        <v>0.2</v>
      </c>
      <c r="F69" s="821">
        <v>30</v>
      </c>
    </row>
    <row r="70" spans="1:6" s="817" customFormat="1" ht="48">
      <c r="A70" s="821">
        <v>10</v>
      </c>
      <c r="B70" s="3576"/>
      <c r="C70" s="757" t="s">
        <v>633</v>
      </c>
      <c r="D70" s="757" t="s">
        <v>634</v>
      </c>
      <c r="E70" s="834">
        <v>0.2</v>
      </c>
      <c r="F70" s="821">
        <v>30</v>
      </c>
    </row>
    <row r="71" spans="1:6" s="817" customFormat="1" ht="48">
      <c r="A71" s="821">
        <v>11</v>
      </c>
      <c r="B71" s="3576"/>
      <c r="C71" s="757" t="s">
        <v>635</v>
      </c>
      <c r="D71" s="757" t="s">
        <v>636</v>
      </c>
      <c r="E71" s="834">
        <v>0.2</v>
      </c>
      <c r="F71" s="821">
        <v>30</v>
      </c>
    </row>
    <row r="72" spans="1:6" s="817" customFormat="1" ht="36">
      <c r="A72" s="821">
        <v>12</v>
      </c>
      <c r="B72" s="3576"/>
      <c r="C72" s="757" t="s">
        <v>637</v>
      </c>
      <c r="D72" s="757" t="s">
        <v>638</v>
      </c>
      <c r="E72" s="834">
        <v>0.5</v>
      </c>
      <c r="F72" s="821">
        <v>80</v>
      </c>
    </row>
    <row r="73" spans="1:6" s="817" customFormat="1" ht="24">
      <c r="A73" s="821">
        <v>13</v>
      </c>
      <c r="B73" s="3576"/>
      <c r="C73" s="757" t="s">
        <v>639</v>
      </c>
      <c r="D73" s="757" t="s">
        <v>640</v>
      </c>
      <c r="E73" s="834">
        <v>0.4</v>
      </c>
      <c r="F73" s="821">
        <v>60</v>
      </c>
    </row>
    <row r="74" spans="1:6" s="817" customFormat="1" ht="24">
      <c r="A74" s="821">
        <v>14</v>
      </c>
      <c r="B74" s="3576"/>
      <c r="C74" s="757" t="s">
        <v>641</v>
      </c>
      <c r="D74" s="757" t="s">
        <v>642</v>
      </c>
      <c r="E74" s="834">
        <v>0.2</v>
      </c>
      <c r="F74" s="821">
        <v>30</v>
      </c>
    </row>
    <row r="75" spans="1:6" s="817" customFormat="1" ht="24">
      <c r="A75" s="821">
        <v>15</v>
      </c>
      <c r="B75" s="3576"/>
      <c r="C75" s="757" t="s">
        <v>643</v>
      </c>
      <c r="D75" s="757" t="s">
        <v>644</v>
      </c>
      <c r="E75" s="834">
        <v>0.2</v>
      </c>
      <c r="F75" s="821">
        <v>30</v>
      </c>
    </row>
    <row r="76" spans="1:6" s="817" customFormat="1" ht="24">
      <c r="A76" s="821">
        <v>16</v>
      </c>
      <c r="B76" s="3576" t="s">
        <v>645</v>
      </c>
      <c r="C76" s="757" t="s">
        <v>646</v>
      </c>
      <c r="D76" s="757" t="s">
        <v>647</v>
      </c>
      <c r="E76" s="834">
        <v>0.5</v>
      </c>
      <c r="F76" s="821">
        <v>80</v>
      </c>
    </row>
    <row r="77" spans="1:6" s="817" customFormat="1" ht="24">
      <c r="A77" s="821">
        <v>17</v>
      </c>
      <c r="B77" s="3576"/>
      <c r="C77" s="757" t="s">
        <v>648</v>
      </c>
      <c r="D77" s="757" t="s">
        <v>649</v>
      </c>
      <c r="E77" s="834">
        <v>0.5</v>
      </c>
      <c r="F77" s="821">
        <v>80</v>
      </c>
    </row>
    <row r="78" spans="1:6" s="817" customFormat="1" ht="24">
      <c r="A78" s="821">
        <v>18</v>
      </c>
      <c r="B78" s="3576"/>
      <c r="C78" s="757" t="s">
        <v>650</v>
      </c>
      <c r="D78" s="757" t="s">
        <v>651</v>
      </c>
      <c r="E78" s="834">
        <v>0.2</v>
      </c>
      <c r="F78" s="821">
        <v>30</v>
      </c>
    </row>
    <row r="79" spans="1:6" s="817" customFormat="1" ht="24">
      <c r="A79" s="821">
        <v>19</v>
      </c>
      <c r="B79" s="3576"/>
      <c r="C79" s="757" t="s">
        <v>652</v>
      </c>
      <c r="D79" s="757" t="s">
        <v>653</v>
      </c>
      <c r="E79" s="834">
        <v>0.5</v>
      </c>
      <c r="F79" s="821">
        <v>80</v>
      </c>
    </row>
    <row r="80" spans="1:6" s="817" customFormat="1" ht="36">
      <c r="A80" s="821">
        <v>20</v>
      </c>
      <c r="B80" s="3576"/>
      <c r="C80" s="757" t="s">
        <v>654</v>
      </c>
      <c r="D80" s="757" t="s">
        <v>655</v>
      </c>
      <c r="E80" s="834">
        <v>0.2</v>
      </c>
      <c r="F80" s="821">
        <v>30</v>
      </c>
    </row>
    <row r="81" spans="1:6" s="817" customFormat="1" ht="36">
      <c r="A81" s="821">
        <v>21</v>
      </c>
      <c r="B81" s="3576"/>
      <c r="C81" s="757" t="s">
        <v>656</v>
      </c>
      <c r="D81" s="757" t="s">
        <v>657</v>
      </c>
      <c r="E81" s="834">
        <v>0.2</v>
      </c>
      <c r="F81" s="821">
        <v>30</v>
      </c>
    </row>
    <row r="82" spans="1:6" s="817" customFormat="1" ht="48">
      <c r="A82" s="821">
        <v>22</v>
      </c>
      <c r="B82" s="3576"/>
      <c r="C82" s="757" t="s">
        <v>658</v>
      </c>
      <c r="D82" s="757" t="s">
        <v>659</v>
      </c>
      <c r="E82" s="834">
        <v>0.2</v>
      </c>
      <c r="F82" s="821">
        <v>30</v>
      </c>
    </row>
    <row r="83" spans="1:6" s="817" customFormat="1" ht="48">
      <c r="A83" s="821">
        <v>23</v>
      </c>
      <c r="B83" s="3576"/>
      <c r="C83" s="757" t="s">
        <v>660</v>
      </c>
      <c r="D83" s="757" t="s">
        <v>661</v>
      </c>
      <c r="E83" s="834">
        <v>0.2</v>
      </c>
      <c r="F83" s="821">
        <v>30</v>
      </c>
    </row>
    <row r="84" spans="1:6" s="817" customFormat="1" ht="36">
      <c r="A84" s="821">
        <v>24</v>
      </c>
      <c r="B84" s="3576"/>
      <c r="C84" s="757" t="s">
        <v>662</v>
      </c>
      <c r="D84" s="757" t="s">
        <v>663</v>
      </c>
      <c r="E84" s="834">
        <v>0.2</v>
      </c>
      <c r="F84" s="821">
        <v>30</v>
      </c>
    </row>
    <row r="85" spans="1:6" s="817" customFormat="1" ht="36">
      <c r="A85" s="821">
        <v>25</v>
      </c>
      <c r="B85" s="3576"/>
      <c r="C85" s="757" t="s">
        <v>664</v>
      </c>
      <c r="D85" s="757" t="s">
        <v>665</v>
      </c>
      <c r="E85" s="834">
        <v>0.5</v>
      </c>
      <c r="F85" s="821">
        <v>80</v>
      </c>
    </row>
    <row r="86" spans="1:6" s="817" customFormat="1" ht="36">
      <c r="A86" s="821">
        <v>26</v>
      </c>
      <c r="B86" s="3576"/>
      <c r="C86" s="757" t="s">
        <v>666</v>
      </c>
      <c r="D86" s="757" t="s">
        <v>667</v>
      </c>
      <c r="E86" s="834">
        <v>0.2</v>
      </c>
      <c r="F86" s="821">
        <v>30</v>
      </c>
    </row>
    <row r="87" spans="1:6" s="817" customFormat="1" ht="36">
      <c r="A87" s="821">
        <v>27</v>
      </c>
      <c r="B87" s="3576"/>
      <c r="C87" s="757" t="s">
        <v>668</v>
      </c>
      <c r="D87" s="757" t="s">
        <v>669</v>
      </c>
      <c r="E87" s="834">
        <v>0.2</v>
      </c>
      <c r="F87" s="821">
        <v>30</v>
      </c>
    </row>
    <row r="88" spans="1:6" s="817" customFormat="1" ht="36">
      <c r="A88" s="821">
        <v>28</v>
      </c>
      <c r="B88" s="3576"/>
      <c r="C88" s="757" t="s">
        <v>670</v>
      </c>
      <c r="D88" s="757" t="s">
        <v>671</v>
      </c>
      <c r="E88" s="834">
        <v>0.2</v>
      </c>
      <c r="F88" s="821">
        <v>30</v>
      </c>
    </row>
    <row r="89" spans="1:6" s="817" customFormat="1" ht="24">
      <c r="A89" s="821">
        <v>29</v>
      </c>
      <c r="B89" s="3576"/>
      <c r="C89" s="757" t="s">
        <v>672</v>
      </c>
      <c r="D89" s="757" t="s">
        <v>673</v>
      </c>
      <c r="E89" s="834">
        <v>0.2</v>
      </c>
      <c r="F89" s="821">
        <v>30</v>
      </c>
    </row>
    <row r="90" spans="1:6" s="817" customFormat="1" ht="24">
      <c r="A90" s="821">
        <v>30</v>
      </c>
      <c r="B90" s="3576"/>
      <c r="C90" s="757" t="s">
        <v>674</v>
      </c>
      <c r="D90" s="757" t="s">
        <v>675</v>
      </c>
      <c r="E90" s="834">
        <v>0.2</v>
      </c>
      <c r="F90" s="821">
        <v>30</v>
      </c>
    </row>
    <row r="91" spans="1:6" s="817" customFormat="1" ht="36">
      <c r="A91" s="821">
        <v>31</v>
      </c>
      <c r="B91" s="3576"/>
      <c r="C91" s="757" t="s">
        <v>676</v>
      </c>
      <c r="D91" s="757" t="s">
        <v>677</v>
      </c>
      <c r="E91" s="834">
        <v>0.2</v>
      </c>
      <c r="F91" s="821">
        <v>30</v>
      </c>
    </row>
    <row r="92" spans="1:6" s="817" customFormat="1" ht="24">
      <c r="A92" s="821">
        <v>32</v>
      </c>
      <c r="B92" s="3576" t="s">
        <v>678</v>
      </c>
      <c r="C92" s="821" t="s">
        <v>679</v>
      </c>
      <c r="D92" s="757" t="s">
        <v>680</v>
      </c>
      <c r="E92" s="834">
        <v>0.2</v>
      </c>
      <c r="F92" s="821">
        <v>30</v>
      </c>
    </row>
    <row r="93" spans="1:6" s="817" customFormat="1" ht="36">
      <c r="A93" s="821">
        <v>33</v>
      </c>
      <c r="B93" s="3576"/>
      <c r="C93" s="821" t="s">
        <v>681</v>
      </c>
      <c r="D93" s="757" t="s">
        <v>682</v>
      </c>
      <c r="E93" s="834">
        <v>0.2</v>
      </c>
      <c r="F93" s="821">
        <v>30</v>
      </c>
    </row>
    <row r="94" spans="1:6" s="817" customFormat="1" ht="48">
      <c r="A94" s="821">
        <v>34</v>
      </c>
      <c r="B94" s="3576"/>
      <c r="C94" s="821" t="s">
        <v>683</v>
      </c>
      <c r="D94" s="757" t="s">
        <v>684</v>
      </c>
      <c r="E94" s="834">
        <v>0.2</v>
      </c>
      <c r="F94" s="821">
        <v>30</v>
      </c>
    </row>
    <row r="95" spans="1:6" s="817" customFormat="1" ht="36">
      <c r="A95" s="821">
        <v>35</v>
      </c>
      <c r="B95" s="3576"/>
      <c r="C95" s="821" t="s">
        <v>685</v>
      </c>
      <c r="D95" s="757" t="s">
        <v>686</v>
      </c>
      <c r="E95" s="834">
        <v>0.2</v>
      </c>
      <c r="F95" s="821">
        <v>30</v>
      </c>
    </row>
    <row r="96" spans="1:6" s="817" customFormat="1" ht="48">
      <c r="A96" s="821">
        <v>36</v>
      </c>
      <c r="B96" s="3576"/>
      <c r="C96" s="757" t="s">
        <v>687</v>
      </c>
      <c r="D96" s="757" t="s">
        <v>688</v>
      </c>
      <c r="E96" s="834">
        <v>0.2</v>
      </c>
      <c r="F96" s="821">
        <v>30</v>
      </c>
    </row>
    <row r="97" spans="1:6" s="817" customFormat="1" ht="36">
      <c r="A97" s="821">
        <v>37</v>
      </c>
      <c r="B97" s="3576"/>
      <c r="C97" s="821" t="s">
        <v>689</v>
      </c>
      <c r="D97" s="757" t="s">
        <v>690</v>
      </c>
      <c r="E97" s="834">
        <v>0.2</v>
      </c>
      <c r="F97" s="821">
        <v>30</v>
      </c>
    </row>
    <row r="98" spans="1:6" s="817" customFormat="1" ht="36">
      <c r="A98" s="821">
        <v>38</v>
      </c>
      <c r="B98" s="3576"/>
      <c r="C98" s="821" t="s">
        <v>691</v>
      </c>
      <c r="D98" s="757" t="s">
        <v>692</v>
      </c>
      <c r="E98" s="834">
        <v>0.2</v>
      </c>
      <c r="F98" s="821">
        <v>30</v>
      </c>
    </row>
    <row r="99" spans="1:6" s="817" customFormat="1" ht="36">
      <c r="A99" s="821">
        <v>39</v>
      </c>
      <c r="B99" s="3576" t="s">
        <v>693</v>
      </c>
      <c r="C99" s="821" t="s">
        <v>694</v>
      </c>
      <c r="D99" s="757" t="s">
        <v>695</v>
      </c>
      <c r="E99" s="834">
        <v>0.3</v>
      </c>
      <c r="F99" s="821">
        <v>50</v>
      </c>
    </row>
    <row r="100" spans="1:6" s="817" customFormat="1" ht="24">
      <c r="A100" s="821">
        <v>40</v>
      </c>
      <c r="B100" s="3576"/>
      <c r="C100" s="821" t="s">
        <v>696</v>
      </c>
      <c r="D100" s="757" t="s">
        <v>697</v>
      </c>
      <c r="E100" s="834">
        <v>0.2</v>
      </c>
      <c r="F100" s="821">
        <v>30</v>
      </c>
    </row>
    <row r="101" spans="1:6" s="817" customFormat="1" ht="36">
      <c r="A101" s="821">
        <v>41</v>
      </c>
      <c r="B101" s="357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6" t="s">
        <v>708</v>
      </c>
      <c r="C105" s="821" t="s">
        <v>709</v>
      </c>
      <c r="D105" s="757" t="s">
        <v>710</v>
      </c>
      <c r="E105" s="834">
        <v>0.2</v>
      </c>
      <c r="F105" s="821">
        <v>30</v>
      </c>
    </row>
    <row r="106" spans="1:6" s="817" customFormat="1" ht="36">
      <c r="A106" s="821">
        <v>46</v>
      </c>
      <c r="B106" s="3576"/>
      <c r="C106" s="821" t="s">
        <v>711</v>
      </c>
      <c r="D106" s="757" t="s">
        <v>712</v>
      </c>
      <c r="E106" s="834">
        <v>0.2</v>
      </c>
      <c r="F106" s="821">
        <v>30</v>
      </c>
    </row>
    <row r="107" spans="1:6" s="817" customFormat="1" ht="36">
      <c r="A107" s="821">
        <v>47</v>
      </c>
      <c r="B107" s="3576" t="s">
        <v>713</v>
      </c>
      <c r="C107" s="821" t="s">
        <v>714</v>
      </c>
      <c r="D107" s="757" t="s">
        <v>715</v>
      </c>
      <c r="E107" s="834">
        <v>0.3</v>
      </c>
      <c r="F107" s="821">
        <v>50</v>
      </c>
    </row>
    <row r="108" spans="1:6" s="817" customFormat="1" ht="36">
      <c r="A108" s="821">
        <v>48</v>
      </c>
      <c r="B108" s="357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6" t="s">
        <v>724</v>
      </c>
      <c r="C111" s="821" t="s">
        <v>725</v>
      </c>
      <c r="D111" s="757" t="s">
        <v>726</v>
      </c>
      <c r="E111" s="834">
        <v>0.2</v>
      </c>
      <c r="F111" s="821">
        <v>30</v>
      </c>
    </row>
    <row r="112" spans="1:6" s="817" customFormat="1" ht="24">
      <c r="A112" s="821">
        <v>52</v>
      </c>
      <c r="B112" s="3576"/>
      <c r="C112" s="821" t="s">
        <v>727</v>
      </c>
      <c r="D112" s="757" t="s">
        <v>728</v>
      </c>
      <c r="E112" s="834">
        <v>0.2</v>
      </c>
      <c r="F112" s="821">
        <v>30</v>
      </c>
    </row>
    <row r="113" spans="1:6" s="817" customFormat="1" ht="24">
      <c r="A113" s="821">
        <v>53</v>
      </c>
      <c r="B113" s="357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6" t="s">
        <v>737</v>
      </c>
      <c r="C116" s="821" t="s">
        <v>738</v>
      </c>
      <c r="D116" s="757" t="s">
        <v>739</v>
      </c>
      <c r="E116" s="834">
        <v>0.2</v>
      </c>
      <c r="F116" s="821">
        <v>30</v>
      </c>
    </row>
    <row r="117" spans="1:6" ht="36">
      <c r="A117" s="821">
        <v>57</v>
      </c>
      <c r="B117" s="357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V4" sqref="V4:W6"/>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3" t="s">
        <v>2823</v>
      </c>
      <c r="B1" s="2363"/>
      <c r="C1" s="2363"/>
      <c r="D1" s="2363"/>
      <c r="E1" s="2363"/>
      <c r="F1" s="3019"/>
      <c r="G1" s="3019"/>
      <c r="H1" s="3019"/>
      <c r="I1" s="3019"/>
      <c r="J1" s="3019"/>
      <c r="K1" s="3019"/>
      <c r="L1" s="3019"/>
      <c r="M1" s="3019"/>
      <c r="N1" s="3019"/>
      <c r="O1" s="3019"/>
      <c r="P1" s="3019"/>
    </row>
    <row r="2" spans="1:16" ht="15.75">
      <c r="A2" s="2361" t="s">
        <v>2815</v>
      </c>
      <c r="B2" s="2824" t="e">
        <f ca="1">SUMIF(B6:B13,"&lt;&gt;#ref!",B6:B13)</f>
        <v>#DIV/0!</v>
      </c>
      <c r="C2" s="2361" t="s">
        <v>2816</v>
      </c>
      <c r="D2" s="2361" t="s">
        <v>2817</v>
      </c>
      <c r="E2" s="2834">
        <f ca="1">SUMIF(E6:E13,"&lt;&gt;#ref!",E6:E13)</f>
        <v>0</v>
      </c>
      <c r="F2" s="3019"/>
      <c r="G2" s="3019"/>
      <c r="H2" s="3019"/>
      <c r="I2" s="3019"/>
      <c r="J2" s="3019"/>
      <c r="K2" s="3019"/>
      <c r="L2" s="3019"/>
      <c r="M2" s="3019"/>
      <c r="N2" s="3019"/>
      <c r="O2" s="3019"/>
      <c r="P2" s="3019"/>
    </row>
    <row r="3" spans="1:16" ht="15.75">
      <c r="A3" s="2361" t="s">
        <v>2818</v>
      </c>
      <c r="B3" s="2824" t="e">
        <f ca="1">ROUND(B2*10000/E2,0)</f>
        <v>#DIV/0!</v>
      </c>
      <c r="C3" s="2361" t="s">
        <v>2824</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30" t="s">
        <v>2819</v>
      </c>
      <c r="B5" s="2832" t="s">
        <v>2820</v>
      </c>
      <c r="C5" s="2362"/>
      <c r="D5" s="3019"/>
      <c r="E5" s="2833" t="s">
        <v>2821</v>
      </c>
      <c r="F5" s="3019"/>
      <c r="G5" s="3019"/>
      <c r="H5" s="3019"/>
      <c r="I5" s="3019"/>
      <c r="J5" s="3019"/>
      <c r="K5" s="3019"/>
      <c r="L5" s="3019"/>
      <c r="M5" s="3019"/>
      <c r="N5" s="3019"/>
      <c r="O5" s="3019"/>
      <c r="P5" s="3019"/>
    </row>
    <row r="6" spans="1:16" ht="15.75">
      <c r="A6" s="2831" t="s">
        <v>2822</v>
      </c>
      <c r="B6" s="2824" t="e">
        <f ca="1">SUMIF(INDIRECT("'"&amp;A6&amp;"'"&amp;"!A:A"),"总价",INDIRECT("'"&amp;A6&amp;"'"&amp;"!B:B"))</f>
        <v>#DIV/0!</v>
      </c>
      <c r="C6" s="2361" t="s">
        <v>2816</v>
      </c>
      <c r="D6" s="3019"/>
      <c r="E6" s="2834">
        <f ca="1">SUMIF(INDIRECT("'"&amp;A6&amp;"'"&amp;"!C:C"),"建筑面积",INDIRECT("'"&amp;A6&amp;"'"&amp;"!D:D"))</f>
        <v>0</v>
      </c>
      <c r="F6" s="3019"/>
      <c r="G6" s="3019"/>
      <c r="H6" s="3019"/>
      <c r="I6" s="3019"/>
      <c r="J6" s="3019"/>
      <c r="K6" s="3019"/>
      <c r="L6" s="3019"/>
      <c r="M6" s="3019"/>
      <c r="N6" s="3019"/>
      <c r="O6" s="3019"/>
      <c r="P6" s="3019"/>
    </row>
    <row r="7" spans="1:16" ht="15.75">
      <c r="A7" s="2831"/>
      <c r="B7" s="2824" t="e">
        <f ca="1">SUMIF(INDIRECT("'"&amp;A7&amp;"'"&amp;"!A:A"),"总价",INDIRECT("'"&amp;A7&amp;"'"&amp;"!B:B"))</f>
        <v>#REF!</v>
      </c>
      <c r="C7" s="2361" t="s">
        <v>2816</v>
      </c>
      <c r="D7" s="3019"/>
      <c r="E7" s="2834" t="e">
        <f t="shared" ref="E7:E13" ca="1" si="0">SUMIF(INDIRECT("'"&amp;A7&amp;"'"&amp;"!C:C"),"建筑面积",INDIRECT("'"&amp;A7&amp;"'"&amp;"!D:D"))</f>
        <v>#REF!</v>
      </c>
      <c r="F7" s="3019"/>
      <c r="G7" s="3019"/>
      <c r="H7" s="3019"/>
      <c r="I7" s="3019"/>
      <c r="J7" s="3019"/>
      <c r="K7" s="3019"/>
      <c r="L7" s="3019"/>
      <c r="M7" s="3019"/>
      <c r="N7" s="3019"/>
      <c r="O7" s="3019"/>
      <c r="P7" s="3019"/>
    </row>
    <row r="8" spans="1:16" ht="15.75">
      <c r="A8" s="2831"/>
      <c r="B8" s="2824" t="e">
        <f t="shared" ref="B8:B13" ca="1" si="1">SUMIF(INDIRECT("'"&amp;A8&amp;"'"&amp;"!A:A"),"总价",INDIRECT("'"&amp;A8&amp;"'"&amp;"!B:B"))</f>
        <v>#REF!</v>
      </c>
      <c r="C8" s="2361" t="s">
        <v>2816</v>
      </c>
      <c r="D8" s="3019"/>
      <c r="E8" s="2834" t="e">
        <f t="shared" ca="1" si="0"/>
        <v>#REF!</v>
      </c>
      <c r="F8" s="3019"/>
      <c r="G8" s="3019"/>
      <c r="H8" s="3019"/>
      <c r="I8" s="3019"/>
      <c r="J8" s="3019"/>
      <c r="K8" s="3019"/>
      <c r="L8" s="3019"/>
      <c r="M8" s="3019"/>
      <c r="N8" s="3019"/>
      <c r="O8" s="3019"/>
      <c r="P8" s="3019"/>
    </row>
    <row r="9" spans="1:16" ht="15.75">
      <c r="A9" s="2831"/>
      <c r="B9" s="2824" t="e">
        <f t="shared" ca="1" si="1"/>
        <v>#REF!</v>
      </c>
      <c r="C9" s="2361" t="s">
        <v>2816</v>
      </c>
      <c r="D9" s="3019"/>
      <c r="E9" s="2834" t="e">
        <f t="shared" ca="1" si="0"/>
        <v>#REF!</v>
      </c>
      <c r="F9" s="3019"/>
      <c r="G9" s="3019"/>
      <c r="H9" s="3019"/>
      <c r="I9" s="3019"/>
      <c r="J9" s="3019"/>
      <c r="K9" s="3019"/>
      <c r="L9" s="3019"/>
      <c r="M9" s="3019"/>
      <c r="N9" s="3019"/>
      <c r="O9" s="3019"/>
      <c r="P9" s="3019"/>
    </row>
    <row r="10" spans="1:16" ht="15.75">
      <c r="A10" s="2831"/>
      <c r="B10" s="2824" t="e">
        <f t="shared" ca="1" si="1"/>
        <v>#REF!</v>
      </c>
      <c r="C10" s="2361" t="s">
        <v>2816</v>
      </c>
      <c r="D10" s="3019"/>
      <c r="E10" s="2834" t="e">
        <f t="shared" ca="1" si="0"/>
        <v>#REF!</v>
      </c>
      <c r="F10" s="3019"/>
      <c r="G10" s="3019"/>
      <c r="H10" s="3019"/>
      <c r="I10" s="3019"/>
      <c r="J10" s="3019"/>
      <c r="K10" s="3019"/>
      <c r="L10" s="3019"/>
      <c r="M10" s="3019"/>
      <c r="N10" s="3019"/>
      <c r="O10" s="3019"/>
      <c r="P10" s="3019"/>
    </row>
    <row r="11" spans="1:16" ht="15.75">
      <c r="A11" s="2831"/>
      <c r="B11" s="2824" t="e">
        <f t="shared" ca="1" si="1"/>
        <v>#REF!</v>
      </c>
      <c r="C11" s="2361" t="s">
        <v>2816</v>
      </c>
      <c r="D11" s="3019"/>
      <c r="E11" s="2834" t="e">
        <f t="shared" ca="1" si="0"/>
        <v>#REF!</v>
      </c>
      <c r="F11" s="3019"/>
      <c r="G11" s="3019"/>
      <c r="H11" s="3019"/>
      <c r="I11" s="3019"/>
      <c r="J11" s="3019"/>
      <c r="K11" s="3019"/>
      <c r="L11" s="3019"/>
      <c r="M11" s="3019"/>
      <c r="N11" s="3019"/>
      <c r="O11" s="3019"/>
      <c r="P11" s="3019"/>
    </row>
    <row r="12" spans="1:16" ht="15.75">
      <c r="A12" s="2831"/>
      <c r="B12" s="2824" t="e">
        <f t="shared" ca="1" si="1"/>
        <v>#REF!</v>
      </c>
      <c r="C12" s="2361" t="s">
        <v>2816</v>
      </c>
      <c r="D12" s="3019"/>
      <c r="E12" s="2834" t="e">
        <f t="shared" ca="1" si="0"/>
        <v>#REF!</v>
      </c>
      <c r="F12" s="3019"/>
      <c r="G12" s="3019"/>
      <c r="H12" s="3019"/>
      <c r="I12" s="3019"/>
      <c r="J12" s="3019"/>
      <c r="K12" s="3019"/>
      <c r="L12" s="3019"/>
      <c r="M12" s="3019"/>
      <c r="N12" s="3019"/>
      <c r="O12" s="3019"/>
      <c r="P12" s="3019"/>
    </row>
    <row r="13" spans="1:16" ht="15.75">
      <c r="A13" s="2831"/>
      <c r="B13" s="2824" t="e">
        <f t="shared" ca="1" si="1"/>
        <v>#REF!</v>
      </c>
      <c r="C13" s="2361" t="s">
        <v>2816</v>
      </c>
      <c r="D13" s="3019"/>
      <c r="E13" s="2834"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V4" sqref="V4: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82" t="s">
        <v>1117</v>
      </c>
      <c r="C1" s="3582"/>
      <c r="D1" s="3582"/>
      <c r="E1" s="3582"/>
      <c r="F1" s="3582"/>
      <c r="G1" s="3578" t="s">
        <v>1118</v>
      </c>
      <c r="H1" s="3578"/>
      <c r="I1" s="3578"/>
      <c r="J1" s="3578"/>
      <c r="K1" s="3578"/>
      <c r="L1" s="3578"/>
      <c r="N1" s="3578" t="s">
        <v>1119</v>
      </c>
      <c r="O1" s="3578"/>
      <c r="P1" s="3578"/>
      <c r="Q1" s="3578"/>
      <c r="S1" s="3578" t="s">
        <v>1120</v>
      </c>
      <c r="T1" s="3578"/>
      <c r="U1" s="3578"/>
      <c r="V1" s="3578"/>
      <c r="X1" s="3577" t="s">
        <v>1121</v>
      </c>
      <c r="Y1" s="3578"/>
      <c r="Z1" s="3578"/>
      <c r="AA1" s="3578"/>
      <c r="AB1" s="3578"/>
      <c r="AD1" s="3577" t="s">
        <v>1122</v>
      </c>
      <c r="AE1" s="3578"/>
      <c r="AF1" s="3578"/>
      <c r="AG1" s="3578"/>
      <c r="AH1" s="357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3056</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38">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ROUND(IF(项目基本情况!B5="出让",SUMPRODUCT(PRODUCT(1+N5:N$33)),SUMPRODUCT(PRODUCT(1+N5:N$32))),4)</f>
        <v>1.571</v>
      </c>
      <c r="Y5" s="2421">
        <f>ROUND(IF(项目基本情况!B5="出让",SUMPRODUCT(PRODUCT(1+O5:O$33)),SUMPRODUCT(PRODUCT(1+O5:O$32))),4)</f>
        <v>1.3420000000000001</v>
      </c>
      <c r="Z5" s="2421">
        <f t="shared" ref="Z5" si="11">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 si="12">AE5</f>
        <v>1.0999999999999999E-2</v>
      </c>
      <c r="AG5" s="2422">
        <f>ROUND(AVERAGE(K5:K$33)/100,4)</f>
        <v>1.8499999999999999E-2</v>
      </c>
      <c r="AH5" s="2422">
        <f>ROUND(AVERAGE(L5:L$33)/100,4)</f>
        <v>1.1900000000000001E-2</v>
      </c>
    </row>
    <row r="6" spans="1:34" s="2430" customFormat="1">
      <c r="A6" s="2423" t="s">
        <v>3057</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38">
        <v>2020</v>
      </c>
      <c r="H6" s="2425">
        <v>4</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ref="Z6" si="22">Y6</f>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ref="AF6" si="23">AE6</f>
        <v>1.14E-2</v>
      </c>
      <c r="AG6" s="2429">
        <f>ROUND(AVERAGE(K6:K$33)/100,4)</f>
        <v>1.9199999999999998E-2</v>
      </c>
      <c r="AH6" s="2429">
        <f>ROUND(AVERAGE(L6:L$33)/100,4)</f>
        <v>1.23E-2</v>
      </c>
    </row>
    <row r="7" spans="1:34" s="2430" customFormat="1">
      <c r="A7" s="2423" t="s">
        <v>3055</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35">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2873</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2871</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2870</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2869</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2867</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2865</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2868</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580">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2863</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580"/>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2862</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580"/>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2855</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587"/>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2853</v>
      </c>
      <c r="B18" s="2438">
        <v>439</v>
      </c>
      <c r="C18" s="2438">
        <v>327</v>
      </c>
      <c r="D18" s="2438">
        <f>C18</f>
        <v>327</v>
      </c>
      <c r="E18" s="2438">
        <v>627</v>
      </c>
      <c r="F18" s="2439">
        <v>283</v>
      </c>
      <c r="G18" s="3583">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2854</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580"/>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580"/>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587"/>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583">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580"/>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580"/>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581"/>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579">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580"/>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580"/>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581"/>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579">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580"/>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580"/>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581"/>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584">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585"/>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585"/>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586"/>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579">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580"/>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580"/>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581"/>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579">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580">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580">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581">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579">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580">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580">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581">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579">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580">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580">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581">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579">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580">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580">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581">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579">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580">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580">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581">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579">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580">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580">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581">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579">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580">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580">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581">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579">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580">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580">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581">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579">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580">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580">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581">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579">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580">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580">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581">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6"/>
      <selection pane="bottomLeft" activeCell="F7" sqref="C7:Q4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591" t="s">
        <v>2826</v>
      </c>
      <c r="D1" s="3592"/>
      <c r="E1" s="3592"/>
      <c r="F1" s="3592"/>
      <c r="G1" s="3592"/>
      <c r="H1" s="3592"/>
      <c r="I1" s="3592"/>
      <c r="J1" s="3592"/>
      <c r="K1" s="3592"/>
      <c r="L1" s="3592"/>
      <c r="M1" s="3592"/>
      <c r="N1" s="3592"/>
      <c r="O1" s="3592"/>
      <c r="P1" s="3592"/>
      <c r="Q1" s="3592"/>
      <c r="R1" s="3592"/>
      <c r="S1" s="3593"/>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2829</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2830</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2831</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5"/>
      <c r="F19" s="1525"/>
      <c r="G19" s="1525"/>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6"/>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588" t="s">
        <v>33</v>
      </c>
      <c r="D22" s="3589"/>
      <c r="E22" s="3589"/>
      <c r="F22" s="3589"/>
      <c r="G22" s="3589"/>
      <c r="H22" s="3589"/>
      <c r="I22" s="3589"/>
      <c r="J22" s="3589"/>
      <c r="K22" s="3589"/>
      <c r="L22" s="3589"/>
      <c r="M22" s="3589"/>
      <c r="N22" s="3589"/>
      <c r="O22" s="3589"/>
      <c r="P22" s="3589"/>
      <c r="Q22" s="3590"/>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36">
        <v>1</v>
      </c>
      <c r="D24" s="3037"/>
      <c r="E24" s="3036">
        <v>1</v>
      </c>
      <c r="F24" s="3037"/>
      <c r="G24" s="3036">
        <v>1</v>
      </c>
      <c r="H24" s="3037"/>
      <c r="I24" s="3036">
        <v>1</v>
      </c>
      <c r="J24" s="3037"/>
      <c r="K24" s="3036">
        <v>1</v>
      </c>
      <c r="L24" s="3037"/>
      <c r="M24" s="3036">
        <v>1</v>
      </c>
      <c r="N24" s="3037"/>
      <c r="O24" s="3036">
        <v>1</v>
      </c>
      <c r="P24" s="3037"/>
      <c r="Q24" s="303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65236</v>
      </c>
      <c r="C2" s="2" t="s">
        <v>133</v>
      </c>
      <c r="D2" s="205"/>
      <c r="E2" s="205"/>
      <c r="F2" s="205"/>
      <c r="G2" s="205"/>
    </row>
    <row r="3" spans="1:7" s="206" customFormat="1" ht="18" customHeight="1" thickBot="1">
      <c r="A3" s="209" t="s">
        <v>85</v>
      </c>
      <c r="B3" s="210">
        <f ca="1">ROUND(B2*10000/'数据-汇总表'!E3,0)</f>
        <v>14542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105</v>
      </c>
      <c r="F9" s="227"/>
      <c r="G9" s="232"/>
    </row>
    <row r="10" spans="1:7" s="220" customFormat="1" ht="13.5" customHeight="1">
      <c r="A10" s="887" t="s">
        <v>801</v>
      </c>
      <c r="B10" s="230" t="s">
        <v>94</v>
      </c>
      <c r="C10" s="231">
        <f>ROUND(D10*E10/10000,0)</f>
        <v>471</v>
      </c>
      <c r="D10" s="954">
        <f>'数据-汇总表'!E6</f>
        <v>44859.7</v>
      </c>
      <c r="E10" s="231">
        <f>'数据-取费表'!B28</f>
        <v>105</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897</v>
      </c>
      <c r="D19" s="958">
        <f>'数据-汇总表'!E3</f>
        <v>44859.7</v>
      </c>
      <c r="E19" s="217">
        <f>'数据-取费表'!B31</f>
        <v>200</v>
      </c>
      <c r="F19" s="237"/>
      <c r="G19" s="1" t="s">
        <v>1042</v>
      </c>
    </row>
    <row r="20" spans="1:7" s="220" customFormat="1" ht="13.5" customHeight="1">
      <c r="A20" s="885" t="s">
        <v>1025</v>
      </c>
      <c r="B20" s="216" t="s">
        <v>104</v>
      </c>
      <c r="C20" s="238">
        <f>ROUND((C5+C19)*F20,0)</f>
        <v>651</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3001</v>
      </c>
      <c r="D22" s="241">
        <f ca="1">C26</f>
        <v>2E-3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2836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122</v>
      </c>
      <c r="D24" s="244"/>
      <c r="E24" s="244"/>
      <c r="F24" s="245"/>
      <c r="G24" s="246" t="s">
        <v>109</v>
      </c>
    </row>
    <row r="25" spans="1:7" s="220" customFormat="1" ht="24">
      <c r="A25" s="888" t="s">
        <v>793</v>
      </c>
      <c r="B25" s="221" t="s">
        <v>1026</v>
      </c>
      <c r="C25" s="1265">
        <f ca="1">ROUND(IF('数据-取费表'!B22&lt;=1,C20*F22*'数据-取费表'!B23/2,C20*(POWER((1+F22),'数据-取费表'!B23/2)-1)),0)</f>
        <v>43</v>
      </c>
      <c r="D25" s="244"/>
      <c r="E25" s="247"/>
      <c r="F25" s="245"/>
      <c r="G25" s="248" t="s">
        <v>110</v>
      </c>
    </row>
    <row r="26" spans="1:7" s="220" customFormat="1">
      <c r="A26" s="888" t="s">
        <v>795</v>
      </c>
      <c r="B26" s="221" t="s">
        <v>1028</v>
      </c>
      <c r="C26" s="244">
        <f ca="1">ROUND(IF('数据-取费表'!B22&lt;=1,F21*F22*'数据-取费表'!B23/2,F21*(POWER((1+F22),'数据-取费表'!B23/2)-1)),4)</f>
        <v>2E-3</v>
      </c>
      <c r="D26" s="244"/>
      <c r="E26" s="247"/>
      <c r="F26" s="245"/>
      <c r="G26" s="249"/>
    </row>
    <row r="27" spans="1:7" s="220" customFormat="1" ht="24.75">
      <c r="A27" s="885" t="s">
        <v>787</v>
      </c>
      <c r="B27" s="250" t="s">
        <v>112</v>
      </c>
      <c r="C27" s="251">
        <f>C28</f>
        <v>5590</v>
      </c>
      <c r="D27" s="241">
        <f>C29</f>
        <v>7.4999999999999997E-3</v>
      </c>
      <c r="E27" s="242" t="s">
        <v>126</v>
      </c>
      <c r="F27" s="252">
        <f>'数据-取费表'!Q16</f>
        <v>0.25</v>
      </c>
      <c r="G27" s="253" t="s">
        <v>1037</v>
      </c>
    </row>
    <row r="28" spans="1:7" s="220" customFormat="1" ht="13.5" customHeight="1">
      <c r="A28" s="888" t="s">
        <v>794</v>
      </c>
      <c r="B28" s="254" t="s">
        <v>1030</v>
      </c>
      <c r="C28" s="255">
        <f>ROUND((C5+C19+C20)*F27*'数据-取费表'!B21/'数据-取费表'!B20,0)</f>
        <v>5590</v>
      </c>
      <c r="D28" s="241"/>
      <c r="E28" s="242"/>
      <c r="F28" s="252"/>
      <c r="G28" s="253"/>
    </row>
    <row r="29" spans="1:7" s="220" customFormat="1" ht="13.5" customHeight="1">
      <c r="A29" s="888" t="s">
        <v>792</v>
      </c>
      <c r="B29" s="254" t="s">
        <v>1031</v>
      </c>
      <c r="C29" s="244">
        <f>ROUND(C21*F27*'数据-取费表'!B21/'数据-取费表'!B20,4)</f>
        <v>7.4999999999999997E-3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34116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22396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20187</v>
      </c>
      <c r="D34" s="223"/>
      <c r="E34" s="226"/>
      <c r="F34" s="263">
        <f>IF('数据-取费表'!B24=0,1,'数据-取费表'!N16)</f>
        <v>1</v>
      </c>
      <c r="G34" s="225" t="s">
        <v>116</v>
      </c>
    </row>
    <row r="35" spans="1:7" ht="13.5" customHeight="1">
      <c r="A35" s="888" t="s">
        <v>796</v>
      </c>
      <c r="B35" s="221" t="s">
        <v>60</v>
      </c>
      <c r="C35" s="226">
        <f>ROUND(C34*F35,0)</f>
        <v>1009</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897</v>
      </c>
      <c r="D37" s="223">
        <f>'数据-汇总表'!E3</f>
        <v>44859.7</v>
      </c>
      <c r="E37" s="255">
        <f>'数据-取费表'!B35</f>
        <v>200</v>
      </c>
      <c r="F37" s="265"/>
      <c r="G37" s="267" t="s">
        <v>119</v>
      </c>
    </row>
    <row r="38" spans="1:7" ht="13.5" customHeight="1">
      <c r="A38" s="888" t="s">
        <v>799</v>
      </c>
      <c r="B38" s="221" t="s">
        <v>63</v>
      </c>
      <c r="C38" s="226">
        <f>ROUND(C34*F38,0)</f>
        <v>303</v>
      </c>
      <c r="D38" s="226"/>
      <c r="E38" s="226"/>
      <c r="F38" s="265">
        <f>'数据-取费表'!B36</f>
        <v>1.4999999999999999E-2</v>
      </c>
      <c r="G38" s="225" t="s">
        <v>117</v>
      </c>
    </row>
    <row r="39" spans="1:7" s="220" customFormat="1" ht="13.5" customHeight="1">
      <c r="A39" s="885" t="s">
        <v>783</v>
      </c>
      <c r="B39" s="216" t="s">
        <v>104</v>
      </c>
      <c r="C39" s="238">
        <f>ROUND(C33*F20,0)</f>
        <v>672</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1521</v>
      </c>
      <c r="D41" s="241">
        <f ca="1">C44</f>
        <v>2E-3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1477</v>
      </c>
      <c r="D42" s="244"/>
      <c r="E42" s="244"/>
      <c r="F42" s="245"/>
      <c r="G42" s="3427" t="s">
        <v>121</v>
      </c>
    </row>
    <row r="43" spans="1:7" ht="13.5" customHeight="1">
      <c r="A43" s="888" t="s">
        <v>792</v>
      </c>
      <c r="B43" s="221" t="s">
        <v>1032</v>
      </c>
      <c r="C43" s="244">
        <f ca="1">ROUND(IF('数据-取费表'!B22&lt;=1,C39*F22*'数据-取费表'!B21/2,C39*(POWER((1+F22),'数据-取费表'!B21/2)-1)),0)</f>
        <v>44</v>
      </c>
      <c r="D43" s="244"/>
      <c r="E43" s="244"/>
      <c r="F43" s="245"/>
      <c r="G43" s="3428"/>
    </row>
    <row r="44" spans="1:7" ht="13.5" customHeight="1">
      <c r="A44" s="888" t="s">
        <v>793</v>
      </c>
      <c r="B44" s="221" t="s">
        <v>1034</v>
      </c>
      <c r="C44" s="244">
        <f ca="1">ROUND(IF('数据-取费表'!B22&lt;=1,C40*F22*'数据-取费表'!B21/2,C40*(POWER((1+F22),'数据-取费表'!B21/2)-1)),4)</f>
        <v>2E-3</v>
      </c>
      <c r="D44" s="244"/>
      <c r="E44" s="244"/>
      <c r="F44" s="245"/>
      <c r="G44" s="3429"/>
    </row>
    <row r="45" spans="1:7" s="220" customFormat="1" ht="13.5" customHeight="1">
      <c r="A45" s="885" t="s">
        <v>786</v>
      </c>
      <c r="B45" s="250" t="s">
        <v>112</v>
      </c>
      <c r="C45" s="251">
        <f>C46</f>
        <v>5767</v>
      </c>
      <c r="D45" s="241">
        <f>C47</f>
        <v>7.4999999999999997E-3</v>
      </c>
      <c r="E45" s="242" t="s">
        <v>129</v>
      </c>
      <c r="F45" s="252"/>
      <c r="G45" s="253" t="s">
        <v>1040</v>
      </c>
    </row>
    <row r="46" spans="1:7" s="220" customFormat="1" ht="13.5" customHeight="1">
      <c r="A46" s="888" t="s">
        <v>794</v>
      </c>
      <c r="B46" s="254" t="s">
        <v>1033</v>
      </c>
      <c r="C46" s="255">
        <f>ROUND((C33+C39)*F27,0)</f>
        <v>5767</v>
      </c>
      <c r="D46" s="269"/>
      <c r="E46" s="242"/>
      <c r="F46" s="252"/>
      <c r="G46" s="253"/>
    </row>
    <row r="47" spans="1:7" s="220" customFormat="1" ht="13.5" customHeight="1">
      <c r="A47" s="888" t="s">
        <v>792</v>
      </c>
      <c r="B47" s="254" t="s">
        <v>1035</v>
      </c>
      <c r="C47" s="244">
        <f>ROUND(C40*F27,4)</f>
        <v>7.4999999999999997E-3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33462</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31120</v>
      </c>
      <c r="D51" s="238"/>
      <c r="E51" s="238"/>
      <c r="F51" s="270"/>
      <c r="G51" s="240" t="s">
        <v>64</v>
      </c>
    </row>
    <row r="52" spans="1:7" s="214" customFormat="1" ht="16.5" thickBot="1">
      <c r="A52" s="271" t="s">
        <v>65</v>
      </c>
      <c r="B52" s="272"/>
      <c r="C52" s="273">
        <f ca="1">C31+C51</f>
        <v>65236</v>
      </c>
      <c r="D52" s="272"/>
      <c r="E52" s="272"/>
      <c r="F52" s="272"/>
      <c r="G52" s="274"/>
    </row>
    <row r="55" spans="1:7" ht="15">
      <c r="B55" s="276" t="s">
        <v>66</v>
      </c>
      <c r="C55" s="277"/>
    </row>
    <row r="56" spans="1:7">
      <c r="B56" s="279" t="s">
        <v>67</v>
      </c>
      <c r="C56" s="280">
        <f ca="1">ROUND(C51/C52,3)</f>
        <v>0.47699999999999998</v>
      </c>
    </row>
    <row r="57" spans="1:7">
      <c r="B57" s="279" t="s">
        <v>68</v>
      </c>
      <c r="C57" s="281">
        <f ca="1">1-C56</f>
        <v>0.52300000000000002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4" t="s">
        <v>156</v>
      </c>
      <c r="B1" s="3594"/>
      <c r="C1" s="3594"/>
      <c r="D1" s="3594"/>
      <c r="E1" s="3594"/>
      <c r="F1" s="359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5" t="s">
        <v>169</v>
      </c>
      <c r="B2" s="3595"/>
      <c r="C2" s="3595"/>
      <c r="D2" s="3595"/>
      <c r="E2" s="3595"/>
      <c r="F2" s="359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9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4" t="s">
        <v>839</v>
      </c>
      <c r="B1" s="359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245" t="str">
        <f>IF(项目基本情况!B9="房地产市场价值","估价结果一览表","结果表-2")</f>
        <v>结果表-2</v>
      </c>
      <c r="B1" s="3245"/>
      <c r="C1" s="3245"/>
      <c r="D1" s="3245"/>
      <c r="E1" s="3245"/>
      <c r="F1" s="3245"/>
      <c r="G1" s="3245"/>
      <c r="H1" s="3245"/>
      <c r="I1" s="3245"/>
    </row>
    <row r="2" spans="1:9" ht="30" customHeight="1" thickTop="1">
      <c r="A2" s="3246" t="s">
        <v>1606</v>
      </c>
      <c r="B2" s="3246" t="s">
        <v>1607</v>
      </c>
      <c r="C2" s="3246" t="s">
        <v>1608</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
      <c r="A3" s="3247"/>
      <c r="B3" s="3247"/>
      <c r="C3" s="3247"/>
      <c r="D3" s="963" t="s">
        <v>1603</v>
      </c>
      <c r="E3" s="963" t="s">
        <v>1609</v>
      </c>
      <c r="F3" s="963" t="s">
        <v>1603</v>
      </c>
      <c r="G3" s="963" t="s">
        <v>1604</v>
      </c>
      <c r="H3" s="963" t="s">
        <v>1603</v>
      </c>
      <c r="I3" s="963" t="s">
        <v>1604</v>
      </c>
    </row>
    <row r="4" spans="1:9" ht="30">
      <c r="A4" s="1691" t="str">
        <f>项目基本情况!S2</f>
        <v>江苏省无锡市江阴市东外环路410号酒店用房房地产</v>
      </c>
      <c r="B4" s="963">
        <f>项目基本情况!C17</f>
        <v>44859.7</v>
      </c>
      <c r="C4" s="963">
        <f>项目基本情况!C18</f>
        <v>5974.5</v>
      </c>
      <c r="D4" s="963">
        <f ca="1">结果表!D118</f>
        <v>-23722</v>
      </c>
      <c r="E4" s="963">
        <f ca="1">结果表!E118</f>
        <v>-5288</v>
      </c>
      <c r="F4" s="963">
        <f ca="1">结果表!F118</f>
        <v>63391</v>
      </c>
      <c r="G4" s="963">
        <f ca="1">结果表!G118</f>
        <v>14131</v>
      </c>
      <c r="H4" s="963">
        <f ca="1">结果表!H118</f>
        <v>39669</v>
      </c>
      <c r="I4" s="963">
        <f ca="1">结果表!I118</f>
        <v>8843</v>
      </c>
    </row>
    <row r="5" spans="1:9" ht="30" customHeight="1">
      <c r="A5" s="3247" t="s">
        <v>1605</v>
      </c>
      <c r="B5" s="3247"/>
      <c r="C5" s="3247"/>
      <c r="D5" s="3248" t="e">
        <f ca="1">结果表!D119</f>
        <v>#NUM!</v>
      </c>
      <c r="E5" s="3248"/>
      <c r="F5" s="3248" t="str">
        <f ca="1">结果表!F119</f>
        <v>陆亿叁仟叁佰玖拾壹万元整</v>
      </c>
      <c r="G5" s="3248"/>
      <c r="H5" s="3248" t="str">
        <f ca="1">结果表!H119</f>
        <v>叁亿玖仟陆佰陆拾玖万元整</v>
      </c>
      <c r="I5" s="3248"/>
    </row>
    <row r="6" spans="1:9" ht="15.75">
      <c r="A6" s="3249" t="str">
        <f>结果表!A120</f>
        <v>估价师知悉的法定优先受偿款</v>
      </c>
      <c r="B6" s="3249"/>
      <c r="C6" s="3249"/>
      <c r="D6" s="3249">
        <f>结果表!D120</f>
        <v>0</v>
      </c>
      <c r="E6" s="3249"/>
      <c r="F6" s="3249"/>
      <c r="G6" s="3249"/>
      <c r="H6" s="3249"/>
      <c r="I6" s="3249"/>
    </row>
    <row r="7" spans="1:9" ht="15">
      <c r="A7" s="3247" t="s">
        <v>1605</v>
      </c>
      <c r="B7" s="3247"/>
      <c r="C7" s="3247"/>
      <c r="D7" s="3250" t="str">
        <f>结果表!D121</f>
        <v>零元整</v>
      </c>
      <c r="E7" s="3251"/>
      <c r="F7" s="3251"/>
      <c r="G7" s="3251"/>
      <c r="H7" s="3251"/>
      <c r="I7" s="3252"/>
    </row>
    <row r="8" spans="1:9" ht="15.75">
      <c r="A8" s="3249" t="str">
        <f>结果表!A122</f>
        <v>房地产抵押价值</v>
      </c>
      <c r="B8" s="3249"/>
      <c r="C8" s="3249"/>
      <c r="D8" s="3249">
        <f ca="1">结果表!D122</f>
        <v>39669</v>
      </c>
      <c r="E8" s="3249"/>
      <c r="F8" s="3249"/>
      <c r="G8" s="3249"/>
      <c r="H8" s="3249"/>
      <c r="I8" s="3249"/>
    </row>
    <row r="9" spans="1:9" ht="15">
      <c r="A9" s="3247" t="s">
        <v>1605</v>
      </c>
      <c r="B9" s="3247"/>
      <c r="C9" s="3247"/>
      <c r="D9" s="3248" t="str">
        <f ca="1">结果表!D123</f>
        <v>叁亿玖仟陆佰陆拾玖万元整</v>
      </c>
      <c r="E9" s="3248"/>
      <c r="F9" s="3248"/>
      <c r="G9" s="3248"/>
      <c r="H9" s="3248"/>
      <c r="I9" s="3248"/>
    </row>
    <row r="10" spans="1:9" ht="15.75">
      <c r="A10" s="3249" t="str">
        <f>结果表!A124</f>
        <v/>
      </c>
      <c r="B10" s="3249"/>
      <c r="C10" s="3249"/>
      <c r="D10" s="3249" t="str">
        <f>结果表!D124</f>
        <v>——</v>
      </c>
      <c r="E10" s="3249"/>
      <c r="F10" s="3249"/>
      <c r="G10" s="3249"/>
      <c r="H10" s="3249"/>
      <c r="I10" s="3249"/>
    </row>
    <row r="11" spans="1:9" ht="15">
      <c r="A11" s="3247" t="s">
        <v>1605</v>
      </c>
      <c r="B11" s="3247"/>
      <c r="C11" s="3247"/>
      <c r="D11" s="3248" t="e">
        <f>结果表!D125</f>
        <v>#VALUE!</v>
      </c>
      <c r="E11" s="3248"/>
      <c r="F11" s="3248"/>
      <c r="G11" s="3248"/>
      <c r="H11" s="3248"/>
      <c r="I11" s="3248"/>
    </row>
    <row r="12" spans="1:9" ht="15.75">
      <c r="A12" s="3249" t="str">
        <f>结果表!A126</f>
        <v>抵押净值</v>
      </c>
      <c r="B12" s="3249"/>
      <c r="C12" s="3249"/>
      <c r="D12" s="3249">
        <f ca="1">结果表!D126</f>
        <v>37533</v>
      </c>
      <c r="E12" s="3249"/>
      <c r="F12" s="3249"/>
      <c r="G12" s="3249"/>
      <c r="H12" s="3249"/>
      <c r="I12" s="3249"/>
    </row>
    <row r="13" spans="1:9" ht="15.75" thickBot="1">
      <c r="A13" s="3253" t="s">
        <v>1605</v>
      </c>
      <c r="B13" s="3253"/>
      <c r="C13" s="3253"/>
      <c r="D13" s="3254" t="str">
        <f ca="1">结果表!D127</f>
        <v>叁亿柒仟伍佰叁拾叁万元整</v>
      </c>
      <c r="E13" s="3254"/>
      <c r="F13" s="3254"/>
      <c r="G13" s="3254"/>
      <c r="H13" s="3254"/>
      <c r="I13" s="3254"/>
    </row>
    <row r="14" spans="1:9" ht="15" thickTop="1">
      <c r="A14" s="3255" t="s">
        <v>1610</v>
      </c>
      <c r="B14" s="3255"/>
      <c r="C14" s="3255"/>
      <c r="D14" s="3255"/>
      <c r="E14" s="3255"/>
      <c r="F14" s="3255"/>
      <c r="G14" s="3255"/>
      <c r="H14" s="3255"/>
      <c r="I14" s="3255"/>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44280</v>
      </c>
      <c r="D1" s="1471" t="s">
        <v>1268</v>
      </c>
      <c r="E1" s="1466">
        <f>'数据-取费表'!B22</f>
        <v>3</v>
      </c>
      <c r="F1" s="1471" t="s">
        <v>1269</v>
      </c>
      <c r="G1" s="1467">
        <f ca="1">INDIRECT("d"&amp;$K$1)/100</f>
        <v>3.85E-2</v>
      </c>
      <c r="H1" s="1471" t="s">
        <v>1299</v>
      </c>
      <c r="I1" s="1467">
        <f ca="1">F4/100</f>
        <v>1.4999999999999999E-2</v>
      </c>
      <c r="J1" s="1472">
        <f>IF(C1&gt;C13,0,MATCH(C1,C$13:C$104,-1))+IF(SUMIF(C13:C104,C1,D13:D104)=0,13,12)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6">
        <v>43941</v>
      </c>
      <c r="D13" s="3047">
        <v>3.85</v>
      </c>
      <c r="E13" s="3047">
        <v>3.85</v>
      </c>
      <c r="F13" s="3047">
        <v>3.85</v>
      </c>
      <c r="G13" s="3047">
        <v>3.85</v>
      </c>
      <c r="H13" s="3047">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2"/>
      <c r="C14" s="3043">
        <v>43881</v>
      </c>
      <c r="D14" s="3042">
        <v>4.05</v>
      </c>
      <c r="E14" s="3042">
        <v>4.05</v>
      </c>
      <c r="F14" s="3042">
        <v>4.05</v>
      </c>
      <c r="G14" s="3042">
        <v>4.05</v>
      </c>
      <c r="H14" s="3042">
        <v>4.75</v>
      </c>
      <c r="I14" s="3042"/>
      <c r="J14" s="3042"/>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2"/>
      <c r="C15" s="3043">
        <v>43789</v>
      </c>
      <c r="D15" s="3042">
        <v>4.1500000000000004</v>
      </c>
      <c r="E15" s="3042">
        <v>4.1500000000000004</v>
      </c>
      <c r="F15" s="3042">
        <v>4.1500000000000004</v>
      </c>
      <c r="G15" s="3042">
        <v>4.1500000000000004</v>
      </c>
      <c r="H15" s="3042">
        <v>4.8</v>
      </c>
      <c r="I15" s="3042"/>
      <c r="J15" s="3042"/>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2"/>
      <c r="C16" s="3043">
        <v>43728</v>
      </c>
      <c r="D16" s="3042">
        <v>4.2</v>
      </c>
      <c r="E16" s="3042">
        <v>4.2</v>
      </c>
      <c r="F16" s="3042">
        <v>4.2</v>
      </c>
      <c r="G16" s="3042">
        <v>4.2</v>
      </c>
      <c r="H16" s="3042">
        <v>4.8499999999999996</v>
      </c>
      <c r="I16" s="3042"/>
      <c r="J16" s="3042"/>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1" t="s">
        <v>3058</v>
      </c>
      <c r="C17" s="3044">
        <v>43697</v>
      </c>
      <c r="D17" s="3045">
        <v>4.25</v>
      </c>
      <c r="E17" s="3045">
        <v>4.25</v>
      </c>
      <c r="F17" s="3045">
        <v>4.25</v>
      </c>
      <c r="G17" s="3045">
        <v>4.25</v>
      </c>
      <c r="H17" s="3045">
        <v>4.8499999999999996</v>
      </c>
      <c r="I17" s="3045"/>
      <c r="J17" s="3045"/>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1"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1"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1"/>
  <sheetViews>
    <sheetView topLeftCell="A100" zoomScale="90" zoomScaleNormal="90" workbookViewId="0">
      <selection activeCell="M129" sqref="M129"/>
    </sheetView>
  </sheetViews>
  <sheetFormatPr defaultRowHeight="13.5"/>
  <sheetData>
    <row r="1" spans="1:2">
      <c r="A1" s="3176" t="s">
        <v>3451</v>
      </c>
      <c r="B1" s="3177"/>
    </row>
    <row r="261" spans="15:15">
      <c r="O261" s="3189" t="s">
        <v>3456</v>
      </c>
    </row>
  </sheetData>
  <phoneticPr fontId="141"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3"/>
  <sheetViews>
    <sheetView topLeftCell="A7" zoomScale="90" zoomScaleNormal="90" workbookViewId="0">
      <selection activeCell="C8" sqref="C8"/>
    </sheetView>
  </sheetViews>
  <sheetFormatPr defaultColWidth="14.25" defaultRowHeight="15" customHeight="1"/>
  <cols>
    <col min="1" max="1" width="9.5" customWidth="1"/>
    <col min="2" max="2" width="16.875" customWidth="1"/>
    <col min="3" max="3" width="13.125" customWidth="1"/>
    <col min="4" max="4" width="5.25" customWidth="1"/>
    <col min="5" max="5" width="10" customWidth="1"/>
    <col min="6" max="6" width="4.875" customWidth="1"/>
    <col min="7" max="7" width="10.375" customWidth="1"/>
    <col min="8" max="8" width="7.375" customWidth="1"/>
    <col min="9" max="9" width="10.875" customWidth="1"/>
    <col min="10" max="10" width="7.875" customWidth="1"/>
    <col min="11" max="11" width="8.375" customWidth="1"/>
    <col min="12" max="12" width="6.375" customWidth="1"/>
    <col min="13" max="13" width="6.625" customWidth="1"/>
    <col min="14" max="14" width="27.75" customWidth="1"/>
    <col min="15" max="15" width="12" customWidth="1"/>
    <col min="16" max="16" width="28.375" customWidth="1"/>
    <col min="17" max="17" width="12.625" customWidth="1"/>
    <col min="18" max="18" width="11.625" customWidth="1"/>
  </cols>
  <sheetData>
    <row r="1" spans="1:18" ht="15" customHeight="1">
      <c r="A1" s="3601" t="s">
        <v>3539</v>
      </c>
      <c r="B1" s="3601"/>
      <c r="C1" s="3602" t="s">
        <v>3540</v>
      </c>
      <c r="D1" s="3602"/>
      <c r="E1" s="3602" t="s">
        <v>3541</v>
      </c>
      <c r="F1" s="3602"/>
      <c r="G1" s="3602" t="s">
        <v>3542</v>
      </c>
      <c r="H1" s="3602"/>
      <c r="I1" s="3602" t="s">
        <v>3543</v>
      </c>
      <c r="J1" s="3602"/>
      <c r="K1" s="3600" t="s">
        <v>3544</v>
      </c>
      <c r="M1" s="1560" t="s">
        <v>3570</v>
      </c>
      <c r="N1" s="722"/>
      <c r="O1" s="1564" t="s">
        <v>3069</v>
      </c>
      <c r="P1" s="1547" t="s">
        <v>70</v>
      </c>
      <c r="Q1" s="1548" t="s">
        <v>3571</v>
      </c>
      <c r="R1" s="3626">
        <v>29.46</v>
      </c>
    </row>
    <row r="2" spans="1:18" ht="15" customHeight="1" thickBot="1">
      <c r="A2" s="3601"/>
      <c r="B2" s="3601"/>
      <c r="C2" s="3603" t="s">
        <v>3569</v>
      </c>
      <c r="D2" s="3603"/>
      <c r="E2" s="3603" t="s">
        <v>3116</v>
      </c>
      <c r="F2" s="3603"/>
      <c r="G2" s="3603" t="s">
        <v>3136</v>
      </c>
      <c r="H2" s="3603"/>
      <c r="I2" s="3603" t="s">
        <v>3140</v>
      </c>
      <c r="J2" s="3603"/>
      <c r="K2" s="3600" t="s">
        <v>3546</v>
      </c>
      <c r="M2" s="1570" t="s">
        <v>3283</v>
      </c>
      <c r="N2" s="1571">
        <v>32821</v>
      </c>
      <c r="O2" s="1572" t="s">
        <v>3572</v>
      </c>
      <c r="P2" s="1572"/>
      <c r="Q2" s="1573"/>
      <c r="R2" s="1574"/>
    </row>
    <row r="3" spans="1:18" ht="15" hidden="1" customHeight="1" thickBot="1">
      <c r="A3" s="3604"/>
      <c r="B3" s="3604"/>
      <c r="C3" s="3603" t="s">
        <v>3545</v>
      </c>
      <c r="D3" s="3603"/>
      <c r="E3" s="3603" t="s">
        <v>3545</v>
      </c>
      <c r="F3" s="3603"/>
      <c r="G3" s="3603" t="s">
        <v>3545</v>
      </c>
      <c r="H3" s="3603"/>
      <c r="I3" s="3603" t="s">
        <v>3545</v>
      </c>
      <c r="J3" s="3603"/>
      <c r="K3" s="3600" t="s">
        <v>3546</v>
      </c>
      <c r="M3" s="1575" t="s">
        <v>3573</v>
      </c>
      <c r="N3" s="1576">
        <v>7316</v>
      </c>
      <c r="O3" s="1572" t="s">
        <v>3574</v>
      </c>
      <c r="P3" s="1572"/>
      <c r="Q3" s="1573"/>
      <c r="R3" s="1574"/>
    </row>
    <row r="4" spans="1:18" ht="15" customHeight="1">
      <c r="A4" s="3601" t="s">
        <v>3547</v>
      </c>
      <c r="B4" s="3601"/>
      <c r="C4" s="3605">
        <v>44280</v>
      </c>
      <c r="D4" s="3606">
        <v>100</v>
      </c>
      <c r="E4" s="3607" t="s">
        <v>3118</v>
      </c>
      <c r="F4" s="3606">
        <v>97.5</v>
      </c>
      <c r="G4" s="3607" t="s">
        <v>3138</v>
      </c>
      <c r="H4" s="3606">
        <v>95.5</v>
      </c>
      <c r="I4" s="3607" t="s">
        <v>3138</v>
      </c>
      <c r="J4" s="3606">
        <v>95.5</v>
      </c>
      <c r="K4" s="3606" t="s">
        <v>3564</v>
      </c>
      <c r="M4" s="3628" t="s">
        <v>3419</v>
      </c>
      <c r="N4" s="3629" t="s">
        <v>3304</v>
      </c>
      <c r="O4" s="3629" t="s">
        <v>3575</v>
      </c>
      <c r="P4" s="3629" t="s">
        <v>3576</v>
      </c>
      <c r="Q4" s="3630" t="s">
        <v>3577</v>
      </c>
      <c r="R4" s="3631"/>
    </row>
    <row r="5" spans="1:18" ht="15" customHeight="1">
      <c r="A5" s="3601" t="s">
        <v>3548</v>
      </c>
      <c r="B5" s="3601"/>
      <c r="C5" s="3608" t="s">
        <v>3294</v>
      </c>
      <c r="D5" s="3606">
        <v>100</v>
      </c>
      <c r="E5" s="3608" t="s">
        <v>3294</v>
      </c>
      <c r="F5" s="3606">
        <v>100</v>
      </c>
      <c r="G5" s="3608" t="s">
        <v>3294</v>
      </c>
      <c r="H5" s="3606">
        <v>100</v>
      </c>
      <c r="I5" s="3608" t="s">
        <v>3294</v>
      </c>
      <c r="J5" s="3606">
        <v>100</v>
      </c>
      <c r="K5" s="3606" t="s">
        <v>3564</v>
      </c>
      <c r="M5" s="3632">
        <v>1</v>
      </c>
      <c r="N5" s="3633" t="s">
        <v>3578</v>
      </c>
      <c r="O5" s="3634">
        <v>2717</v>
      </c>
      <c r="P5" s="3635" t="s">
        <v>3579</v>
      </c>
      <c r="Q5" s="3636"/>
      <c r="R5" s="3637"/>
    </row>
    <row r="6" spans="1:18" ht="15" customHeight="1">
      <c r="A6" s="3623" t="s">
        <v>3549</v>
      </c>
      <c r="B6" s="3606" t="s">
        <v>1341</v>
      </c>
      <c r="C6" s="3609" t="s">
        <v>1343</v>
      </c>
      <c r="D6" s="3606">
        <v>100</v>
      </c>
      <c r="E6" s="3609" t="s">
        <v>1343</v>
      </c>
      <c r="F6" s="3606">
        <v>100</v>
      </c>
      <c r="G6" s="3609" t="s">
        <v>1343</v>
      </c>
      <c r="H6" s="3606">
        <v>100</v>
      </c>
      <c r="I6" s="3609" t="s">
        <v>1343</v>
      </c>
      <c r="J6" s="3606">
        <v>100</v>
      </c>
      <c r="K6" s="3606" t="s">
        <v>3565</v>
      </c>
      <c r="M6" s="3638" t="s">
        <v>3580</v>
      </c>
      <c r="N6" s="3639" t="s">
        <v>3581</v>
      </c>
      <c r="O6" s="3640">
        <v>2714</v>
      </c>
      <c r="P6" s="3641" t="s">
        <v>3582</v>
      </c>
      <c r="Q6" s="3642" t="s">
        <v>3583</v>
      </c>
      <c r="R6" s="3643">
        <v>1.95</v>
      </c>
    </row>
    <row r="7" spans="1:18" ht="15" customHeight="1">
      <c r="A7" s="3624"/>
      <c r="B7" s="3606" t="s">
        <v>3550</v>
      </c>
      <c r="C7" s="3609">
        <v>29.46</v>
      </c>
      <c r="D7" s="3606">
        <v>100</v>
      </c>
      <c r="E7" s="3608" t="s">
        <v>3551</v>
      </c>
      <c r="F7" s="3606">
        <v>112</v>
      </c>
      <c r="G7" s="3608" t="s">
        <v>3551</v>
      </c>
      <c r="H7" s="3606">
        <v>112</v>
      </c>
      <c r="I7" s="3608" t="s">
        <v>3551</v>
      </c>
      <c r="J7" s="3606">
        <v>112</v>
      </c>
      <c r="K7" s="3610" t="s">
        <v>3565</v>
      </c>
      <c r="M7" s="3644"/>
      <c r="N7" s="3645"/>
      <c r="O7" s="3646"/>
      <c r="P7" s="3634"/>
      <c r="Q7" s="3647" t="s">
        <v>3584</v>
      </c>
      <c r="R7" s="3643">
        <v>44859.7</v>
      </c>
    </row>
    <row r="8" spans="1:18" ht="15" customHeight="1">
      <c r="A8" s="3625"/>
      <c r="B8" s="3606" t="s">
        <v>3086</v>
      </c>
      <c r="C8" s="3609">
        <v>3.5</v>
      </c>
      <c r="D8" s="3606">
        <v>100</v>
      </c>
      <c r="E8" s="3609">
        <v>1.5</v>
      </c>
      <c r="F8" s="3606">
        <v>104</v>
      </c>
      <c r="G8" s="3609">
        <v>2.8</v>
      </c>
      <c r="H8" s="3606">
        <v>102</v>
      </c>
      <c r="I8" s="3609">
        <v>1.9</v>
      </c>
      <c r="J8" s="3606">
        <v>104</v>
      </c>
      <c r="K8" s="3611">
        <v>2</v>
      </c>
      <c r="M8" s="3648"/>
      <c r="N8" s="3645"/>
      <c r="O8" s="3649"/>
      <c r="P8" s="3634"/>
      <c r="Q8" s="3642" t="s">
        <v>3585</v>
      </c>
      <c r="R8" s="3643">
        <v>365</v>
      </c>
    </row>
    <row r="9" spans="1:18" ht="15" customHeight="1">
      <c r="A9" s="3612" t="s">
        <v>3563</v>
      </c>
      <c r="B9" s="3606" t="s">
        <v>3552</v>
      </c>
      <c r="C9" s="3613" t="s">
        <v>3073</v>
      </c>
      <c r="D9" s="3606">
        <v>100</v>
      </c>
      <c r="E9" s="3613" t="s">
        <v>3073</v>
      </c>
      <c r="F9" s="3606">
        <v>100</v>
      </c>
      <c r="G9" s="3613" t="s">
        <v>3073</v>
      </c>
      <c r="H9" s="3606">
        <v>100</v>
      </c>
      <c r="I9" s="3613" t="s">
        <v>3073</v>
      </c>
      <c r="J9" s="3606">
        <v>100</v>
      </c>
      <c r="K9" s="3611">
        <v>2</v>
      </c>
      <c r="M9" s="3648"/>
      <c r="N9" s="3650"/>
      <c r="O9" s="3649"/>
      <c r="P9" s="3634"/>
      <c r="Q9" s="3642" t="s">
        <v>3586</v>
      </c>
      <c r="R9" s="3651">
        <v>0.15</v>
      </c>
    </row>
    <row r="10" spans="1:18" ht="15" customHeight="1">
      <c r="A10" s="3612"/>
      <c r="B10" s="3606" t="s">
        <v>3553</v>
      </c>
      <c r="C10" s="3606" t="s">
        <v>3075</v>
      </c>
      <c r="D10" s="3606">
        <v>100</v>
      </c>
      <c r="E10" s="3609" t="s">
        <v>3073</v>
      </c>
      <c r="F10" s="3606">
        <v>98</v>
      </c>
      <c r="G10" s="3609" t="s">
        <v>3073</v>
      </c>
      <c r="H10" s="3606">
        <v>98</v>
      </c>
      <c r="I10" s="3609" t="s">
        <v>3073</v>
      </c>
      <c r="J10" s="3606">
        <v>98</v>
      </c>
      <c r="K10" s="3611">
        <v>2</v>
      </c>
      <c r="M10" s="3638" t="s">
        <v>3587</v>
      </c>
      <c r="N10" s="3652" t="s">
        <v>3588</v>
      </c>
      <c r="O10" s="3653">
        <v>3</v>
      </c>
      <c r="P10" s="3654" t="s">
        <v>3589</v>
      </c>
      <c r="Q10" s="3641" t="s">
        <v>3590</v>
      </c>
      <c r="R10" s="3655" t="s">
        <v>3455</v>
      </c>
    </row>
    <row r="11" spans="1:18" ht="15" customHeight="1">
      <c r="A11" s="3612"/>
      <c r="B11" s="3606" t="s">
        <v>3554</v>
      </c>
      <c r="C11" s="3613" t="s">
        <v>3075</v>
      </c>
      <c r="D11" s="3606">
        <v>100</v>
      </c>
      <c r="E11" s="3609" t="s">
        <v>3073</v>
      </c>
      <c r="F11" s="3606">
        <v>98</v>
      </c>
      <c r="G11" s="3609" t="s">
        <v>3073</v>
      </c>
      <c r="H11" s="3606">
        <v>98</v>
      </c>
      <c r="I11" s="3609" t="s">
        <v>3073</v>
      </c>
      <c r="J11" s="3606">
        <v>98</v>
      </c>
      <c r="K11" s="3611">
        <v>2</v>
      </c>
      <c r="M11" s="3656"/>
      <c r="N11" s="3657" t="s">
        <v>3591</v>
      </c>
      <c r="O11" s="3658"/>
      <c r="P11" s="3659"/>
      <c r="Q11" s="3641" t="s">
        <v>3592</v>
      </c>
      <c r="R11" s="3660">
        <v>1.4999999999999999E-2</v>
      </c>
    </row>
    <row r="12" spans="1:18" ht="15" customHeight="1" thickBot="1">
      <c r="A12" s="3612"/>
      <c r="B12" s="3606" t="s">
        <v>3555</v>
      </c>
      <c r="C12" s="3606" t="s">
        <v>3075</v>
      </c>
      <c r="D12" s="3606">
        <v>100</v>
      </c>
      <c r="E12" s="3609" t="s">
        <v>3073</v>
      </c>
      <c r="F12" s="3606">
        <v>98</v>
      </c>
      <c r="G12" s="3609" t="s">
        <v>3073</v>
      </c>
      <c r="H12" s="3606">
        <v>98</v>
      </c>
      <c r="I12" s="3609" t="s">
        <v>3073</v>
      </c>
      <c r="J12" s="3606">
        <v>98</v>
      </c>
      <c r="K12" s="3611">
        <v>2</v>
      </c>
      <c r="M12" s="3661" t="s">
        <v>3593</v>
      </c>
      <c r="N12" s="3662" t="s">
        <v>3594</v>
      </c>
      <c r="O12" s="3627"/>
      <c r="P12" s="3663"/>
      <c r="Q12" s="3663"/>
      <c r="R12" s="3664"/>
    </row>
    <row r="13" spans="1:18" ht="15" customHeight="1" thickTop="1">
      <c r="A13" s="3612"/>
      <c r="B13" s="3606" t="s">
        <v>3556</v>
      </c>
      <c r="C13" s="3606" t="s">
        <v>3077</v>
      </c>
      <c r="D13" s="3606">
        <v>100</v>
      </c>
      <c r="E13" s="3606" t="s">
        <v>3077</v>
      </c>
      <c r="F13" s="3606">
        <v>100</v>
      </c>
      <c r="G13" s="3606" t="s">
        <v>3077</v>
      </c>
      <c r="H13" s="3606">
        <v>100</v>
      </c>
      <c r="I13" s="3606" t="s">
        <v>3077</v>
      </c>
      <c r="J13" s="3606">
        <v>100</v>
      </c>
      <c r="K13" s="3611">
        <v>2</v>
      </c>
      <c r="M13" s="3656">
        <v>2</v>
      </c>
      <c r="N13" s="3665" t="s">
        <v>3595</v>
      </c>
      <c r="O13" s="3665">
        <v>31119</v>
      </c>
      <c r="P13" s="3634" t="s">
        <v>3596</v>
      </c>
      <c r="Q13" s="3634" t="s">
        <v>3597</v>
      </c>
      <c r="R13" s="3666">
        <v>0.93</v>
      </c>
    </row>
    <row r="14" spans="1:18" ht="15" customHeight="1">
      <c r="A14" s="3614" t="s">
        <v>3557</v>
      </c>
      <c r="B14" s="3606" t="s">
        <v>3558</v>
      </c>
      <c r="C14" s="3609">
        <v>32739</v>
      </c>
      <c r="D14" s="3606">
        <v>100</v>
      </c>
      <c r="E14" s="3609">
        <v>9564</v>
      </c>
      <c r="F14" s="3606">
        <v>98</v>
      </c>
      <c r="G14" s="3609">
        <v>36292</v>
      </c>
      <c r="H14" s="3606">
        <v>100</v>
      </c>
      <c r="I14" s="3609">
        <v>43018</v>
      </c>
      <c r="J14" s="3606">
        <v>102</v>
      </c>
      <c r="K14" s="3610"/>
      <c r="M14" s="3667" t="s">
        <v>3598</v>
      </c>
      <c r="N14" s="3642" t="s">
        <v>3599</v>
      </c>
      <c r="O14" s="3668">
        <v>20187</v>
      </c>
      <c r="P14" s="3669" t="s">
        <v>3600</v>
      </c>
      <c r="Q14" s="3670"/>
      <c r="R14" s="3671"/>
    </row>
    <row r="15" spans="1:18" ht="15" customHeight="1">
      <c r="A15" s="3614"/>
      <c r="B15" s="3606" t="s">
        <v>3559</v>
      </c>
      <c r="C15" s="3608" t="s">
        <v>3534</v>
      </c>
      <c r="D15" s="3606">
        <v>100</v>
      </c>
      <c r="E15" s="3608" t="s">
        <v>3534</v>
      </c>
      <c r="F15" s="3606">
        <v>100</v>
      </c>
      <c r="G15" s="3608" t="s">
        <v>3534</v>
      </c>
      <c r="H15" s="3606">
        <v>100</v>
      </c>
      <c r="I15" s="3608" t="s">
        <v>3534</v>
      </c>
      <c r="J15" s="3606">
        <v>100</v>
      </c>
      <c r="K15" s="3611">
        <v>2</v>
      </c>
      <c r="M15" s="3667" t="s">
        <v>3601</v>
      </c>
      <c r="N15" s="3642" t="s">
        <v>3602</v>
      </c>
      <c r="O15" s="3642">
        <v>1009</v>
      </c>
      <c r="P15" s="3672" t="s">
        <v>3603</v>
      </c>
      <c r="Q15" s="3672" t="s">
        <v>3604</v>
      </c>
      <c r="R15" s="3673">
        <v>0.05</v>
      </c>
    </row>
    <row r="16" spans="1:18" ht="15" customHeight="1">
      <c r="A16" s="3614"/>
      <c r="B16" s="3606" t="s">
        <v>3560</v>
      </c>
      <c r="C16" s="3608" t="s">
        <v>3536</v>
      </c>
      <c r="D16" s="3606">
        <v>100</v>
      </c>
      <c r="E16" s="3608" t="s">
        <v>3536</v>
      </c>
      <c r="F16" s="3606">
        <v>100</v>
      </c>
      <c r="G16" s="3608" t="s">
        <v>3536</v>
      </c>
      <c r="H16" s="3606">
        <v>100</v>
      </c>
      <c r="I16" s="3608" t="s">
        <v>3536</v>
      </c>
      <c r="J16" s="3606">
        <v>100</v>
      </c>
      <c r="K16" s="3611">
        <v>2</v>
      </c>
      <c r="M16" s="3667" t="s">
        <v>3605</v>
      </c>
      <c r="N16" s="3642" t="s">
        <v>3606</v>
      </c>
      <c r="O16" s="3642">
        <v>0</v>
      </c>
      <c r="P16" s="3642" t="s">
        <v>3603</v>
      </c>
      <c r="Q16" s="3642" t="s">
        <v>3604</v>
      </c>
      <c r="R16" s="3674">
        <v>0</v>
      </c>
    </row>
    <row r="17" spans="1:18" ht="15" customHeight="1">
      <c r="A17" s="3614"/>
      <c r="B17" s="3606" t="s">
        <v>3561</v>
      </c>
      <c r="C17" s="3615" t="s">
        <v>3077</v>
      </c>
      <c r="D17" s="3606">
        <v>100</v>
      </c>
      <c r="E17" s="3615" t="s">
        <v>3479</v>
      </c>
      <c r="F17" s="3606">
        <v>97</v>
      </c>
      <c r="G17" s="3615" t="s">
        <v>3479</v>
      </c>
      <c r="H17" s="3606">
        <v>97</v>
      </c>
      <c r="I17" s="3615" t="s">
        <v>3479</v>
      </c>
      <c r="J17" s="3606">
        <v>97</v>
      </c>
      <c r="K17" s="3611">
        <v>1</v>
      </c>
      <c r="M17" s="3667" t="s">
        <v>3607</v>
      </c>
      <c r="N17" s="3642" t="s">
        <v>3608</v>
      </c>
      <c r="O17" s="3642">
        <v>897</v>
      </c>
      <c r="P17" s="3642" t="s">
        <v>3609</v>
      </c>
      <c r="Q17" s="3642" t="s">
        <v>3610</v>
      </c>
      <c r="R17" s="3675">
        <v>200</v>
      </c>
    </row>
    <row r="18" spans="1:18" ht="15" customHeight="1">
      <c r="A18" s="3614"/>
      <c r="B18" s="3606" t="s">
        <v>3562</v>
      </c>
      <c r="C18" s="3608" t="s">
        <v>3075</v>
      </c>
      <c r="D18" s="3606">
        <v>100</v>
      </c>
      <c r="E18" s="3608" t="s">
        <v>3075</v>
      </c>
      <c r="F18" s="3606">
        <v>100</v>
      </c>
      <c r="G18" s="3608" t="s">
        <v>3075</v>
      </c>
      <c r="H18" s="3606">
        <v>100</v>
      </c>
      <c r="I18" s="3608" t="s">
        <v>3075</v>
      </c>
      <c r="J18" s="3606">
        <v>100</v>
      </c>
      <c r="K18" s="3611">
        <v>2</v>
      </c>
      <c r="M18" s="3667" t="s">
        <v>3611</v>
      </c>
      <c r="N18" s="3642" t="s">
        <v>3612</v>
      </c>
      <c r="O18" s="3642">
        <v>303</v>
      </c>
      <c r="P18" s="3642" t="s">
        <v>3603</v>
      </c>
      <c r="Q18" s="3642" t="s">
        <v>3604</v>
      </c>
      <c r="R18" s="3674">
        <v>1.4999999999999999E-2</v>
      </c>
    </row>
    <row r="19" spans="1:18" ht="15" customHeight="1">
      <c r="A19" s="3621" t="s">
        <v>3567</v>
      </c>
      <c r="B19" s="3622"/>
      <c r="C19" s="3618" t="s">
        <v>70</v>
      </c>
      <c r="D19" s="3619"/>
      <c r="E19" s="3618">
        <v>1670</v>
      </c>
      <c r="F19" s="3619"/>
      <c r="G19" s="3618">
        <v>1575</v>
      </c>
      <c r="H19" s="3619"/>
      <c r="I19" s="3618">
        <v>1903</v>
      </c>
      <c r="J19" s="3619"/>
      <c r="K19" s="3616" t="s">
        <v>3565</v>
      </c>
      <c r="M19" s="3667" t="s">
        <v>3580</v>
      </c>
      <c r="N19" s="3642" t="s">
        <v>3613</v>
      </c>
      <c r="O19" s="3642">
        <v>22396</v>
      </c>
      <c r="P19" s="3676" t="s">
        <v>3614</v>
      </c>
      <c r="Q19" s="3677"/>
      <c r="R19" s="3675"/>
    </row>
    <row r="20" spans="1:18" ht="15" customHeight="1">
      <c r="A20" s="3621" t="s">
        <v>3566</v>
      </c>
      <c r="B20" s="3622"/>
      <c r="C20" s="3618">
        <v>1687</v>
      </c>
      <c r="D20" s="3619" t="s">
        <v>2881</v>
      </c>
      <c r="E20" s="3618">
        <v>1644</v>
      </c>
      <c r="F20" s="3619"/>
      <c r="G20" s="3618">
        <v>1581</v>
      </c>
      <c r="H20" s="3619"/>
      <c r="I20" s="3618">
        <v>1837</v>
      </c>
      <c r="J20" s="3619"/>
      <c r="K20" s="3617" t="s">
        <v>3564</v>
      </c>
      <c r="M20" s="3667" t="s">
        <v>3587</v>
      </c>
      <c r="N20" s="3642" t="s">
        <v>3446</v>
      </c>
      <c r="O20" s="3642">
        <v>672</v>
      </c>
      <c r="P20" s="3678" t="s">
        <v>3615</v>
      </c>
      <c r="Q20" s="3642" t="s">
        <v>3604</v>
      </c>
      <c r="R20" s="3674">
        <v>0.03</v>
      </c>
    </row>
    <row r="21" spans="1:18" ht="15" customHeight="1">
      <c r="A21" s="3621" t="s">
        <v>3568</v>
      </c>
      <c r="B21" s="3622"/>
      <c r="C21" s="3618">
        <v>1687</v>
      </c>
      <c r="D21" s="3619"/>
      <c r="E21" s="3618"/>
      <c r="F21" s="3619"/>
      <c r="G21" s="3618"/>
      <c r="H21" s="3619"/>
      <c r="I21" s="3618"/>
      <c r="J21" s="3619"/>
      <c r="K21" s="3620" t="s">
        <v>3564</v>
      </c>
      <c r="M21" s="3667" t="s">
        <v>3593</v>
      </c>
      <c r="N21" s="3642" t="s">
        <v>3448</v>
      </c>
      <c r="O21" s="3642" t="s">
        <v>70</v>
      </c>
      <c r="P21" s="3678" t="s">
        <v>3616</v>
      </c>
      <c r="Q21" s="3642" t="s">
        <v>3617</v>
      </c>
      <c r="R21" s="3674">
        <v>0.03</v>
      </c>
    </row>
    <row r="22" spans="1:18" ht="15" customHeight="1">
      <c r="M22" s="3667" t="s">
        <v>3618</v>
      </c>
      <c r="N22" s="3642" t="s">
        <v>3619</v>
      </c>
      <c r="O22" s="3642"/>
      <c r="P22" s="3676" t="s">
        <v>3620</v>
      </c>
      <c r="Q22" s="3677"/>
      <c r="R22" s="3675"/>
    </row>
    <row r="23" spans="1:18" ht="15" customHeight="1">
      <c r="M23" s="3667" t="s">
        <v>3598</v>
      </c>
      <c r="N23" s="3642" t="s">
        <v>3621</v>
      </c>
      <c r="O23" s="3642">
        <v>1521</v>
      </c>
      <c r="P23" s="3642" t="s">
        <v>3622</v>
      </c>
      <c r="Q23" s="3642" t="s">
        <v>3623</v>
      </c>
      <c r="R23" s="3679">
        <v>3</v>
      </c>
    </row>
    <row r="24" spans="1:18" ht="15" customHeight="1">
      <c r="M24" s="3667" t="s">
        <v>3601</v>
      </c>
      <c r="N24" s="3642" t="s">
        <v>3624</v>
      </c>
      <c r="O24" s="3642">
        <v>2E-3</v>
      </c>
      <c r="P24" s="3642" t="s">
        <v>3625</v>
      </c>
      <c r="Q24" s="3642" t="s">
        <v>3626</v>
      </c>
      <c r="R24" s="3680">
        <v>4.3499999999999997E-2</v>
      </c>
    </row>
    <row r="25" spans="1:18" ht="15" customHeight="1">
      <c r="M25" s="3667" t="s">
        <v>3627</v>
      </c>
      <c r="N25" s="3642" t="s">
        <v>3628</v>
      </c>
      <c r="O25" s="3642"/>
      <c r="P25" s="3676" t="s">
        <v>3629</v>
      </c>
      <c r="Q25" s="3677"/>
      <c r="R25" s="3675"/>
    </row>
    <row r="26" spans="1:18" ht="15" customHeight="1">
      <c r="M26" s="3667" t="s">
        <v>3598</v>
      </c>
      <c r="N26" s="3642" t="s">
        <v>3630</v>
      </c>
      <c r="O26" s="3642">
        <v>5767</v>
      </c>
      <c r="P26" s="3678" t="s">
        <v>3631</v>
      </c>
      <c r="Q26" s="3641" t="s">
        <v>3632</v>
      </c>
      <c r="R26" s="3651">
        <v>0.25</v>
      </c>
    </row>
    <row r="27" spans="1:18" ht="15" customHeight="1">
      <c r="M27" s="3667" t="s">
        <v>3601</v>
      </c>
      <c r="N27" s="3642" t="s">
        <v>3633</v>
      </c>
      <c r="O27" s="3642">
        <v>7.4999999999999997E-3</v>
      </c>
      <c r="P27" s="3678" t="s">
        <v>3634</v>
      </c>
      <c r="Q27" s="3672"/>
      <c r="R27" s="3673"/>
    </row>
    <row r="28" spans="1:18" ht="15" customHeight="1">
      <c r="M28" s="3667" t="s">
        <v>3635</v>
      </c>
      <c r="N28" s="3642" t="s">
        <v>3636</v>
      </c>
      <c r="O28" s="3642">
        <v>5.33E-2</v>
      </c>
      <c r="P28" s="3678" t="s">
        <v>3637</v>
      </c>
      <c r="Q28" s="3642" t="s">
        <v>3604</v>
      </c>
      <c r="R28" s="3674">
        <v>5.6000000000000001E-2</v>
      </c>
    </row>
    <row r="29" spans="1:18" ht="15" customHeight="1" thickBot="1">
      <c r="M29" s="3661" t="s">
        <v>3638</v>
      </c>
      <c r="N29" s="3663" t="s">
        <v>3639</v>
      </c>
      <c r="O29" s="3663">
        <v>33461</v>
      </c>
      <c r="P29" s="3681"/>
      <c r="Q29" s="3663"/>
      <c r="R29" s="3682"/>
    </row>
    <row r="30" spans="1:18" ht="15" customHeight="1" thickTop="1">
      <c r="M30" s="3656" t="s">
        <v>3640</v>
      </c>
      <c r="N30" s="3665" t="s">
        <v>3641</v>
      </c>
      <c r="O30" s="3665">
        <v>1062</v>
      </c>
      <c r="P30" s="3636" t="s">
        <v>3642</v>
      </c>
      <c r="Q30" s="3683"/>
      <c r="R30" s="3637"/>
    </row>
    <row r="31" spans="1:18" ht="15" customHeight="1">
      <c r="M31" s="3667" t="s">
        <v>3580</v>
      </c>
      <c r="N31" s="3642" t="s">
        <v>3643</v>
      </c>
      <c r="O31" s="3642">
        <v>459</v>
      </c>
      <c r="P31" s="3669" t="s">
        <v>3644</v>
      </c>
      <c r="Q31" s="3678" t="s">
        <v>3645</v>
      </c>
      <c r="R31" s="3684" t="s">
        <v>70</v>
      </c>
    </row>
    <row r="32" spans="1:18" ht="15" customHeight="1">
      <c r="M32" s="3667" t="s">
        <v>3598</v>
      </c>
      <c r="N32" s="3642" t="s">
        <v>3646</v>
      </c>
      <c r="O32" s="3642">
        <v>144.75</v>
      </c>
      <c r="P32" s="3678" t="s">
        <v>3647</v>
      </c>
      <c r="Q32" s="3642" t="s">
        <v>3604</v>
      </c>
      <c r="R32" s="3680">
        <v>5.6000000000000001E-2</v>
      </c>
    </row>
    <row r="33" spans="13:18" ht="15" customHeight="1">
      <c r="M33" s="3667" t="s">
        <v>3601</v>
      </c>
      <c r="N33" s="3642" t="s">
        <v>3648</v>
      </c>
      <c r="O33" s="3642">
        <v>310.17</v>
      </c>
      <c r="P33" s="3685" t="s">
        <v>3278</v>
      </c>
      <c r="Q33" s="3642" t="s">
        <v>3604</v>
      </c>
      <c r="R33" s="3674">
        <v>0.12</v>
      </c>
    </row>
    <row r="34" spans="13:18" ht="15" customHeight="1">
      <c r="M34" s="3638" t="s">
        <v>3605</v>
      </c>
      <c r="N34" s="3641" t="s">
        <v>3649</v>
      </c>
      <c r="O34" s="3641">
        <v>3.58</v>
      </c>
      <c r="P34" s="3686" t="s">
        <v>3650</v>
      </c>
      <c r="Q34" s="3642" t="s">
        <v>3651</v>
      </c>
      <c r="R34" s="3679">
        <v>6</v>
      </c>
    </row>
    <row r="35" spans="13:18" ht="15" customHeight="1">
      <c r="M35" s="3687"/>
      <c r="N35" s="3688"/>
      <c r="O35" s="3672"/>
      <c r="P35" s="3689"/>
      <c r="Q35" s="3642" t="s">
        <v>3652</v>
      </c>
      <c r="R35" s="3643">
        <v>5974.5</v>
      </c>
    </row>
    <row r="36" spans="13:18" ht="15" customHeight="1">
      <c r="M36" s="3690" t="s">
        <v>3587</v>
      </c>
      <c r="N36" s="3642" t="s">
        <v>3653</v>
      </c>
      <c r="O36" s="3642">
        <v>501.9</v>
      </c>
      <c r="P36" s="3678" t="s">
        <v>3654</v>
      </c>
      <c r="Q36" s="3642" t="s">
        <v>3604</v>
      </c>
      <c r="R36" s="3691">
        <v>1.4999999999999999E-2</v>
      </c>
    </row>
    <row r="37" spans="13:18" ht="15" customHeight="1">
      <c r="M37" s="3667" t="s">
        <v>3593</v>
      </c>
      <c r="N37" s="3642" t="s">
        <v>3655</v>
      </c>
      <c r="O37" s="3642">
        <v>46.7</v>
      </c>
      <c r="P37" s="3678" t="s">
        <v>3656</v>
      </c>
      <c r="Q37" s="3642" t="s">
        <v>3604</v>
      </c>
      <c r="R37" s="3692">
        <v>1.5E-3</v>
      </c>
    </row>
    <row r="38" spans="13:18" ht="15" customHeight="1" thickBot="1">
      <c r="M38" s="3661" t="s">
        <v>3618</v>
      </c>
      <c r="N38" s="3663" t="s">
        <v>3446</v>
      </c>
      <c r="O38" s="3663">
        <v>54.3</v>
      </c>
      <c r="P38" s="3681" t="s">
        <v>3657</v>
      </c>
      <c r="Q38" s="3663" t="s">
        <v>3604</v>
      </c>
      <c r="R38" s="3664">
        <v>0.02</v>
      </c>
    </row>
    <row r="39" spans="13:18" ht="15" customHeight="1" thickTop="1">
      <c r="M39" s="3656" t="s">
        <v>3658</v>
      </c>
      <c r="N39" s="3693" t="s">
        <v>3659</v>
      </c>
      <c r="O39" s="3665">
        <v>1655</v>
      </c>
      <c r="P39" s="3694" t="s">
        <v>3660</v>
      </c>
      <c r="Q39" s="3695"/>
      <c r="R39" s="3696"/>
    </row>
    <row r="40" spans="13:18" ht="15" customHeight="1">
      <c r="M40" s="3632" t="s">
        <v>3661</v>
      </c>
      <c r="N40" s="3633" t="s">
        <v>3662</v>
      </c>
      <c r="O40" s="3697">
        <v>31584</v>
      </c>
      <c r="P40" s="3686" t="s">
        <v>3663</v>
      </c>
      <c r="Q40" s="3642" t="s">
        <v>3664</v>
      </c>
      <c r="R40" s="3651">
        <v>5.5E-2</v>
      </c>
    </row>
    <row r="41" spans="13:18" ht="15" customHeight="1">
      <c r="M41" s="3648"/>
      <c r="N41" s="3698"/>
      <c r="O41" s="3649"/>
      <c r="P41" s="3699" t="s">
        <v>3665</v>
      </c>
      <c r="Q41" s="3642" t="s">
        <v>3666</v>
      </c>
      <c r="R41" s="3700">
        <v>29.46</v>
      </c>
    </row>
    <row r="42" spans="13:18" ht="15" customHeight="1">
      <c r="M42" s="3656"/>
      <c r="N42" s="3693"/>
      <c r="O42" s="3665"/>
      <c r="P42" s="3689"/>
      <c r="Q42" s="3642" t="s">
        <v>3667</v>
      </c>
      <c r="R42" s="3651">
        <v>2.5000000000000001E-2</v>
      </c>
    </row>
    <row r="43" spans="13:18" ht="15" customHeight="1" thickBot="1">
      <c r="M43" s="3701" t="s">
        <v>3668</v>
      </c>
      <c r="N43" s="3702" t="s">
        <v>3669</v>
      </c>
      <c r="O43" s="3702">
        <v>7041</v>
      </c>
      <c r="P43" s="3703" t="s">
        <v>3670</v>
      </c>
      <c r="Q43" s="3703" t="s">
        <v>3671</v>
      </c>
      <c r="R43" s="3704">
        <v>44859.7</v>
      </c>
    </row>
  </sheetData>
  <mergeCells count="34">
    <mergeCell ref="A21:B21"/>
    <mergeCell ref="A6:A8"/>
    <mergeCell ref="N6:N9"/>
    <mergeCell ref="I19:J19"/>
    <mergeCell ref="I20:J20"/>
    <mergeCell ref="C19:D19"/>
    <mergeCell ref="C20:D20"/>
    <mergeCell ref="C21:D21"/>
    <mergeCell ref="E21:F21"/>
    <mergeCell ref="G21:H21"/>
    <mergeCell ref="I21:J21"/>
    <mergeCell ref="A5:B5"/>
    <mergeCell ref="A9:A13"/>
    <mergeCell ref="A14:A18"/>
    <mergeCell ref="E19:F19"/>
    <mergeCell ref="E20:F20"/>
    <mergeCell ref="G19:H19"/>
    <mergeCell ref="G20:H20"/>
    <mergeCell ref="A19:B19"/>
    <mergeCell ref="A20:B20"/>
    <mergeCell ref="C3:D3"/>
    <mergeCell ref="E3:F3"/>
    <mergeCell ref="G3:H3"/>
    <mergeCell ref="I3:J3"/>
    <mergeCell ref="A1:B2"/>
    <mergeCell ref="A4:B4"/>
    <mergeCell ref="C1:D1"/>
    <mergeCell ref="E1:F1"/>
    <mergeCell ref="G1:H1"/>
    <mergeCell ref="I1:J1"/>
    <mergeCell ref="C2:D2"/>
    <mergeCell ref="E2:F2"/>
    <mergeCell ref="G2:H2"/>
    <mergeCell ref="I2:J2"/>
  </mergeCells>
  <phoneticPr fontId="141" type="noConversion"/>
  <conditionalFormatting sqref="F4:F18 H4:H18 J4:J18">
    <cfRule type="cellIs" dxfId="2" priority="2" operator="notEqual">
      <formula>100</formula>
    </cfRule>
  </conditionalFormatting>
  <conditionalFormatting sqref="O11">
    <cfRule type="expression" dxfId="0" priority="1">
      <formula>$F$10="自定义"</formula>
    </cfRule>
  </conditionalFormatting>
  <dataValidations count="13">
    <dataValidation type="list" allowBlank="1" showInputMessage="1" showErrorMessage="1" sqref="D20">
      <formula1>"简单平均,加权平均"</formula1>
    </dataValidation>
    <dataValidation type="list" allowBlank="1" showInputMessage="1" showErrorMessage="1" sqref="C18 E18 G18 I18">
      <formula1>套综工程地质条件</formula1>
    </dataValidation>
    <dataValidation type="list" allowBlank="1" showInputMessage="1" showErrorMessage="1" sqref="C17 E17 G17 I17">
      <formula1>套综宗地内开发程度</formula1>
    </dataValidation>
    <dataValidation type="list" allowBlank="1" showInputMessage="1" showErrorMessage="1" sqref="C16 E16 G16 I16">
      <formula1>套综临街宽度及深度</formula1>
    </dataValidation>
    <dataValidation type="list" allowBlank="1" showInputMessage="1" showErrorMessage="1" sqref="C15 E15 G15 I15">
      <formula1>套综宗地形状</formula1>
    </dataValidation>
    <dataValidation type="list" allowBlank="1" showInputMessage="1" showErrorMessage="1" sqref="C6 E6 G6 I6">
      <formula1>套综用途</formula1>
    </dataValidation>
    <dataValidation type="list" allowBlank="1" showInputMessage="1" showErrorMessage="1" sqref="C5 E5 G5 I5">
      <formula1>套综交易情况</formula1>
    </dataValidation>
    <dataValidation type="list" allowBlank="1" showInputMessage="1" showErrorMessage="1" sqref="I10:I12 G10:G12 E10:E12">
      <formula1>交通便捷度</formula1>
    </dataValidation>
    <dataValidation type="list" allowBlank="1" showInputMessage="1" showErrorMessage="1" sqref="C11">
      <formula1>住宅朝向</formula1>
    </dataValidation>
    <dataValidation type="list" allowBlank="1" showInputMessage="1" showErrorMessage="1" sqref="P1">
      <formula1>"在建（套用方法）,土地（套用方法）,——"</formula1>
    </dataValidation>
    <dataValidation type="list" allowBlank="1" showInputMessage="1" showErrorMessage="1" sqref="R10">
      <formula1>"押一,押二,押三,自定义"</formula1>
    </dataValidation>
    <dataValidation type="list" allowBlank="1" showInputMessage="1" showErrorMessage="1" sqref="O1">
      <formula1>项目类型</formula1>
    </dataValidation>
    <dataValidation type="list" allowBlank="1" showInputMessage="1" showErrorMessage="1" sqref="P33">
      <formula1>"按租金收入计税,按房产原值计税,按票据"</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256" t="s">
        <v>1627</v>
      </c>
      <c r="B1" s="3256"/>
      <c r="C1" s="3256"/>
      <c r="D1" s="3256"/>
    </row>
    <row r="2" spans="1:4" ht="18">
      <c r="A2" s="3257" t="s">
        <v>1611</v>
      </c>
      <c r="B2" s="3257"/>
      <c r="C2" s="3257"/>
      <c r="D2" s="3257"/>
    </row>
    <row r="3" spans="1:4" ht="18.75">
      <c r="A3" s="1695" t="s">
        <v>1612</v>
      </c>
      <c r="B3" s="1695" t="s">
        <v>1613</v>
      </c>
      <c r="C3" s="1695" t="s">
        <v>1614</v>
      </c>
      <c r="D3" s="1695" t="s">
        <v>1615</v>
      </c>
    </row>
    <row r="4" spans="1:4" ht="56.25" customHeight="1">
      <c r="A4" s="1696" t="str">
        <f>项目基本情况!B4</f>
        <v>郑燚</v>
      </c>
      <c r="B4" s="1697">
        <f ca="1">项目基本情况!C4</f>
        <v>1120070131</v>
      </c>
      <c r="C4" s="1698"/>
      <c r="D4" s="1699" t="s">
        <v>1616</v>
      </c>
    </row>
    <row r="5" spans="1:4" ht="56.25" customHeight="1">
      <c r="A5" s="1696" t="str">
        <f>项目基本情况!D4</f>
        <v>吴薇</v>
      </c>
      <c r="B5" s="1697">
        <f ca="1">项目基本情况!E4</f>
        <v>1419970001</v>
      </c>
      <c r="C5" s="1700"/>
      <c r="D5" s="1699" t="s">
        <v>1616</v>
      </c>
    </row>
    <row r="6" spans="1:4" ht="18">
      <c r="A6" s="3257" t="s">
        <v>1617</v>
      </c>
      <c r="B6" s="3257"/>
      <c r="C6" s="3257"/>
      <c r="D6" s="3257"/>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258" t="s">
        <v>1620</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9" t="str">
        <f>IF(项目基本情况!B8="抵押","4.本次评估估价师所知悉的法定优先受偿款情况说明如下：","——")</f>
        <v>4.本次评估估价师所知悉的法定优先受偿款情况说明如下：</v>
      </c>
      <c r="B14" s="3260"/>
      <c r="C14" s="3260"/>
      <c r="D14" s="3260"/>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2" t="s">
        <v>1621</v>
      </c>
      <c r="B16" s="3262"/>
      <c r="C16" s="3262"/>
      <c r="D16" s="3262"/>
    </row>
    <row r="17" spans="1:4" ht="144" customHeight="1">
      <c r="A17" s="3262" t="s">
        <v>1622</v>
      </c>
      <c r="B17" s="3262"/>
      <c r="C17" s="3262"/>
      <c r="D17" s="3262"/>
    </row>
    <row r="18" spans="1:4" ht="15.75" customHeight="1">
      <c r="A18" s="3259" t="str">
        <f>IF(项目基本情况!B8="抵押",结果表!K120,"——")</f>
        <v>故，本次评估不存在估价师知悉的法定优先受偿款</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1623</v>
      </c>
      <c r="B22" s="3264"/>
      <c r="C22" s="3264"/>
      <c r="D22" s="3264"/>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261">
        <v>42551</v>
      </c>
      <c r="D31" s="32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270" t="s">
        <v>1634</v>
      </c>
      <c r="B15" s="3265" t="s">
        <v>136</v>
      </c>
      <c r="C15" s="3266"/>
    </row>
    <row r="16" spans="1:7" ht="13.5">
      <c r="A16" s="3271"/>
      <c r="B16" s="3265" t="s">
        <v>69</v>
      </c>
      <c r="C16" s="3266"/>
    </row>
    <row r="17" spans="1:3" ht="13.5">
      <c r="A17" s="3271"/>
      <c r="B17" s="3268" t="s">
        <v>1635</v>
      </c>
      <c r="C17" s="1718" t="s">
        <v>1634</v>
      </c>
    </row>
    <row r="18" spans="1:3" ht="13.5">
      <c r="A18" s="3271"/>
      <c r="B18" s="3268"/>
      <c r="C18" s="1718" t="s">
        <v>1636</v>
      </c>
    </row>
    <row r="19" spans="1:3" ht="13.5">
      <c r="A19" s="3271"/>
      <c r="B19" s="3268"/>
      <c r="C19" s="1718" t="s">
        <v>1637</v>
      </c>
    </row>
    <row r="20" spans="1:3" ht="13.5">
      <c r="A20" s="3272"/>
      <c r="B20" s="3267" t="s">
        <v>1638</v>
      </c>
      <c r="C20" s="3266"/>
    </row>
    <row r="21" spans="1:3" ht="13.5">
      <c r="A21" s="1719" t="s">
        <v>1639</v>
      </c>
      <c r="B21" s="1720"/>
      <c r="C21" s="1721"/>
    </row>
    <row r="22" spans="1:3" ht="13.5">
      <c r="A22" s="3269" t="s">
        <v>1640</v>
      </c>
      <c r="B22" s="3267" t="s">
        <v>1641</v>
      </c>
      <c r="C22" s="3266"/>
    </row>
    <row r="23" spans="1:3" ht="13.5">
      <c r="A23" s="3269"/>
      <c r="B23" s="3267" t="s">
        <v>1642</v>
      </c>
      <c r="C23" s="3266"/>
    </row>
    <row r="24" spans="1:3" ht="13.5">
      <c r="A24" s="3269"/>
      <c r="B24" s="3267" t="s">
        <v>1643</v>
      </c>
      <c r="C24" s="3266"/>
    </row>
    <row r="25" spans="1:3" ht="13.5">
      <c r="A25" s="3269"/>
      <c r="B25" s="3268" t="s">
        <v>1644</v>
      </c>
      <c r="C25" s="1718" t="s">
        <v>1645</v>
      </c>
    </row>
    <row r="26" spans="1:3" ht="13.5">
      <c r="A26" s="3269"/>
      <c r="B26" s="3268"/>
      <c r="C26" s="1718" t="s">
        <v>1646</v>
      </c>
    </row>
    <row r="27" spans="1:3" ht="13.5">
      <c r="A27" s="3269"/>
      <c r="B27" s="3268"/>
      <c r="C27" s="1718" t="s">
        <v>1647</v>
      </c>
    </row>
    <row r="28" spans="1:3" ht="13.5">
      <c r="A28" s="3269"/>
      <c r="B28" s="3268"/>
      <c r="C28" s="1718" t="s">
        <v>1648</v>
      </c>
    </row>
    <row r="29" spans="1:3" ht="13.5">
      <c r="A29" s="3269"/>
      <c r="B29" s="3268"/>
      <c r="C29" s="1718" t="s">
        <v>1649</v>
      </c>
    </row>
    <row r="30" spans="1:3" ht="13.5">
      <c r="A30" s="3269"/>
      <c r="B30" s="3268"/>
      <c r="C30" s="1718" t="s">
        <v>1650</v>
      </c>
    </row>
    <row r="31" spans="1:3" ht="13.5">
      <c r="A31" s="3269"/>
      <c r="B31" s="3268"/>
      <c r="C31" s="1718" t="s">
        <v>1651</v>
      </c>
    </row>
    <row r="32" spans="1:3" ht="13.5">
      <c r="A32" s="3269"/>
      <c r="B32" s="3268"/>
      <c r="C32" s="1718" t="s">
        <v>1652</v>
      </c>
    </row>
    <row r="33" spans="1:3" ht="13.5">
      <c r="A33" s="3269"/>
      <c r="B33" s="3268"/>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44284</v>
      </c>
      <c r="C2" s="2563" t="s">
        <v>2883</v>
      </c>
      <c r="D2" s="2563"/>
      <c r="E2" s="2563"/>
      <c r="F2" s="2559"/>
      <c r="G2" s="2559"/>
      <c r="H2" s="2559"/>
    </row>
    <row r="3" spans="1:8" ht="24" customHeight="1">
      <c r="A3" s="2564" t="s">
        <v>2884</v>
      </c>
      <c r="B3" s="2565" t="s">
        <v>2885</v>
      </c>
      <c r="C3" s="2565" t="s">
        <v>2886</v>
      </c>
      <c r="D3" s="2566" t="s">
        <v>2887</v>
      </c>
      <c r="E3" s="2567" t="s">
        <v>2888</v>
      </c>
      <c r="F3" s="1473" t="s">
        <v>2889</v>
      </c>
      <c r="G3" s="2565" t="s">
        <v>2886</v>
      </c>
      <c r="H3" s="2566" t="s">
        <v>2890</v>
      </c>
    </row>
    <row r="4" spans="1:8" ht="24" customHeight="1">
      <c r="A4" s="1473" t="s">
        <v>2891</v>
      </c>
      <c r="B4" s="1473">
        <f ca="1">IF(C4&lt;B2,"已过期",1119970066)</f>
        <v>1119970066</v>
      </c>
      <c r="C4" s="2568">
        <v>44876</v>
      </c>
      <c r="D4" s="2569" t="str">
        <f ca="1">A4&amp;"（注册号："&amp;B4&amp;"）"</f>
        <v>梁津（注册号：1119970066）</v>
      </c>
      <c r="E4" s="2570" t="s">
        <v>2891</v>
      </c>
      <c r="F4" s="1473">
        <f ca="1">IF(G4&lt;B2,"已过期",96010014)</f>
        <v>96010014</v>
      </c>
      <c r="G4" s="2571">
        <v>47118</v>
      </c>
      <c r="H4" s="2572" t="str">
        <f ca="1">E4&amp;"（注册号："&amp;F4&amp;"）"</f>
        <v>梁津（注册号：96010014）</v>
      </c>
    </row>
    <row r="5" spans="1:8" ht="24" customHeight="1">
      <c r="A5" s="1473" t="s">
        <v>2892</v>
      </c>
      <c r="B5" s="1473">
        <f ca="1">IF(C5&lt;B2,"已过期",1119970111)</f>
        <v>1119970111</v>
      </c>
      <c r="C5" s="2568">
        <v>44876</v>
      </c>
      <c r="D5" s="2569" t="str">
        <f t="shared" ref="D5:D15" ca="1" si="0">A5&amp;"（注册号："&amp;B5&amp;"）"</f>
        <v>叶凌（注册号：1119970111）</v>
      </c>
      <c r="E5" s="2570" t="s">
        <v>2892</v>
      </c>
      <c r="F5" s="1473">
        <f ca="1">IF(G5&lt;B2,"已过期",94010078)</f>
        <v>94010078</v>
      </c>
      <c r="G5" s="2571">
        <v>46387</v>
      </c>
      <c r="H5" s="2572" t="str">
        <f t="shared" ref="H5:H16" ca="1" si="1">E5&amp;"（注册号："&amp;F5&amp;"）"</f>
        <v>叶凌（注册号：94010078）</v>
      </c>
    </row>
    <row r="6" spans="1:8" ht="24" customHeight="1">
      <c r="A6" s="1473" t="s">
        <v>2893</v>
      </c>
      <c r="B6" s="1473">
        <f ca="1">IF(C6&lt;B2,"已过期",1120050019)</f>
        <v>1120050019</v>
      </c>
      <c r="C6" s="2568">
        <v>44395</v>
      </c>
      <c r="D6" s="2569" t="str">
        <f t="shared" ca="1" si="0"/>
        <v>王鹏（注册号：1120050019）</v>
      </c>
      <c r="E6" s="2570" t="s">
        <v>2893</v>
      </c>
      <c r="F6" s="1473">
        <f ca="1">IF(G6&lt;B2,"已过期",2002110030)</f>
        <v>2002110030</v>
      </c>
      <c r="G6" s="2571">
        <v>46387</v>
      </c>
      <c r="H6" s="2572" t="str">
        <f t="shared" ca="1" si="1"/>
        <v>王鹏（注册号：2002110030）</v>
      </c>
    </row>
    <row r="7" spans="1:8" ht="24" customHeight="1">
      <c r="A7" s="1473" t="s">
        <v>2894</v>
      </c>
      <c r="B7" s="1473">
        <f ca="1">IF(C7&lt;B2,"已过期",1120000080)</f>
        <v>1120000080</v>
      </c>
      <c r="C7" s="2568">
        <v>44876</v>
      </c>
      <c r="D7" s="2569" t="str">
        <f t="shared" ca="1" si="0"/>
        <v>欧红伟（注册号：1120000080）</v>
      </c>
      <c r="E7" s="2570" t="s">
        <v>2894</v>
      </c>
      <c r="F7" s="1473">
        <f ca="1">IF(G7&lt;B2,"已过期",2000110082)</f>
        <v>2000110082</v>
      </c>
      <c r="G7" s="2571">
        <v>46387</v>
      </c>
      <c r="H7" s="2572" t="str">
        <f t="shared" ca="1" si="1"/>
        <v>欧红伟（注册号：2000110082）</v>
      </c>
    </row>
    <row r="8" spans="1:8" ht="24" customHeight="1">
      <c r="A8" s="1473" t="s">
        <v>2895</v>
      </c>
      <c r="B8" s="1473">
        <f ca="1">IF(C8&lt;B2,"已过期",1419970001)</f>
        <v>1419970001</v>
      </c>
      <c r="C8" s="2568">
        <v>44899</v>
      </c>
      <c r="D8" s="2569" t="str">
        <f t="shared" ca="1" si="0"/>
        <v>吴薇（注册号：1419970001）</v>
      </c>
      <c r="E8" s="2570" t="s">
        <v>2895</v>
      </c>
      <c r="F8" s="1473">
        <f ca="1">IF(G8&lt;B2,"已过期",2002110125)</f>
        <v>2002110125</v>
      </c>
      <c r="G8" s="2571">
        <v>47118</v>
      </c>
      <c r="H8" s="2572" t="str">
        <f t="shared" ca="1" si="1"/>
        <v>吴薇（注册号：2002110125）</v>
      </c>
    </row>
    <row r="9" spans="1:8" ht="24" customHeight="1">
      <c r="A9" s="1473" t="s">
        <v>2896</v>
      </c>
      <c r="B9" s="1473">
        <f ca="1">IF(C9&lt;B2,"已过期",1120060040)</f>
        <v>1120060040</v>
      </c>
      <c r="C9" s="2573">
        <v>44554</v>
      </c>
      <c r="D9" s="2569" t="str">
        <f t="shared" ca="1" si="0"/>
        <v>陈颖（注册号：1120060040）</v>
      </c>
      <c r="E9" s="2570" t="s">
        <v>2896</v>
      </c>
      <c r="F9" s="1473">
        <f ca="1">IF(G9&lt;B2,"已过期",2004110096)</f>
        <v>2004110096</v>
      </c>
      <c r="G9" s="2571">
        <v>47118</v>
      </c>
      <c r="H9" s="2572" t="str">
        <f t="shared" ca="1" si="1"/>
        <v>陈颖（注册号：2004110096）</v>
      </c>
    </row>
    <row r="10" spans="1:8" ht="24" customHeight="1">
      <c r="A10" s="1473" t="s">
        <v>2897</v>
      </c>
      <c r="B10" s="1473">
        <f ca="1">IF(C10&lt;B2,"已过期",1120100036)</f>
        <v>1120100036</v>
      </c>
      <c r="C10" s="2573">
        <v>44675</v>
      </c>
      <c r="D10" s="2569" t="str">
        <f t="shared" ca="1" si="0"/>
        <v>崔锴（注册号：1120100036）</v>
      </c>
      <c r="E10" s="2570" t="s">
        <v>2897</v>
      </c>
      <c r="F10" s="1473">
        <f ca="1">IF(G10&lt;B2,"已过期",2010110070)</f>
        <v>2010110070</v>
      </c>
      <c r="G10" s="2571">
        <v>47907</v>
      </c>
      <c r="H10" s="2572" t="str">
        <f t="shared" ca="1" si="1"/>
        <v>崔锴（注册号：2010110070）</v>
      </c>
    </row>
    <row r="11" spans="1:8" ht="24" customHeight="1">
      <c r="A11" s="1473" t="s">
        <v>2898</v>
      </c>
      <c r="B11" s="1473">
        <f ca="1">IF(C11&lt;B2,"已过期",1120070131)</f>
        <v>1120070131</v>
      </c>
      <c r="C11" s="2568">
        <v>44849</v>
      </c>
      <c r="D11" s="2569" t="str">
        <f t="shared" ca="1" si="0"/>
        <v>郑燚（注册号：1120070131）</v>
      </c>
      <c r="E11" s="2570" t="s">
        <v>2898</v>
      </c>
      <c r="F11" s="1473">
        <f ca="1">IF(G11&lt;B2,"已过期",2014110011)</f>
        <v>2014110011</v>
      </c>
      <c r="G11" s="2571">
        <v>49302</v>
      </c>
      <c r="H11" s="2572" t="str">
        <f t="shared" ca="1" si="1"/>
        <v>郑燚（注册号：2014110011）</v>
      </c>
    </row>
    <row r="12" spans="1:8" ht="24" customHeight="1">
      <c r="A12" s="1473" t="s">
        <v>2899</v>
      </c>
      <c r="B12" s="1473">
        <f ca="1">IF(C12&lt;B2,"已过期",1120040230)</f>
        <v>1120040230</v>
      </c>
      <c r="C12" s="2573">
        <v>44864</v>
      </c>
      <c r="D12" s="2569" t="str">
        <f t="shared" ca="1" si="0"/>
        <v>苏海（注册号：1120040230）</v>
      </c>
      <c r="E12" s="2570" t="s">
        <v>2899</v>
      </c>
      <c r="F12" s="1473">
        <f ca="1">IF(G12&lt;B2,"已过期",98030020)</f>
        <v>98030020</v>
      </c>
      <c r="G12" s="2571">
        <v>47118</v>
      </c>
      <c r="H12" s="2572" t="str">
        <f t="shared" ca="1" si="1"/>
        <v>苏海（注册号：98030020）</v>
      </c>
    </row>
    <row r="13" spans="1:8" ht="24" customHeight="1">
      <c r="A13" s="1473" t="s">
        <v>2900</v>
      </c>
      <c r="B13" s="1473">
        <f ca="1">IF(C13&lt;B2,"已过期",1120020033)</f>
        <v>1120020033</v>
      </c>
      <c r="C13" s="2568">
        <v>44339</v>
      </c>
      <c r="D13" s="2569" t="str">
        <f t="shared" ca="1" si="0"/>
        <v>刘敬东（注册号：1120020033）</v>
      </c>
      <c r="E13" s="2570" t="s">
        <v>2900</v>
      </c>
      <c r="F13" s="1473">
        <f ca="1">IF(G13&lt;B2,"已过期",2000110137)</f>
        <v>2000110137</v>
      </c>
      <c r="G13" s="2571">
        <v>46387</v>
      </c>
      <c r="H13" s="2572" t="str">
        <f t="shared" ca="1" si="1"/>
        <v>刘敬东（注册号：2000110137）</v>
      </c>
    </row>
    <row r="14" spans="1:8" ht="24" customHeight="1">
      <c r="A14" s="1473" t="s">
        <v>2901</v>
      </c>
      <c r="B14" s="1473">
        <f ca="1">IF(C14&lt;B2,"已过期",1119980106)</f>
        <v>1119980106</v>
      </c>
      <c r="C14" s="2573">
        <v>44969</v>
      </c>
      <c r="D14" s="2569" t="str">
        <f t="shared" ca="1" si="0"/>
        <v>刘俊财（注册号：1119980106）</v>
      </c>
      <c r="E14" s="2570" t="s">
        <v>2901</v>
      </c>
      <c r="F14" s="1473">
        <f ca="1">IF(G14&lt;B2,"已过期",96010063)</f>
        <v>96010063</v>
      </c>
      <c r="G14" s="2571">
        <v>47483</v>
      </c>
      <c r="H14" s="2572" t="str">
        <f t="shared" ca="1" si="1"/>
        <v>刘俊财（注册号：96010063）</v>
      </c>
    </row>
    <row r="15" spans="1:8" ht="24" customHeight="1">
      <c r="A15" s="1473"/>
      <c r="B15" s="1473"/>
      <c r="C15" s="2573"/>
      <c r="D15" s="2569" t="str">
        <f t="shared" si="0"/>
        <v>（注册号：）</v>
      </c>
      <c r="E15" s="2570" t="s">
        <v>2902</v>
      </c>
      <c r="F15" s="1473">
        <f ca="1">IF(G15&lt;B2,"已过期",2011110090)</f>
        <v>2011110090</v>
      </c>
      <c r="G15" s="2571">
        <v>48302</v>
      </c>
      <c r="H15" s="2572" t="str">
        <f t="shared" ca="1" si="1"/>
        <v>赵雯（注册号：2011110090）</v>
      </c>
    </row>
    <row r="16" spans="1:8" s="2575" customFormat="1" ht="24" customHeight="1">
      <c r="A16" s="1473"/>
      <c r="B16" s="1473"/>
      <c r="C16" s="1473"/>
      <c r="D16" s="2569" t="str">
        <f>A16&amp;"（注册号："&amp;B16&amp;"）"</f>
        <v>（注册号：）</v>
      </c>
      <c r="E16" s="2570"/>
      <c r="F16" s="1473"/>
      <c r="G16" s="1473"/>
      <c r="H16" s="2574" t="str">
        <f t="shared" si="1"/>
        <v>（注册号：）</v>
      </c>
    </row>
    <row r="17" spans="1:8" ht="24" customHeight="1">
      <c r="A17" s="3273" t="s">
        <v>2903</v>
      </c>
      <c r="B17" s="3273"/>
      <c r="C17" s="3273"/>
      <c r="D17" s="3273"/>
      <c r="E17" s="3273"/>
      <c r="F17" s="3273"/>
      <c r="G17" s="3273"/>
      <c r="H17" s="3273"/>
    </row>
    <row r="18" spans="1:8" ht="24" customHeight="1">
      <c r="A18" s="3274" t="s">
        <v>2904</v>
      </c>
      <c r="B18" s="3274"/>
      <c r="C18" s="3274"/>
      <c r="D18" s="2566"/>
      <c r="E18" s="3275" t="s">
        <v>2905</v>
      </c>
      <c r="F18" s="3274"/>
      <c r="G18" s="3274"/>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41" priority="51">
      <formula>AND($C4-TODAY()&lt;30,TODAY()&lt;$C4)</formula>
    </cfRule>
  </conditionalFormatting>
  <conditionalFormatting sqref="C20:D20">
    <cfRule type="expression" dxfId="240" priority="50">
      <formula>AND($C20-TODAY()&lt;30,TODAY()&lt;$C20)</formula>
    </cfRule>
  </conditionalFormatting>
  <conditionalFormatting sqref="C20:D20 G4 C4:D5 C13:D13">
    <cfRule type="cellIs" dxfId="239" priority="52" stopIfTrue="1" operator="lessThan">
      <formula>$B$2</formula>
    </cfRule>
  </conditionalFormatting>
  <conditionalFormatting sqref="G5 G7 G9">
    <cfRule type="cellIs" dxfId="238" priority="49" stopIfTrue="1" operator="lessThan">
      <formula>$B$2</formula>
    </cfRule>
  </conditionalFormatting>
  <conditionalFormatting sqref="C6:D6 D14 D16">
    <cfRule type="expression" dxfId="237" priority="47">
      <formula>AND($C6-TODAY()&lt;30,TODAY()&lt;$C6)</formula>
    </cfRule>
  </conditionalFormatting>
  <conditionalFormatting sqref="G6 G8 G10 C6:D6 D7:D12 D14 D16">
    <cfRule type="cellIs" dxfId="236" priority="48" stopIfTrue="1" operator="lessThan">
      <formula>$B$2</formula>
    </cfRule>
  </conditionalFormatting>
  <conditionalFormatting sqref="D12">
    <cfRule type="expression" dxfId="235" priority="45">
      <formula>AND($C12-TODAY()&lt;30,TODAY()&lt;$C12)</formula>
    </cfRule>
  </conditionalFormatting>
  <conditionalFormatting sqref="D12">
    <cfRule type="cellIs" dxfId="234" priority="46" stopIfTrue="1" operator="lessThan">
      <formula>$B$2</formula>
    </cfRule>
  </conditionalFormatting>
  <conditionalFormatting sqref="C13:D13">
    <cfRule type="expression" dxfId="233" priority="43">
      <formula>AND($C13-TODAY()&lt;30,TODAY()&lt;$C13)</formula>
    </cfRule>
  </conditionalFormatting>
  <conditionalFormatting sqref="C13:D13">
    <cfRule type="cellIs" dxfId="232" priority="44" stopIfTrue="1" operator="lessThan">
      <formula>$B$2</formula>
    </cfRule>
  </conditionalFormatting>
  <conditionalFormatting sqref="D14">
    <cfRule type="expression" dxfId="231" priority="41">
      <formula>AND($C14-TODAY()&lt;30,TODAY()&lt;$C14)</formula>
    </cfRule>
  </conditionalFormatting>
  <conditionalFormatting sqref="D14">
    <cfRule type="cellIs" dxfId="230" priority="42" stopIfTrue="1" operator="lessThan">
      <formula>$B$2</formula>
    </cfRule>
  </conditionalFormatting>
  <conditionalFormatting sqref="G13">
    <cfRule type="cellIs" dxfId="229" priority="40" stopIfTrue="1" operator="lessThan">
      <formula>$B$2</formula>
    </cfRule>
  </conditionalFormatting>
  <conditionalFormatting sqref="B4:B11 F4:F11 B13 F13:F14">
    <cfRule type="cellIs" dxfId="228" priority="39" stopIfTrue="1" operator="equal">
      <formula>"已过期"</formula>
    </cfRule>
  </conditionalFormatting>
  <conditionalFormatting sqref="G20">
    <cfRule type="expression" dxfId="227" priority="37">
      <formula>AND($E20-TODAY()&lt;30,TODAY()&lt;$E20)</formula>
    </cfRule>
  </conditionalFormatting>
  <conditionalFormatting sqref="G20">
    <cfRule type="cellIs" dxfId="226" priority="38" stopIfTrue="1" operator="lessThan">
      <formula>$B$2</formula>
    </cfRule>
  </conditionalFormatting>
  <conditionalFormatting sqref="C7">
    <cfRule type="expression" dxfId="225" priority="35">
      <formula>AND($C7-TODAY()&lt;30,TODAY()&lt;$C7)</formula>
    </cfRule>
  </conditionalFormatting>
  <conditionalFormatting sqref="C7">
    <cfRule type="cellIs" dxfId="224" priority="36" stopIfTrue="1" operator="lessThan">
      <formula>$B$2</formula>
    </cfRule>
  </conditionalFormatting>
  <conditionalFormatting sqref="C8">
    <cfRule type="expression" dxfId="223" priority="33">
      <formula>AND($C8-TODAY()&lt;30,TODAY()&lt;$C8)</formula>
    </cfRule>
  </conditionalFormatting>
  <conditionalFormatting sqref="C8">
    <cfRule type="cellIs" dxfId="222" priority="34" stopIfTrue="1" operator="lessThan">
      <formula>$B$2</formula>
    </cfRule>
  </conditionalFormatting>
  <conditionalFormatting sqref="C11">
    <cfRule type="expression" dxfId="221" priority="31">
      <formula>AND($C11-TODAY()&lt;30,TODAY()&lt;$C11)</formula>
    </cfRule>
  </conditionalFormatting>
  <conditionalFormatting sqref="C11">
    <cfRule type="cellIs" dxfId="220" priority="32" stopIfTrue="1" operator="lessThan">
      <formula>$B$2</formula>
    </cfRule>
  </conditionalFormatting>
  <conditionalFormatting sqref="A16:C16">
    <cfRule type="cellIs" dxfId="219" priority="30" stopIfTrue="1" operator="equal">
      <formula>"已过期"</formula>
    </cfRule>
  </conditionalFormatting>
  <conditionalFormatting sqref="E16:G16">
    <cfRule type="cellIs" dxfId="218" priority="29" stopIfTrue="1" operator="equal">
      <formula>"已过期"</formula>
    </cfRule>
  </conditionalFormatting>
  <conditionalFormatting sqref="G11">
    <cfRule type="cellIs" dxfId="217" priority="28" stopIfTrue="1" operator="lessThan">
      <formula>$B$2</formula>
    </cfRule>
  </conditionalFormatting>
  <conditionalFormatting sqref="F12">
    <cfRule type="cellIs" dxfId="216" priority="27" stopIfTrue="1" operator="equal">
      <formula>"已过期"</formula>
    </cfRule>
  </conditionalFormatting>
  <conditionalFormatting sqref="G12">
    <cfRule type="cellIs" dxfId="215" priority="26" stopIfTrue="1" operator="lessThan">
      <formula>$B$2</formula>
    </cfRule>
  </conditionalFormatting>
  <conditionalFormatting sqref="C12">
    <cfRule type="cellIs" dxfId="214" priority="25" stopIfTrue="1" operator="lessThan">
      <formula>$B$2</formula>
    </cfRule>
  </conditionalFormatting>
  <conditionalFormatting sqref="C12">
    <cfRule type="expression" dxfId="213" priority="23">
      <formula>AND($C12-TODAY()&lt;30,TODAY()&lt;$C12)</formula>
    </cfRule>
  </conditionalFormatting>
  <conditionalFormatting sqref="C12">
    <cfRule type="cellIs" dxfId="212" priority="24" stopIfTrue="1" operator="lessThan">
      <formula>$B$2</formula>
    </cfRule>
  </conditionalFormatting>
  <conditionalFormatting sqref="B12">
    <cfRule type="cellIs" dxfId="211" priority="22" stopIfTrue="1" operator="equal">
      <formula>"已过期"</formula>
    </cfRule>
  </conditionalFormatting>
  <conditionalFormatting sqref="C9:C10">
    <cfRule type="expression" dxfId="210" priority="20">
      <formula>AND($C9-TODAY()&lt;30,TODAY()&lt;$C9)</formula>
    </cfRule>
  </conditionalFormatting>
  <conditionalFormatting sqref="C9:C10">
    <cfRule type="cellIs" dxfId="209" priority="21" stopIfTrue="1" operator="lessThan">
      <formula>$B$2</formula>
    </cfRule>
  </conditionalFormatting>
  <conditionalFormatting sqref="G21">
    <cfRule type="expression" dxfId="208" priority="18" stopIfTrue="1">
      <formula>AND(#REF!-TODAY()&lt;30,TODAY()&lt;#REF!)</formula>
    </cfRule>
  </conditionalFormatting>
  <conditionalFormatting sqref="G21">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C14">
    <cfRule type="expression" dxfId="204" priority="14">
      <formula>AND($C14-TODAY()&lt;30,TODAY()&lt;$C14)</formula>
    </cfRule>
  </conditionalFormatting>
  <conditionalFormatting sqref="C14">
    <cfRule type="cellIs" dxfId="203" priority="15" stopIfTrue="1" operator="lessThan">
      <formula>$B$2</formula>
    </cfRule>
  </conditionalFormatting>
  <conditionalFormatting sqref="B14">
    <cfRule type="cellIs" dxfId="202" priority="13" stopIfTrue="1" operator="equal">
      <formula>"已过期"</formula>
    </cfRule>
  </conditionalFormatting>
  <conditionalFormatting sqref="G14">
    <cfRule type="cellIs" dxfId="201" priority="12"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D15">
    <cfRule type="expression" dxfId="198" priority="8">
      <formula>AND($C15-TODAY()&lt;30,TODAY()&lt;$C15)</formula>
    </cfRule>
  </conditionalFormatting>
  <conditionalFormatting sqref="D15">
    <cfRule type="cellIs" dxfId="197" priority="9" stopIfTrue="1" operator="lessThan">
      <formula>$B$2</formula>
    </cfRule>
  </conditionalFormatting>
  <conditionalFormatting sqref="F15">
    <cfRule type="cellIs" dxfId="196" priority="7" stopIfTrue="1" operator="equal">
      <formula>"已过期"</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C15">
    <cfRule type="expression" dxfId="193" priority="3">
      <formula>AND($C15-TODAY()&lt;30,TODAY()&lt;$C15)</formula>
    </cfRule>
  </conditionalFormatting>
  <conditionalFormatting sqref="C15">
    <cfRule type="cellIs" dxfId="192" priority="4" stopIfTrue="1" operator="lessThan">
      <formula>$B$2</formula>
    </cfRule>
  </conditionalFormatting>
  <conditionalFormatting sqref="B15">
    <cfRule type="cellIs" dxfId="191" priority="2" stopIfTrue="1" operator="equal">
      <formula>"已过期"</formula>
    </cfRule>
  </conditionalFormatting>
  <conditionalFormatting sqref="G15">
    <cfRule type="cellIs" dxfId="19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153</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收益法 (类办公)</vt:lpstr>
      <vt:lpstr>酒店收入计算</vt:lpstr>
      <vt:lpstr>成本</vt:lpstr>
      <vt:lpstr>酒店配套</vt:lpstr>
      <vt:lpstr>2020年报表</vt:lpstr>
      <vt:lpstr>2019年报表</vt:lpstr>
      <vt:lpstr>2018年报表</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办公案例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(类办公)'!Print_Area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2021-03-29T06:14:18Z</dcterms:modified>
</cp:coreProperties>
</file>