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410" yWindow="15" windowWidth="15390" windowHeight="1408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U6" i="1"/>
  <c r="W22" i="1"/>
  <c r="C6" i="68"/>
  <c r="G44" i="43"/>
  <c r="D33" i="43"/>
  <c r="V22" i="1"/>
  <c r="Y6" i="1"/>
  <c r="N6" i="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148" i="3"/>
  <c r="E223" i="3"/>
  <c r="E105" i="3"/>
  <c r="E286" i="3"/>
  <c r="E493" i="3"/>
  <c r="E542" i="3"/>
  <c r="E502" i="3"/>
  <c r="E442" i="3"/>
  <c r="E507" i="3"/>
  <c r="E541" i="3"/>
  <c r="E449" i="3"/>
  <c r="E459" i="3"/>
  <c r="I3" i="6"/>
  <c r="AP6" i="3"/>
  <c r="E498" i="3"/>
  <c r="E413" i="3"/>
  <c r="E491" i="3"/>
  <c r="E520" i="3"/>
  <c r="E39" i="3"/>
  <c r="E56" i="3"/>
  <c r="E95" i="3"/>
  <c r="E131" i="3"/>
  <c r="E132" i="3"/>
  <c r="E202" i="3"/>
  <c r="E297" i="3"/>
  <c r="E259" i="3"/>
  <c r="E363" i="3"/>
  <c r="E378" i="3"/>
  <c r="E504" i="3"/>
  <c r="L6" i="3"/>
  <c r="E110" i="3"/>
  <c r="E488" i="3"/>
  <c r="E484" i="3"/>
  <c r="E15" i="3"/>
  <c r="E47" i="3"/>
  <c r="E79" i="3"/>
  <c r="E100" i="3"/>
  <c r="E138" i="3"/>
  <c r="E163" i="3"/>
  <c r="E194" i="3"/>
  <c r="E209" i="3"/>
  <c r="E249" i="3"/>
  <c r="E339" i="3"/>
  <c r="E325" i="3"/>
  <c r="E584" i="3"/>
  <c r="AQ6" i="3"/>
  <c r="E36" i="3"/>
  <c r="E67" i="3"/>
  <c r="E123" i="3"/>
  <c r="E147" i="3"/>
  <c r="E284" i="3"/>
  <c r="E355" i="3"/>
  <c r="E50" i="3"/>
  <c r="E68" i="3"/>
  <c r="E81" i="3"/>
  <c r="E176" i="3"/>
  <c r="E265" i="3"/>
  <c r="E283" i="3"/>
  <c r="E524" i="3"/>
  <c r="E82"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E2" i="69"/>
  <c r="L47" i="67"/>
  <c r="F16" i="15"/>
  <c r="M28" i="15"/>
  <c r="E10" i="76"/>
  <c r="J15" i="67"/>
  <c r="F16" i="67"/>
  <c r="E9" i="76"/>
  <c r="F9" i="15"/>
  <c r="F9" i="67"/>
  <c r="F26" i="67"/>
  <c r="M29" i="67"/>
  <c r="M28" i="67"/>
  <c r="M24" i="15"/>
  <c r="F38" i="15"/>
  <c r="F7" i="67"/>
  <c r="D3" i="73"/>
  <c r="E2" i="68"/>
  <c r="M6" i="15"/>
  <c r="F8" i="15"/>
  <c r="F37" i="67"/>
  <c r="E7" i="76"/>
  <c r="M6" i="67"/>
  <c r="F37" i="15"/>
  <c r="F38" i="67"/>
  <c r="D4" i="73"/>
  <c r="E12" i="76"/>
  <c r="F36" i="15"/>
  <c r="F7" i="73"/>
  <c r="F36" i="67"/>
  <c r="E8" i="76"/>
  <c r="D7" i="73"/>
  <c r="B7" i="76"/>
  <c r="L48" i="15"/>
  <c r="M8" i="67"/>
  <c r="B9" i="76"/>
  <c r="M24" i="67"/>
  <c r="F42" i="67"/>
  <c r="F4" i="73"/>
  <c r="M9" i="15"/>
  <c r="M26" i="15"/>
  <c r="B13" i="76"/>
  <c r="F43" i="15"/>
  <c r="F40" i="67"/>
  <c r="M26" i="67"/>
  <c r="F6" i="67"/>
  <c r="B8" i="76"/>
  <c r="M9" i="67"/>
  <c r="F6" i="73"/>
  <c r="F43" i="67"/>
  <c r="M22" i="15"/>
  <c r="F26" i="15"/>
  <c r="M8" i="15"/>
  <c r="J15" i="15"/>
  <c r="F40" i="15"/>
  <c r="L48" i="67"/>
  <c r="D6" i="73"/>
  <c r="C76" i="15"/>
  <c r="M23" i="15"/>
  <c r="E13" i="76"/>
  <c r="F6" i="15"/>
  <c r="C76" i="67"/>
  <c r="B11" i="76"/>
  <c r="F42" i="15"/>
  <c r="F13" i="15"/>
  <c r="F13" i="67"/>
  <c r="M22" i="67"/>
  <c r="AO13" i="1"/>
  <c r="M29" i="15"/>
  <c r="F3" i="73"/>
  <c r="B12" i="76"/>
  <c r="M23" i="67"/>
  <c r="F5" i="73"/>
  <c r="E11" i="76"/>
  <c r="L47" i="15"/>
  <c r="F20" i="31"/>
  <c r="C40" i="69" l="1"/>
  <c r="E373" i="3"/>
  <c r="E218" i="3"/>
  <c r="E19" i="3"/>
  <c r="Y6" i="3"/>
  <c r="E289" i="3"/>
  <c r="E87" i="3"/>
  <c r="E84" i="3"/>
  <c r="E354" i="3"/>
  <c r="E307" i="3"/>
  <c r="E267" i="3"/>
  <c r="E195" i="3"/>
  <c r="E46" i="3"/>
  <c r="E467" i="3"/>
  <c r="E462" i="3"/>
  <c r="E76" i="3"/>
  <c r="E372" i="3"/>
  <c r="E292" i="3"/>
  <c r="E258" i="3"/>
  <c r="E119" i="3"/>
  <c r="E37" i="3"/>
  <c r="E463" i="3"/>
  <c r="E483" i="3"/>
  <c r="E554" i="3"/>
  <c r="E376" i="3"/>
  <c r="E416" i="3"/>
  <c r="E486" i="3"/>
  <c r="E543" i="3"/>
  <c r="AD6" i="3"/>
  <c r="E116" i="3"/>
  <c r="E244" i="3"/>
  <c r="E21" i="3"/>
  <c r="E323" i="3"/>
  <c r="E179" i="3"/>
  <c r="E63" i="3"/>
  <c r="E341" i="3"/>
  <c r="E184" i="3"/>
  <c r="E33" i="3"/>
  <c r="E66" i="3"/>
  <c r="E310" i="3"/>
  <c r="E299" i="3"/>
  <c r="E200" i="3"/>
  <c r="E160" i="3"/>
  <c r="E38" i="3"/>
  <c r="E425" i="3"/>
  <c r="E540" i="3"/>
  <c r="E60" i="3"/>
  <c r="E349" i="3"/>
  <c r="E276" i="3"/>
  <c r="E240" i="3"/>
  <c r="E178" i="3"/>
  <c r="E25" i="3"/>
  <c r="E436" i="3"/>
  <c r="E419" i="3"/>
  <c r="E500" i="3"/>
  <c r="E374" i="3"/>
  <c r="E422" i="3"/>
  <c r="E464" i="3"/>
  <c r="R6" i="3"/>
  <c r="E312" i="3"/>
  <c r="E167" i="3"/>
  <c r="E536" i="3"/>
  <c r="E101" i="3"/>
  <c r="E309" i="3"/>
  <c r="E264" i="3"/>
  <c r="E154" i="3"/>
  <c r="E20" i="3"/>
  <c r="E364" i="3"/>
  <c r="E233" i="3"/>
  <c r="E127" i="3"/>
  <c r="E48" i="3"/>
  <c r="E52" i="3"/>
  <c r="E492" i="3"/>
  <c r="E371" i="3"/>
  <c r="E266" i="3"/>
  <c r="E234" i="3"/>
  <c r="E137" i="3"/>
  <c r="E103" i="3"/>
  <c r="E98" i="3"/>
  <c r="E446" i="3"/>
  <c r="E473" i="3"/>
  <c r="E59" i="3"/>
  <c r="E544" i="3"/>
  <c r="E375" i="3"/>
  <c r="E346" i="3"/>
  <c r="E226" i="3"/>
  <c r="E192" i="3"/>
  <c r="E187" i="3"/>
  <c r="E57" i="3"/>
  <c r="E40" i="3"/>
  <c r="E417" i="3"/>
  <c r="E435" i="3"/>
  <c r="E582" i="3"/>
  <c r="AH6" i="3"/>
  <c r="E490" i="3"/>
  <c r="E430" i="3"/>
  <c r="E487" i="3"/>
  <c r="E421" i="3"/>
  <c r="E564" i="3"/>
  <c r="E575" i="3"/>
  <c r="E199" i="3"/>
  <c r="E149" i="3"/>
  <c r="E16" i="3"/>
  <c r="E513" i="3"/>
  <c r="E365" i="3"/>
  <c r="E222" i="3"/>
  <c r="E118" i="3"/>
  <c r="E62" i="3"/>
  <c r="E51" i="3"/>
  <c r="E381" i="3"/>
  <c r="E340" i="3"/>
  <c r="E250" i="3"/>
  <c r="E144" i="3"/>
  <c r="E112" i="3"/>
  <c r="E24" i="3"/>
  <c r="E23" i="3"/>
  <c r="E392" i="3"/>
  <c r="E386" i="3"/>
  <c r="E300" i="3"/>
  <c r="E219" i="3"/>
  <c r="E248" i="3"/>
  <c r="E142" i="3"/>
  <c r="E170" i="3"/>
  <c r="E65" i="3"/>
  <c r="E64" i="3"/>
  <c r="E455" i="3"/>
  <c r="E521" i="3"/>
  <c r="E409" i="3"/>
  <c r="E43" i="3"/>
  <c r="E58" i="3"/>
  <c r="E389" i="3"/>
  <c r="E333" i="3"/>
  <c r="E348" i="3"/>
  <c r="E241" i="3"/>
  <c r="E242" i="3"/>
  <c r="E155" i="3"/>
  <c r="E152" i="3"/>
  <c r="E108" i="3"/>
  <c r="E90" i="3"/>
  <c r="E479" i="3"/>
  <c r="E401" i="3"/>
  <c r="E460" i="3"/>
  <c r="E517" i="3"/>
  <c r="J6" i="3"/>
  <c r="E566" i="3"/>
  <c r="E255" i="3"/>
  <c r="E440" i="3"/>
  <c r="E398" i="3"/>
  <c r="E466" i="3"/>
  <c r="E427" i="3"/>
  <c r="E552" i="3"/>
  <c r="E499" i="3"/>
  <c r="E393" i="3"/>
  <c r="E141" i="3"/>
  <c r="E212" i="3"/>
  <c r="E188" i="3"/>
  <c r="E165" i="3"/>
  <c r="G28" i="6"/>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21" i="53"/>
  <c r="B39" i="72" s="1"/>
  <c r="D19" i="53"/>
  <c r="B38" i="72" s="1"/>
  <c r="D16" i="53"/>
  <c r="B34" i="72" s="1"/>
  <c r="A2" i="9"/>
  <c r="A4" i="52"/>
  <c r="B41" i="72" s="1"/>
  <c r="A118"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E26" i="43" l="1"/>
  <c r="G26" i="43"/>
  <c r="D26" i="43" s="1"/>
  <c r="C25" i="43" s="1"/>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8" i="12"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7" i="1"/>
  <c r="AO9" i="1"/>
  <c r="AO11" i="1"/>
  <c r="AO12"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C32" i="9" s="1"/>
  <c r="D102" i="9"/>
  <c r="D21" i="9"/>
  <c r="G19" i="9"/>
  <c r="G21" i="9" s="1"/>
  <c r="D22" i="9"/>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c r="C42" i="40"/>
  <c r="C43" i="40"/>
  <c r="E47" i="40"/>
  <c r="F47" i="40" s="1"/>
  <c r="E46" i="40"/>
  <c r="F46" i="40" s="1"/>
  <c r="I47" i="40"/>
  <c r="J47" i="40" s="1"/>
  <c r="D35" i="9"/>
  <c r="D34" i="9"/>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D118" i="9"/>
  <c r="D4" i="52" s="1"/>
  <c r="B47" i="72" s="1"/>
  <c r="H119" i="9" l="1"/>
  <c r="H5" i="52" s="1"/>
  <c r="D14" i="74"/>
  <c r="D119" i="9"/>
  <c r="D5" i="52" s="1"/>
  <c r="B49" i="72" s="1"/>
  <c r="F4" i="52"/>
  <c r="B51" i="72" s="1"/>
  <c r="G118" i="9"/>
  <c r="G4" i="52" s="1"/>
  <c r="B52" i="72" s="1"/>
  <c r="C104" i="9"/>
  <c r="I118" i="9"/>
  <c r="H4" i="52"/>
  <c r="H101" i="9"/>
  <c r="E14" i="74" l="1"/>
  <c r="F14" i="74"/>
  <c r="B5" i="74"/>
  <c r="D5" i="74" s="1"/>
  <c r="I4" i="52"/>
  <c r="H102" i="9"/>
  <c r="C105" i="9"/>
  <c r="E118" i="9"/>
  <c r="E4" i="52" s="1"/>
  <c r="B48" i="72" s="1"/>
  <c r="H107" i="9"/>
  <c r="D45" i="9"/>
  <c r="M48" i="9"/>
  <c r="D5" i="53"/>
  <c r="D6" i="53" l="1"/>
  <c r="B22" i="72" s="1"/>
  <c r="B20" i="72"/>
  <c r="D52" i="9"/>
  <c r="C72" i="9"/>
  <c r="C79" i="9" s="1"/>
  <c r="D53" i="9"/>
  <c r="C78" i="9"/>
  <c r="C73" i="9" s="1"/>
  <c r="D55" i="9"/>
  <c r="M53" i="9" s="1"/>
  <c r="C93" i="9"/>
  <c r="C86" i="9" s="1"/>
  <c r="C85" i="9"/>
  <c r="C95" i="9" s="1"/>
  <c r="C64" i="9"/>
  <c r="C63" i="9" s="1"/>
  <c r="C67" i="9" s="1"/>
  <c r="C5" i="74"/>
  <c r="D7" i="53"/>
  <c r="B21" i="72" s="1"/>
  <c r="D13" i="53"/>
  <c r="H108" i="9"/>
  <c r="D122" i="9"/>
  <c r="G14" i="74" s="1"/>
  <c r="B6" i="74" s="1"/>
  <c r="D6" i="74" s="1"/>
  <c r="M49" i="9"/>
  <c r="C96" i="9" l="1"/>
  <c r="E96" i="9" s="1"/>
  <c r="E97" i="9" s="1"/>
  <c r="C80" i="9"/>
  <c r="E80" i="9" s="1"/>
  <c r="E81" i="9" s="1"/>
  <c r="C81" i="9"/>
  <c r="L63" i="9"/>
  <c r="M63" i="9" s="1"/>
  <c r="L67" i="9"/>
  <c r="M67" i="9" s="1"/>
  <c r="L64" i="9"/>
  <c r="M64" i="9" s="1"/>
  <c r="L66" i="9"/>
  <c r="M66" i="9" s="1"/>
  <c r="L65" i="9"/>
  <c r="M65" i="9" s="1"/>
  <c r="L68" i="9"/>
  <c r="M68" i="9" s="1"/>
  <c r="D123" i="9"/>
  <c r="D9" i="52" s="1"/>
  <c r="D8" i="52"/>
  <c r="C6" i="74"/>
  <c r="D15" i="53"/>
  <c r="B31" i="72" s="1"/>
  <c r="D59" i="9"/>
  <c r="M55" i="9" s="1"/>
  <c r="C68" i="9"/>
  <c r="D54" i="9" s="1"/>
  <c r="B30" i="72"/>
  <c r="D14" i="53"/>
  <c r="B32" i="72" s="1"/>
  <c r="M69" i="9" l="1"/>
  <c r="N69" i="9" s="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<sst xmlns="http://schemas.openxmlformats.org/spreadsheetml/2006/main" count="7823" uniqueCount="3423">
  <si>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</si>
  <si>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</si>
  <si>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</si>
  <si>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</si>
  <si>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</si>
  <si>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</si>
  <si>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</si>
  <si>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</si>
  <si>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</si>
  <si>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</si>
  <si>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</si>
  <si>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</si>
  <si>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</si>
  <si>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</si>
  <si>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</si>
  <si>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</si>
  <si>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</si>
  <si>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</si>
  <si>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</si>
  <si>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</si>
  <si>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</si>
  <si>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</si>
  <si>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</si>
  <si>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</si>
  <si>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</si>
  <si>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</si>
  <si>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</si>
  <si>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</si>
  <si>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</si>
  <si>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</si>
  <si>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</si>
  <si>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</si>
  <si>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</si>
  <si>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</si>
  <si>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</si>
  <si>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</si>
  <si>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</si>
  <si>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</si>
  <si>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</si>
  <si>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</si>
  <si>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</si>
  <si>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</si>
  <si>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</si>
  <si>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</si>
  <si>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</si>
  <si>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</si>
  <si>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</si>
  <si>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</si>
  <si>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</si>
  <si>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</si>
  <si>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</si>
  <si>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</si>
  <si>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</si>
  <si>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</si>
  <si>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</si>
  <si>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</si>
  <si>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</si>
  <si>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</si>
  <si>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</si>
  <si>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</si>
  <si>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</si>
  <si>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</si>
  <si>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</si>
  <si>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</si>
  <si>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</si>
  <si>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</si>
  <si>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</si>
  <si>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</si>
  <si>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</si>
  <si>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</si>
  <si>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</si>
  <si>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</si>
  <si>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</si>
  <si>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</si>
  <si>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</si>
  <si>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</si>
  <si>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</si>
  <si>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</si>
  <si>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</si>
  <si>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</si>
  <si>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</si>
  <si>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</si>
  <si>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</si>
  <si>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</si>
  <si>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</si>
  <si>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</si>
  <si>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</si>
  <si>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</si>
  <si>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</si>
  <si>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</si>
  <si>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</si>
  <si>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</si>
  <si>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</si>
  <si>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</si>
  <si>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</si>
  <si>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</si>
  <si>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</si>
  <si>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</si>
  <si>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</si>
  <si>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</si>
  <si>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</si>
  <si>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</si>
  <si>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</si>
  <si>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</si>
  <si>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</si>
  <si>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</si>
  <si>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</si>
  <si>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</si>
  <si>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</si>
  <si>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</si>
  <si>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</si>
  <si>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</si>
  <si>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</si>
  <si>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</si>
  <si>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</si>
  <si>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</si>
  <si>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</si>
  <si>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</si>
  <si>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</si>
  <si>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</si>
  <si>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</si>
  <si>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</si>
  <si>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</si>
  <si>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</si>
  <si>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</si>
  <si>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</si>
  <si>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</si>
  <si>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</si>
  <si>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</si>
  <si>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</si>
  <si>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</si>
  <si>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</si>
  <si>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</si>
  <si>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</si>
  <si>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</si>
  <si>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</si>
  <si>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</si>
  <si>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</si>
  <si>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</si>
  <si>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</si>
  <si>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</si>
  <si>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</si>
  <si>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</si>
  <si>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</si>
  <si>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</si>
  <si>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</si>
  <si>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</si>
  <si>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</si>
  <si>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</si>
  <si>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</si>
  <si>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</si>
  <si>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</si>
  <si>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</si>
  <si>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</si>
  <si>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</si>
  <si>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</si>
  <si>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</si>
  <si>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</si>
  <si>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</si>
  <si>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</si>
  <si>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</si>
  <si>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</si>
  <si>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</si>
  <si>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</si>
  <si>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</si>
  <si>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</si>
  <si>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</si>
  <si>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</si>
  <si>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</si>
  <si>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</si>
  <si>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</si>
  <si>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</si>
  <si>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</si>
  <si>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</si>
  <si>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</si>
  <si>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</si>
  <si>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</si>
  <si>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</si>
  <si>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</si>
  <si>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</si>
  <si>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</si>
  <si>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</si>
  <si>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</si>
  <si>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</si>
  <si>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</si>
  <si>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</si>
  <si>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</si>
  <si>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</si>
  <si>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</si>
  <si>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</si>
  <si>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</si>
  <si>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</si>
  <si>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</si>
  <si>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</si>
  <si>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</si>
  <si>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</si>
  <si>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</si>
  <si>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</si>
  <si>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</si>
  <si>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</si>
  <si>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</si>
  <si>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</si>
  <si>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</si>
  <si>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</si>
  <si>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</si>
  <si>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</si>
  <si>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</si>
  <si>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</si>
  <si>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</si>
  <si>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</si>
  <si>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</si>
  <si>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</si>
  <si>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</si>
  <si>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</si>
  <si>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</si>
  <si>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</si>
  <si>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</si>
  <si>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</si>
  <si>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</si>
  <si>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</si>
  <si>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</si>
  <si>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</si>
  <si>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</si>
  <si>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</si>
  <si>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</si>
  <si>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</si>
  <si>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</si>
  <si>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</si>
  <si>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</si>
  <si>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</si>
  <si>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</si>
  <si>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</si>
  <si>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</si>
  <si>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</si>
  <si>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</si>
  <si>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</si>
  <si>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</si>
  <si>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</si>
  <si>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</si>
  <si>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</si>
  <si>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</si>
  <si>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</si>
  <si>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</si>
  <si>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</si>
  <si>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</si>
  <si>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</si>
  <si>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</si>
  <si>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</si>
  <si>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</si>
  <si>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</si>
  <si>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</si>
  <si>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</si>
  <si>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</si>
  <si>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</si>
  <si>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</si>
  <si>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</si>
  <si>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</si>
  <si>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</si>
  <si>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</si>
  <si>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</si>
  <si>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</si>
  <si>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</si>
  <si>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</si>
  <si>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</si>
  <si>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</si>
  <si>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</si>
  <si>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</si>
  <si>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</si>
  <si>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</si>
  <si>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</si>
  <si>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</si>
  <si>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</si>
  <si>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</si>
  <si>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</si>
  <si>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</si>
  <si>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</si>
  <si>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</si>
  <si>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</si>
  <si>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</si>
  <si>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</si>
  <si>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</si>
  <si>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</si>
  <si>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</si>
  <si>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</si>
  <si>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</si>
  <si>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</si>
  <si>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</si>
  <si>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</si>
  <si>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</si>
  <si>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</si>
  <si>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</si>
  <si>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</si>
  <si>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</si>
  <si>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</si>
  <si>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</si>
  <si>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</si>
  <si>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</si>
  <si>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</si>
  <si>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</si>
  <si>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</si>
  <si>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</si>
  <si>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</si>
  <si>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</si>
  <si>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</si>
  <si>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</si>
  <si>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</si>
  <si>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</si>
  <si>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</si>
  <si>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</si>
  <si>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</si>
  <si>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</si>
  <si>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</si>
  <si>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</si>
  <si>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</si>
  <si>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</si>
  <si>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</si>
  <si>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</si>
  <si>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</si>
  <si>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</si>
  <si>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</si>
  <si>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</si>
  <si>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</si>
  <si>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</si>
  <si>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</si>
  <si>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</si>
  <si>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</si>
  <si>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</si>
  <si>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</si>
  <si>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</si>
  <si>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</si>
  <si>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</si>
  <si>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</si>
  <si>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</si>
  <si>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</si>
  <si>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</si>
  <si>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</si>
  <si>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</si>
  <si>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</si>
  <si>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</si>
  <si>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</si>
  <si>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</si>
  <si>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</si>
  <si>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</si>
  <si>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</si>
  <si>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</si>
  <si>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</si>
  <si>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</si>
  <si>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</si>
  <si>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</si>
  <si>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</si>
  <si>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</si>
  <si>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</si>
  <si>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</si>
  <si>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</si>
  <si>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</si>
  <si>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</si>
  <si>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</si>
  <si>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</si>
  <si>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</si>
  <si>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</si>
  <si>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</si>
  <si>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</si>
  <si>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</si>
  <si>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</si>
  <si>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</si>
  <si>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</si>
  <si>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</si>
  <si>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</si>
  <si>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</si>
  <si>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</si>
  <si>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</si>
  <si>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</si>
  <si>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</si>
  <si>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</si>
  <si>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</si>
  <si>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</si>
  <si>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</si>
  <si>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</si>
  <si>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</si>
  <si>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</si>
  <si>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</si>
  <si>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</si>
  <si>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</si>
  <si>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</si>
  <si>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</si>
  <si>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</si>
  <si>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</si>
  <si>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</si>
  <si>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</si>
  <si>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</si>
  <si>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</si>
  <si>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</si>
  <si>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</si>
  <si>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</si>
  <si>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</si>
  <si>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</si>
  <si>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</si>
  <si>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</si>
  <si>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</si>
  <si>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</si>
  <si>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</si>
  <si>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</si>
  <si>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</si>
  <si>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</si>
  <si>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</si>
  <si>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</si>
  <si>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</si>
  <si>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</si>
  <si>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</si>
  <si>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</si>
  <si>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</si>
  <si>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</si>
  <si>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</si>
  <si>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</si>
  <si>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</si>
  <si>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</si>
  <si>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</si>
  <si>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</si>
  <si>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</si>
  <si>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</si>
  <si>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</si>
  <si>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</si>
  <si>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</si>
  <si>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</si>
  <si>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</si>
  <si>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</si>
  <si>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</si>
  <si>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</si>
  <si>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</si>
  <si>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</si>
  <si>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</si>
  <si>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</si>
  <si>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</si>
  <si>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</si>
  <si>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</si>
  <si>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</si>
  <si>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</si>
  <si>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</si>
  <si>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</si>
  <si>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</si>
  <si>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</si>
  <si>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</si>
  <si>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</si>
  <si>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</si>
  <si>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</si>
  <si>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</si>
  <si>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</si>
  <si>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</si>
  <si>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</si>
  <si>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</si>
  <si>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</si>
  <si>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</si>
  <si>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</si>
  <si>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</si>
  <si>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</si>
  <si>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</si>
  <si>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</si>
  <si>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</si>
  <si>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</si>
  <si>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</si>
  <si>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</si>
  <si>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</si>
  <si>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</si>
  <si>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</si>
  <si>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</si>
  <si>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</si>
  <si>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</si>
  <si>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</si>
  <si>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</si>
  <si>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</si>
  <si>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</si>
  <si>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</si>
  <si>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</si>
  <si>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</si>
  <si>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</si>
  <si>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</si>
  <si>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</si>
  <si>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</si>
  <si>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</si>
  <si>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</si>
  <si>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</si>
  <si>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</si>
  <si>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</si>
  <si>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</si>
  <si>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</si>
  <si>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</si>
  <si>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</si>
  <si>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</si>
  <si>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</si>
  <si>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</si>
  <si>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</si>
  <si>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</si>
  <si>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</si>
  <si>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</si>
  <si>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</si>
  <si>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</si>
  <si>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</si>
  <si>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</si>
  <si>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</si>
  <si>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</si>
  <si>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</si>
  <si>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</si>
  <si>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</si>
  <si>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</si>
  <si>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</si>
  <si>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</si>
  <si>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</si>
  <si>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</si>
  <si>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</si>
  <si>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</si>
  <si>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</si>
  <si>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</si>
  <si>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</si>
  <si>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</si>
  <si>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</si>
  <si>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</si>
  <si>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</si>
  <si>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</si>
  <si>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</si>
  <si>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</si>
  <si>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</si>
  <si>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</si>
  <si>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</si>
  <si>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</si>
  <si>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</si>
  <si>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</si>
  <si>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</si>
  <si>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</si>
  <si>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</si>
  <si>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</si>
  <si>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</si>
  <si>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</si>
  <si>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</si>
  <si>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</si>
  <si>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</si>
  <si>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</si>
  <si>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</si>
  <si>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</si>
  <si>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</si>
  <si>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</si>
  <si>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</si>
  <si>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</si>
  <si>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</si>
  <si>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</si>
  <si>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</si>
  <si>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</si>
  <si>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</si>
  <si>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</si>
  <si>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</si>
  <si>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</si>
  <si>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</si>
  <si>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</si>
  <si>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</si>
  <si>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</si>
  <si>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</si>
  <si>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</si>
  <si>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</si>
  <si>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</si>
  <si>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</si>
  <si>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</si>
  <si>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</si>
  <si>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</si>
  <si>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</si>
  <si>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</si>
  <si>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</si>
  <si>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</si>
  <si>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</si>
  <si>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</si>
  <si>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</si>
  <si>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</si>
  <si>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</si>
  <si>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</si>
  <si>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</si>
  <si>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</si>
  <si>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</si>
  <si>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</si>
  <si>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</si>
  <si>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</si>
  <si>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</si>
  <si>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</si>
  <si>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</si>
  <si>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</si>
  <si>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</si>
  <si>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</si>
  <si>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</si>
  <si>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</si>
  <si>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</si>
  <si>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</si>
  <si>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</si>
  <si>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</si>
  <si>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</si>
  <si>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</si>
  <si>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</si>
  <si>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</si>
  <si>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</si>
  <si>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</si>
  <si>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</si>
  <si>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</si>
  <si>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</si>
  <si>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</si>
  <si>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</si>
  <si>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</si>
  <si>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</si>
  <si>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</si>
  <si>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</si>
  <si>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</si>
  <si>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</si>
  <si>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</si>
  <si>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</si>
  <si>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</si>
  <si>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</si>
  <si>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</si>
  <si>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</si>
  <si>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</si>
  <si>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</si>
  <si>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</si>
  <si>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</si>
  <si>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</si>
  <si>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</si>
  <si>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</si>
  <si>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</si>
  <si>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</si>
  <si>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</si>
  <si>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</si>
  <si>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</si>
  <si>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</si>
  <si>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</si>
  <si>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</si>
  <si>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</si>
  <si>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</si>
  <si>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</si>
  <si>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</si>
  <si>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</si>
  <si>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</si>
  <si>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</si>
  <si>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</si>
  <si>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</si>
  <si>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</si>
  <si>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</si>
  <si>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</si>
  <si>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</si>
  <si>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</si>
  <si>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</si>
  <si>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</si>
  <si>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</si>
  <si>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</si>
  <si>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</si>
  <si>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</si>
  <si>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</si>
  <si>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</si>
  <si>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</si>
  <si>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</si>
  <si>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</si>
  <si>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</si>
  <si>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</si>
  <si>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</si>
  <si>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</si>
  <si>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</si>
  <si>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</si>
  <si>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</si>
  <si>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</si>
  <si>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</si>
  <si>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</si>
  <si>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</si>
  <si>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</si>
  <si>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</si>
  <si>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</si>
  <si>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</si>
  <si>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</si>
  <si>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</si>
  <si>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</si>
  <si>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</si>
  <si>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</si>
  <si>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</si>
  <si>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</si>
  <si>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</si>
  <si>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</si>
  <si>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</si>
  <si>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</si>
  <si>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</si>
  <si>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</si>
  <si>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</si>
  <si>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</si>
  <si>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</si>
  <si>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</si>
  <si>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</si>
  <si>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</si>
  <si>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</si>
  <si>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</si>
  <si>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</si>
  <si>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</si>
  <si>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</si>
  <si>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</si>
  <si>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</si>
  <si>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</si>
  <si>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</si>
  <si>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</si>
  <si>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</si>
  <si>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</si>
  <si>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</si>
  <si>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</si>
  <si>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</si>
  <si>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</si>
  <si>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</si>
  <si>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</si>
  <si>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</si>
  <si>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</si>
  <si>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</si>
  <si>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</si>
  <si>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</si>
  <si>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</si>
  <si>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</si>
  <si>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</si>
  <si>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</si>
  <si>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</si>
  <si>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</si>
  <si>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</si>
  <si>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</si>
  <si>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</si>
  <si>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</si>
  <si>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</si>
  <si>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</si>
  <si>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</si>
  <si>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</si>
  <si>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</si>
  <si>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</si>
  <si>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</si>
  <si>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</si>
  <si>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</si>
  <si>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</si>
  <si>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</si>
  <si>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</si>
  <si>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</si>
  <si>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</si>
  <si>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</si>
  <si>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</si>
  <si>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</si>
  <si>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</si>
  <si>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</si>
  <si>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</si>
  <si>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</si>
  <si>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</si>
  <si>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</si>
  <si>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</si>
  <si>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</si>
  <si>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</si>
  <si>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</si>
  <si>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</si>
  <si>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</si>
  <si>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</si>
  <si>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</si>
  <si>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</si>
  <si>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</si>
  <si>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</si>
  <si>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</si>
  <si>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</si>
  <si>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</si>
  <si>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</si>
  <si>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</si>
  <si>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</si>
  <si>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</si>
  <si>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</si>
  <si>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</si>
  <si>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</si>
  <si>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</si>
  <si>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</si>
  <si>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</si>
  <si>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</si>
  <si>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</si>
  <si>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</si>
  <si>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</si>
  <si>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</si>
  <si>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</si>
  <si>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</si>
  <si>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</si>
  <si>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</si>
  <si>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</si>
  <si>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</si>
  <si>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</si>
  <si>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</si>
  <si>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</si>
  <si>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</si>
  <si>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</si>
  <si>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</si>
  <si>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</si>
  <si>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</si>
  <si>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</si>
  <si>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</si>
  <si>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</si>
  <si>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</si>
  <si>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</si>
  <si>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</si>
  <si>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</si>
  <si>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</si>
  <si>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</si>
  <si>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</si>
  <si>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</si>
  <si>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</si>
  <si>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</si>
  <si>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</si>
  <si>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</si>
  <si>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</si>
  <si>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</si>
  <si>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</si>
  <si>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</si>
  <si>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</si>
  <si>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</si>
  <si>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</si>
  <si>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</si>
  <si>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</si>
  <si>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</si>
  <si>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</si>
  <si>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</si>
  <si>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</si>
  <si>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</si>
  <si>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</si>
  <si>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</si>
  <si>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</si>
  <si>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</si>
  <si>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</si>
  <si>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</si>
  <si>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</si>
  <si>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</si>
  <si>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</si>
  <si>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</si>
  <si>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</si>
  <si>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</si>
  <si>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</si>
  <si>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</si>
  <si>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</si>
  <si>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</si>
  <si>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</si>
  <si>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</si>
  <si>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</si>
  <si>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</si>
  <si>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</si>
  <si>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</si>
  <si>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</si>
  <si>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</si>
  <si>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</si>
  <si>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</si>
  <si>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</si>
  <si>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</si>
  <si>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</si>
  <si>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</si>
  <si>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</si>
  <si>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</si>
  <si>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</si>
  <si>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</si>
  <si>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</si>
  <si>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</si>
  <si>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</si>
  <si>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</si>
  <si>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</si>
  <si>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</si>
  <si>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</si>
  <si>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</si>
  <si>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</si>
  <si>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</si>
  <si>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</si>
  <si>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</si>
  <si>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</si>
  <si>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</si>
  <si>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</si>
  <si>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</si>
  <si>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</si>
  <si>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</si>
  <si>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</si>
  <si>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</si>
  <si>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</si>
  <si>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</si>
  <si>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</si>
  <si>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</si>
  <si>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</si>
  <si>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</si>
  <si>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</si>
  <si>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</si>
  <si>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</si>
  <si>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</si>
  <si>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</si>
  <si>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</si>
  <si>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</si>
  <si>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</si>
  <si>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</si>
  <si>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</si>
  <si>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</si>
  <si>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</si>
  <si>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</si>
  <si>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</si>
  <si>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</si>
  <si>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</si>
  <si>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</si>
  <si>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</si>
  <si>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</si>
  <si>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</si>
  <si>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</si>
  <si>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</si>
  <si>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</si>
  <si>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</si>
  <si>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</si>
  <si>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</si>
  <si>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</si>
  <si>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</si>
  <si>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</si>
  <si>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</si>
  <si>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</si>
  <si>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</si>
  <si>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</si>
  <si>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</si>
  <si>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</si>
  <si>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</si>
  <si>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</si>
  <si>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</si>
  <si>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</si>
  <si>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</si>
  <si>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</si>
  <si>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</si>
  <si>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</si>
  <si>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</si>
  <si>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</si>
  <si>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</si>
  <si>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</si>
  <si>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</si>
  <si>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</si>
  <si>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</si>
  <si>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</si>
  <si>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</si>
  <si>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</si>
  <si>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</si>
  <si>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</si>
  <si>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</si>
  <si>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</si>
  <si>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</si>
  <si>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</si>
  <si>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</si>
  <si>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</si>
  <si>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</si>
  <si>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</si>
  <si>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</si>
  <si>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</si>
  <si>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</si>
  <si>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</si>
  <si>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</si>
  <si>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</si>
  <si>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</si>
  <si>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</si>
  <si>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</si>
  <si>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</si>
  <si>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</si>
  <si>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</si>
  <si>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</si>
  <si>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</si>
  <si>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</si>
  <si>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</si>
  <si>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</si>
  <si>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</si>
  <si>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</si>
  <si>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</si>
  <si>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</si>
  <si>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</si>
  <si>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</si>
  <si>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</si>
  <si>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</si>
  <si>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</si>
  <si>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</si>
  <si>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</si>
  <si>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</si>
  <si>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</si>
  <si>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</si>
  <si>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</si>
  <si>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</si>
  <si>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</si>
  <si>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</si>
  <si>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</si>
  <si>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</si>
  <si>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</si>
  <si>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</si>
  <si>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</si>
  <si>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</si>
  <si>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</si>
  <si>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</si>
  <si>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</si>
  <si>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</si>
  <si>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</si>
  <si>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</si>
  <si>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</si>
  <si>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</si>
  <si>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</si>
  <si>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</si>
  <si>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</si>
  <si>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</si>
  <si>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</si>
  <si>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</si>
  <si>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</si>
  <si>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</si>
  <si>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</si>
  <si>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</si>
  <si>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</si>
  <si>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</si>
  <si>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</si>
  <si>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</si>
  <si>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</si>
  <si>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</si>
  <si>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</si>
  <si>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</si>
  <si>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</si>
  <si>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</si>
  <si>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</si>
  <si>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</si>
  <si>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</si>
  <si>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</si>
  <si>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</si>
  <si>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</si>
  <si>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</si>
  <si>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</si>
  <si>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</si>
  <si>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</si>
  <si>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</si>
  <si>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</si>
  <si>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</si>
  <si>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</si>
  <si>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</si>
  <si>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</si>
  <si>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</si>
  <si>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</si>
  <si>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</si>
  <si>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</si>
  <si>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</si>
  <si>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</si>
  <si>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</si>
  <si>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</si>
  <si>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</si>
  <si>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</si>
  <si>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</si>
  <si>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</si>
  <si>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</si>
  <si>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</si>
  <si>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</si>
  <si>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</si>
  <si>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</si>
  <si>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</si>
  <si>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</si>
  <si>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</si>
  <si>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</si>
  <si>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</si>
  <si>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</si>
  <si>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</si>
  <si>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</si>
  <si>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</si>
  <si>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</si>
  <si>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</si>
  <si>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</si>
  <si>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</si>
  <si>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</si>
  <si>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</si>
  <si>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</si>
  <si>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</si>
  <si>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</si>
  <si>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</si>
  <si>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</si>
  <si>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</si>
  <si>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</si>
  <si>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</si>
  <si>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</si>
  <si>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</si>
  <si>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</si>
  <si>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</si>
  <si>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</si>
  <si>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</si>
  <si>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</si>
  <si>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</si>
  <si>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</si>
  <si>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</si>
  <si>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</si>
  <si>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</si>
  <si>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</si>
  <si>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</si>
  <si>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</si>
  <si>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</si>
  <si>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</si>
  <si>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</si>
  <si>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</si>
  <si>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</si>
  <si>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</si>
  <si>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</si>
  <si>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</si>
  <si>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</si>
  <si>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</si>
  <si>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</si>
  <si>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</si>
  <si>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</si>
  <si>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</si>
  <si>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</si>
  <si>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</si>
  <si>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</si>
  <si>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</si>
  <si>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</si>
  <si>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</si>
  <si>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</si>
  <si>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</si>
  <si>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</si>
  <si>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</si>
  <si>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</si>
  <si>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</si>
  <si>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</si>
  <si>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</si>
  <si>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</si>
  <si>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</si>
  <si>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</si>
  <si>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</si>
  <si>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</si>
  <si>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</si>
  <si>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</si>
  <si>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</si>
  <si>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</si>
  <si>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</si>
  <si>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</si>
  <si>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</si>
  <si>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</si>
  <si>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</si>
  <si>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</si>
  <si>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</si>
  <si>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</si>
  <si>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</si>
  <si>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</si>
  <si>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</si>
  <si>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</si>
  <si>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</si>
  <si>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</si>
  <si>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</si>
  <si>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</si>
  <si>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</si>
  <si>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</si>
  <si>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</si>
  <si>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</si>
  <si>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</si>
  <si>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</si>
  <si>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</si>
  <si>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</si>
  <si>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</si>
  <si>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</si>
  <si>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</si>
  <si>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</si>
  <si>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</si>
  <si>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</si>
  <si>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</si>
  <si>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</si>
  <si>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</si>
  <si>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</si>
  <si>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</si>
  <si>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</si>
  <si>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</si>
  <si>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</si>
  <si>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</si>
  <si>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</si>
  <si>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</si>
  <si>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</si>
  <si>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</si>
  <si>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</si>
  <si>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</si>
  <si>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</si>
  <si>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</si>
  <si>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</si>
  <si>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</si>
  <si>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</si>
  <si>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</si>
  <si>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</si>
  <si>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</si>
  <si>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</si>
  <si>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</si>
  <si>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</si>
  <si>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</si>
  <si>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</si>
  <si>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</si>
  <si>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</si>
  <si>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</si>
  <si>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</si>
  <si>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</si>
  <si>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</si>
  <si>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</si>
  <si>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</si>
  <si>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</si>
  <si>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</si>
  <si>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</si>
  <si>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</si>
  <si>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</si>
  <si>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</si>
  <si>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</si>
  <si>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</si>
  <si>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</si>
  <si>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</si>
  <si>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</si>
  <si>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</si>
  <si>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</si>
  <si>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</si>
  <si>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</si>
  <si>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</si>
  <si>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</si>
  <si>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</si>
  <si>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</si>
  <si>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</si>
  <si>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</si>
  <si>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</si>
  <si>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</si>
  <si>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</si>
  <si>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</si>
  <si>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</si>
  <si>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</si>
  <si>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</si>
  <si>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</si>
  <si>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</si>
  <si>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</si>
  <si>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</si>
  <si>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</si>
  <si>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</si>
  <si>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</si>
  <si>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</si>
  <si>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</si>
  <si>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</si>
  <si>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</si>
  <si>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</si>
  <si>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</si>
  <si>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</si>
  <si>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</si>
  <si>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</si>
  <si>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</si>
  <si>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</si>
  <si>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</si>
  <si>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</si>
  <si>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</si>
  <si>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</si>
  <si>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</si>
  <si>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</si>
  <si>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</si>
  <si>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</si>
  <si>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</si>
  <si>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</si>
  <si>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</si>
  <si>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</si>
  <si>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</si>
  <si>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</si>
  <si>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</si>
  <si>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</si>
  <si>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</si>
  <si>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</si>
  <si>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</si>
  <si>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</si>
  <si>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</si>
  <si>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</si>
  <si>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</si>
  <si>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</si>
  <si>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</si>
  <si>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</si>
  <si>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</si>
  <si>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</si>
  <si>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</si>
  <si>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</si>
  <si>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</si>
  <si>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</si>
  <si>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</si>
  <si>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</si>
  <si>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</si>
  <si>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</si>
  <si>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</si>
  <si>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</si>
  <si>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</si>
  <si>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</si>
  <si>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</si>
  <si>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</si>
  <si>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</si>
  <si>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</si>
  <si>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</si>
  <si>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</si>
  <si>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</si>
  <si>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</si>
  <si>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</si>
  <si>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</si>
  <si>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</si>
  <si>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</si>
  <si>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</si>
  <si>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</si>
  <si>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</si>
  <si>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</si>
  <si>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</si>
  <si>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</si>
  <si>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</si>
  <si>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</si>
  <si>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</si>
  <si>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</si>
  <si>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</si>
  <si>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</si>
  <si>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</si>
  <si>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</si>
  <si>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</si>
  <si>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</si>
  <si>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</si>
  <si>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</si>
  <si>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</si>
  <si>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</si>
  <si>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</si>
  <si>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</si>
  <si>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</si>
  <si>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</si>
  <si>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</si>
  <si>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</si>
  <si>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</si>
  <si>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</si>
  <si>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</si>
  <si>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</si>
  <si>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</si>
  <si>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</si>
  <si>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</si>
  <si>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</si>
  <si>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</si>
  <si>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</si>
  <si>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</si>
  <si>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</si>
  <si>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</si>
  <si>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</si>
  <si>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</si>
  <si>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</si>
  <si>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</si>
  <si>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</si>
  <si>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</si>
  <si>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</si>
  <si>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</si>
  <si>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</si>
  <si>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</si>
  <si>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</si>
  <si>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</si>
  <si>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</si>
  <si>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</si>
  <si>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</si>
  <si>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</si>
  <si>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</si>
  <si>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</si>
  <si>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</si>
  <si>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</si>
  <si>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</si>
  <si>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</si>
  <si>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</si>
  <si>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</si>
  <si>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</si>
  <si>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</si>
  <si>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</si>
  <si>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</si>
  <si>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</si>
  <si>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</si>
  <si>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</si>
  <si>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</si>
  <si>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</si>
  <si>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</si>
  <si>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</si>
  <si>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</si>
  <si>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</si>
  <si>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</si>
  <si>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</si>
  <si>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</si>
  <si>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</si>
  <si>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</si>
  <si>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</si>
  <si>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</si>
  <si>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</si>
  <si>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</si>
  <si>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</si>
  <si>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</si>
  <si>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</si>
  <si>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</si>
  <si>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</si>
  <si>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</si>
  <si>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</si>
  <si>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</si>
  <si>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</si>
  <si>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</si>
  <si>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</si>
  <si>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</si>
  <si>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</si>
  <si>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</si>
  <si>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</si>
  <si>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</si>
  <si>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</si>
  <si>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</si>
  <si>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</si>
  <si>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</si>
  <si>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</si>
  <si>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</si>
  <si>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</si>
  <si>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</si>
  <si>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</si>
  <si>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</si>
  <si>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</si>
  <si>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</si>
  <si>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</si>
  <si>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</si>
  <si>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</si>
  <si>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</si>
  <si>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</si>
  <si>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</si>
  <si>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</si>
  <si>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</si>
  <si>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</si>
  <si>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</si>
  <si>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</si>
  <si>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</si>
  <si>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</si>
  <si>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</si>
  <si>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</si>
  <si>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</si>
  <si>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</si>
  <si>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</si>
  <si>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</si>
  <si>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</si>
  <si>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</si>
  <si>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</si>
  <si>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</si>
  <si>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</si>
  <si>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</si>
  <si>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</si>
  <si>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</si>
  <si>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</si>
  <si>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</si>
  <si>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</si>
  <si>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</si>
  <si>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</si>
  <si>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</si>
  <si>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</si>
  <si>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</si>
  <si>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</si>
  <si>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</si>
  <si>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</si>
  <si>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</si>
  <si>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</si>
  <si>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</si>
  <si>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</si>
  <si>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</si>
  <si>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</si>
  <si>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</si>
  <si>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</si>
  <si>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</si>
  <si>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</si>
  <si>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</si>
  <si>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</si>
  <si>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</si>
  <si>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</si>
  <si>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</si>
  <si>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</si>
  <si>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</si>
  <si>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</si>
  <si>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</si>
  <si>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</si>
  <si>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</si>
  <si>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</si>
  <si>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</si>
  <si>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</si>
  <si>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</si>
  <si>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</si>
  <si>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</si>
  <si>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</si>
  <si>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</si>
  <si>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</si>
  <si>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</si>
  <si>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</si>
  <si>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</si>
  <si>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</si>
  <si>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</si>
  <si>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</si>
  <si>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</si>
  <si>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</si>
  <si>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</si>
  <si>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</si>
  <si>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</si>
  <si>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</si>
  <si>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</si>
  <si>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</si>
  <si>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</si>
  <si>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</si>
  <si>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</si>
  <si>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</si>
  <si>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</si>
  <si>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</si>
  <si>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</si>
  <si>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</si>
  <si>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</si>
  <si>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</si>
  <si>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</si>
  <si>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</si>
  <si>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</si>
  <si>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</si>
  <si>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</si>
  <si>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</si>
  <si>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</si>
  <si>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</si>
  <si>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</si>
  <si>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</si>
  <si>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</si>
  <si>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</si>
  <si>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</si>
  <si>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</si>
  <si>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</si>
  <si>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</si>
  <si>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</si>
  <si>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</si>
  <si>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</si>
  <si>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</si>
  <si>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</si>
  <si>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</si>
  <si>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</si>
  <si>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</si>
  <si>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</si>
  <si>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</si>
  <si>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</si>
  <si>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</si>
  <si>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</si>
  <si>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</si>
  <si>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</si>
  <si>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</si>
  <si>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</si>
  <si>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</si>
  <si>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</si>
  <si>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</si>
  <si>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</si>
  <si>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</si>
  <si>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</si>
  <si>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</si>
  <si>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</si>
  <si>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</si>
  <si>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</si>
  <si>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</si>
  <si>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</si>
  <si>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</si>
  <si>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</si>
  <si>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</si>
  <si>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</si>
  <si>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</si>
  <si>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</si>
  <si>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</si>
  <si>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</si>
  <si>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</si>
  <si>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</si>
  <si>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</si>
  <si>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</si>
  <si>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</si>
  <si>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</si>
  <si>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</si>
  <si>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</si>
  <si>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</si>
  <si>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</si>
  <si>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</si>
  <si>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</si>
  <si>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</si>
  <si>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</si>
  <si>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</si>
  <si>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</si>
  <si>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</si>
  <si>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</si>
  <si>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</si>
  <si>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</si>
  <si>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</si>
  <si>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</si>
  <si>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</si>
  <si>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</si>
  <si>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</si>
  <si>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</si>
  <si>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</si>
  <si>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</si>
  <si>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</si>
  <si>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</si>
  <si>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</si>
  <si>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</si>
  <si>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</si>
  <si>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</si>
  <si>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</si>
  <si>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</si>
  <si>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</si>
  <si>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</si>
  <si>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</si>
  <si>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</si>
  <si>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</si>
  <si>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</si>
  <si>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</si>
  <si>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</si>
  <si>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</si>
  <si>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</si>
  <si>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</si>
  <si>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</si>
  <si>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</si>
  <si>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</si>
  <si>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</si>
  <si>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</si>
  <si>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</si>
  <si>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</si>
  <si>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</si>
  <si>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</si>
  <si>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</si>
  <si>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</si>
  <si>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</si>
  <si>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</si>
  <si>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</si>
  <si>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</si>
  <si>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</si>
  <si>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</si>
  <si>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</si>
  <si>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</si>
  <si>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</si>
  <si>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</si>
  <si>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</si>
  <si>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</si>
  <si>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</si>
  <si>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</si>
  <si>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</si>
  <si>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</si>
  <si>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</si>
  <si>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</si>
  <si>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</si>
  <si>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</si>
  <si>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</si>
  <si>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</si>
  <si>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</si>
  <si>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</si>
  <si>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</si>
  <si>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</si>
  <si>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</si>
  <si>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</si>
  <si>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</si>
  <si>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</si>
  <si>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</si>
  <si>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</si>
  <si>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</si>
  <si>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</si>
  <si>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</si>
  <si>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</si>
  <si>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</si>
  <si>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</si>
  <si>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</si>
  <si>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</si>
  <si>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</si>
  <si>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</si>
  <si>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</si>
  <si>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</si>
  <si>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</si>
  <si>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</si>
  <si>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</si>
  <si>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</si>
  <si>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</si>
  <si>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</si>
  <si>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</si>
  <si>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</si>
  <si>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</si>
  <si>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</si>
  <si>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</si>
  <si>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</si>
  <si>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</si>
  <si>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</si>
  <si>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</si>
  <si>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</si>
  <si>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</si>
  <si>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</si>
  <si>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</si>
  <si>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</si>
  <si>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</si>
  <si>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</si>
  <si>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</si>
  <si>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</si>
  <si>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</si>
  <si>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</si>
  <si>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</si>
  <si>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</si>
  <si>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</si>
  <si>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</si>
  <si>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</si>
  <si>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</si>
  <si>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</si>
  <si>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</si>
  <si>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</si>
  <si>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</si>
  <si>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</si>
  <si>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</si>
  <si>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</si>
  <si>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</si>
  <si>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</si>
  <si>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</si>
  <si>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</si>
  <si>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</si>
  <si>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</si>
  <si>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</si>
  <si>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</si>
  <si>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</si>
  <si>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</si>
  <si>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</si>
  <si>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</si>
  <si>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</si>
  <si>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</si>
  <si>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</si>
  <si>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</si>
  <si>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</si>
  <si>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</si>
  <si>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</si>
  <si>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</si>
  <si>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</si>
  <si>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</si>
  <si>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</si>
  <si>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</si>
  <si>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</si>
  <si>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</si>
  <si>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</si>
  <si>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</si>
  <si>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</si>
  <si>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</si>
  <si>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</si>
  <si>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</si>
  <si>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</si>
  <si>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</si>
  <si>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</si>
  <si>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</si>
  <si>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</si>
  <si>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</si>
  <si>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</si>
  <si>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</si>
  <si>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</si>
  <si>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</si>
  <si>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</si>
  <si>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</si>
  <si>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</si>
  <si>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</si>
  <si>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</si>
  <si>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</si>
  <si>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</si>
  <si>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</si>
  <si>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</si>
  <si>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</si>
  <si>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</si>
  <si>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</si>
  <si>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</si>
  <si>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</si>
  <si>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</si>
  <si>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</si>
  <si>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</si>
  <si>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</si>
  <si>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</si>
  <si>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</si>
  <si>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</si>
  <si>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</si>
  <si>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</si>
  <si>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</si>
  <si>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</si>
  <si>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</si>
  <si>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</si>
  <si>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</si>
  <si>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</si>
  <si>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</si>
  <si>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</si>
  <si>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</si>
  <si>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</si>
  <si>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</si>
  <si>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</si>
  <si>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</si>
  <si>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</si>
  <si>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</si>
  <si>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</si>
  <si>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</si>
  <si>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</si>
  <si>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</si>
  <si>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</si>
  <si>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</si>
  <si>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</si>
  <si>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</si>
  <si>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</si>
  <si>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</si>
  <si>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</si>
  <si>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</si>
  <si>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</si>
  <si>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</si>
  <si>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</si>
  <si>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</si>
  <si>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</si>
  <si>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</si>
  <si>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</si>
  <si>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</si>
  <si>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</si>
  <si>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</si>
  <si>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</si>
  <si>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</si>
  <si>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</si>
  <si>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</si>
  <si>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</si>
  <si>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</si>
  <si>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</si>
  <si>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</si>
  <si>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</si>
  <si>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</si>
  <si>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</si>
  <si>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</si>
  <si>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</si>
  <si>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</si>
  <si>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</si>
  <si>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</si>
  <si>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</si>
  <si>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</si>
  <si>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</si>
  <si>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</si>
  <si>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</si>
  <si>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</si>
  <si>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</si>
  <si>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</si>
  <si>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</si>
  <si>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</si>
  <si>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</si>
  <si>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</si>
  <si>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</si>
  <si>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</si>
  <si>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</si>
  <si>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</si>
  <si>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</si>
  <si>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</si>
  <si>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</si>
  <si>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</si>
  <si>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</si>
  <si>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</si>
  <si>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</si>
  <si>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</si>
  <si>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</si>
  <si>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</si>
  <si>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</si>
  <si>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</si>
  <si>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</si>
  <si>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</si>
  <si>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</si>
  <si>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</si>
  <si>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</si>
  <si>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</si>
  <si>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</si>
  <si>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</si>
  <si>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</si>
  <si>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</si>
  <si>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</si>
  <si>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</si>
  <si>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</si>
  <si>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</si>
  <si>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</si>
  <si>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</si>
  <si>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</si>
  <si>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</si>
  <si>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</si>
  <si>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</si>
  <si>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</si>
  <si>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</si>
  <si>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</si>
  <si>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</si>
  <si>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</si>
  <si>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</si>
  <si>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</si>
  <si>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</si>
  <si>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</si>
  <si>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</si>
  <si>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</si>
  <si>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</si>
  <si>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</si>
  <si>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</si>
  <si>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</si>
  <si>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</si>
  <si>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</si>
  <si>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</si>
  <si>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</si>
  <si>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</si>
  <si>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</si>
  <si>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</si>
  <si>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</si>
  <si>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</si>
  <si>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</si>
  <si>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</si>
  <si>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</si>
  <si>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</si>
  <si>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</si>
  <si>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</si>
  <si>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</si>
  <si>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</si>
  <si>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</si>
  <si>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</si>
  <si>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</si>
  <si>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</si>
  <si>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</si>
  <si>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</si>
  <si>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</si>
  <si>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</si>
  <si>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</si>
  <si>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</si>
  <si>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</si>
  <si>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</si>
  <si>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</si>
  <si>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</si>
  <si>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</si>
  <si>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</si>
  <si>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</si>
  <si>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</si>
  <si>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</si>
  <si>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</si>
  <si>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</si>
  <si>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</si>
  <si>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</si>
  <si>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</si>
  <si>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</si>
  <si>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</si>
  <si>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</si>
  <si>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</si>
  <si>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</si>
  <si>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</si>
  <si>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</si>
  <si>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</si>
  <si>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</si>
  <si>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</si>
  <si>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</si>
  <si>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</si>
  <si>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</si>
  <si>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</si>
  <si>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</si>
  <si>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</si>
  <si>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</si>
  <si>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</si>
  <si>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</si>
  <si>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</si>
  <si>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</si>
  <si>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</si>
  <si>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</si>
  <si>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</si>
  <si>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</si>
  <si>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</si>
  <si>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</si>
  <si>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</si>
  <si>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</si>
  <si>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</si>
  <si>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</si>
  <si>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</si>
  <si>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</si>
  <si>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</si>
  <si>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</si>
  <si>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</si>
  <si>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</si>
  <si>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</si>
  <si>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</si>
  <si>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</si>
  <si>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</si>
  <si>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</si>
  <si>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</si>
  <si>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</si>
  <si>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</si>
  <si>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</si>
  <si>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</si>
  <si>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</si>
  <si>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</si>
  <si>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</si>
  <si>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</si>
  <si>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</si>
  <si>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</si>
  <si>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</si>
  <si>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</si>
  <si>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</si>
  <si>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</si>
  <si>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</si>
  <si>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</si>
  <si>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</si>
  <si>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</si>
  <si>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</si>
  <si>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</si>
  <si>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</si>
  <si>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</si>
  <si>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</si>
  <si>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</si>
  <si>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</si>
  <si>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</si>
  <si>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</si>
  <si>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</si>
  <si>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</si>
  <si>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</si>
  <si>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</si>
  <si>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</si>
  <si>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</si>
  <si>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</si>
  <si>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</si>
  <si>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</si>
  <si>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</si>
  <si>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</si>
  <si>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</si>
  <si>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</si>
  <si>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</si>
  <si>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</si>
  <si>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</si>
  <si>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</si>
  <si>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</si>
  <si>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</si>
  <si>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</si>
  <si>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</si>
  <si>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</si>
  <si>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</si>
  <si>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</si>
  <si>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</si>
  <si>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</si>
  <si>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</si>
  <si>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</si>
  <si>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</si>
  <si>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</si>
  <si>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</si>
  <si>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</si>
  <si>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</si>
  <si>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</si>
  <si>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</si>
  <si>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</si>
  <si>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</si>
  <si>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</si>
  <si>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</si>
  <si>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</si>
  <si>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</si>
  <si>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</si>
  <si>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</si>
  <si>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</si>
  <si>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</si>
  <si>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</si>
  <si>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</si>
  <si>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</si>
  <si>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</si>
  <si>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</si>
  <si>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</si>
  <si>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</si>
  <si>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</si>
  <si>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</si>
  <si>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</si>
  <si>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</si>
  <si>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</si>
  <si>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</si>
  <si>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</si>
  <si>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</si>
  <si>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</si>
  <si>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</si>
  <si>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</si>
  <si>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</si>
  <si>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</si>
  <si>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</si>
  <si>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</si>
  <si>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</si>
  <si>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</si>
  <si>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</si>
  <si>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</si>
  <si>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</si>
  <si>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</si>
  <si>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</si>
  <si>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</si>
  <si>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</si>
  <si>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</si>
  <si>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</si>
  <si>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</si>
  <si>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</si>
  <si>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</si>
  <si>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</si>
  <si>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</si>
  <si>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</si>
  <si>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</si>
  <si>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</si>
  <si>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</si>
  <si>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</si>
  <si>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</si>
  <si>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</si>
  <si>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</si>
  <si>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</si>
  <si>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</si>
  <si>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</si>
  <si>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</si>
  <si>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</si>
  <si>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</si>
  <si>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</si>
  <si>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</si>
  <si>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</si>
  <si>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</si>
  <si>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</si>
  <si>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</si>
  <si>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</si>
  <si>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</si>
  <si>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</si>
  <si>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</si>
  <si>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</si>
  <si>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</si>
  <si>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</si>
  <si>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</si>
  <si>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</si>
  <si>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</si>
  <si>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</si>
  <si>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</si>
  <si>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</si>
  <si>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</si>
  <si>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</si>
  <si>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</si>
  <si>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</si>
  <si>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</si>
  <si>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</si>
  <si>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</si>
  <si>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</si>
  <si>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</si>
  <si>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</si>
  <si>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</si>
  <si>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</si>
  <si>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</si>
  <si>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</si>
  <si>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</si>
  <si>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</si>
  <si>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</si>
  <si>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</si>
  <si>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</si>
  <si>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</si>
  <si>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</si>
  <si>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</si>
  <si>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</si>
  <si>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</si>
  <si>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</si>
  <si>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</si>
  <si>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</si>
  <si>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</si>
  <si>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</si>
  <si>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</si>
  <si>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</si>
  <si>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</si>
  <si>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</si>
  <si>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</si>
  <si>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</si>
  <si>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</si>
  <si>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</si>
  <si>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</si>
  <si>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</si>
  <si>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</si>
  <si>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</si>
  <si>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</si>
  <si>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</si>
  <si>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</si>
  <si>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</si>
  <si>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</si>
  <si>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</si>
  <si>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</si>
  <si>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</si>
  <si>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</si>
  <si>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</si>
  <si>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</si>
  <si>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</si>
  <si>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</si>
  <si>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</si>
  <si>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</si>
  <si>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</si>
  <si>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</si>
  <si>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</si>
  <si>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</si>
  <si>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</si>
  <si>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</si>
  <si>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</si>
  <si>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</si>
  <si>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</si>
  <si>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</si>
  <si>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</si>
  <si>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</si>
  <si>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</si>
  <si>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</si>
  <si>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</si>
  <si>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</si>
  <si>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</si>
  <si>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</si>
  <si>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</si>
  <si>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</si>
  <si>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</si>
  <si>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</si>
  <si>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</si>
  <si>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</si>
  <si>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</si>
  <si>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</si>
  <si>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</si>
  <si>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</si>
  <si>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</si>
  <si>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</si>
  <si>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</si>
  <si>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</si>
  <si>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</si>
  <si>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</si>
  <si>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</si>
  <si>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</si>
  <si>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</si>
  <si>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</si>
  <si>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</si>
  <si>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</si>
  <si>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</si>
  <si>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</si>
  <si>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</si>
  <si>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</si>
  <si>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</si>
  <si>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</si>
  <si>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</si>
  <si>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</si>
  <si>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</si>
  <si>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</si>
  <si>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</si>
  <si>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</si>
  <si>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</si>
  <si>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</si>
  <si>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</si>
  <si>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</si>
  <si>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</si>
  <si>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</si>
  <si>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</si>
  <si>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</si>
  <si>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</si>
  <si>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</si>
  <si>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</si>
  <si>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</si>
  <si>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</si>
  <si>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</si>
  <si>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</si>
  <si>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</si>
  <si>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</si>
  <si>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</si>
  <si>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</si>
  <si>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</si>
  <si>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</si>
  <si>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</si>
  <si>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</si>
  <si>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</si>
  <si>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</si>
  <si>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</si>
  <si>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</si>
  <si>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</si>
  <si>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</si>
  <si>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</si>
  <si>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</si>
  <si>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</si>
  <si>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</si>
  <si>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</si>
  <si>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</si>
  <si>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</si>
  <si>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</si>
  <si>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</si>
  <si>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</si>
  <si>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</si>
  <si>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</si>
  <si>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</si>
  <si>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</si>
  <si>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</si>
  <si>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</si>
  <si>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</si>
  <si>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</si>
  <si>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</si>
  <si>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</si>
  <si>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</si>
  <si>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</si>
  <si>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</si>
  <si>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</si>
  <si>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</si>
  <si>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</si>
  <si>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</si>
  <si>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</si>
  <si>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</si>
  <si>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</si>
  <si>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</si>
  <si>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</si>
  <si>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</si>
  <si>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</si>
  <si>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</si>
  <si>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</si>
  <si>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</si>
  <si>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</si>
  <si>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</si>
  <si>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</si>
  <si>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</si>
  <si>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</si>
  <si>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</si>
  <si>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</si>
  <si>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</si>
  <si>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</si>
  <si>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</si>
  <si>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</si>
  <si>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</si>
  <si>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</si>
  <si>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</si>
  <si>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</si>
  <si>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</si>
  <si>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</si>
  <si>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</si>
  <si>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</si>
  <si>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</si>
  <si>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</si>
  <si>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</si>
  <si>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</si>
  <si>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</si>
  <si>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</si>
  <si>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</si>
  <si>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</si>
  <si>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</si>
  <si>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</si>
  <si>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</si>
  <si>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</si>
  <si>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</si>
  <si>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</si>
  <si>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</si>
  <si>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</si>
  <si>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</si>
  <si>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</si>
  <si>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</si>
  <si>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</si>
  <si>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</si>
  <si>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</si>
  <si>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</si>
  <si>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</si>
  <si>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</si>
  <si>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</si>
  <si>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</si>
  <si>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</si>
  <si>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</si>
  <si>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</si>
  <si>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</si>
  <si>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</si>
  <si>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</si>
  <si>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</si>
  <si>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</si>
  <si>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</si>
  <si>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</si>
  <si>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</si>
  <si>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</si>
  <si>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</si>
  <si>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</si>
  <si>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</si>
  <si>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</si>
  <si>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</si>
  <si>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</si>
  <si>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</si>
  <si>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</si>
  <si>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</si>
  <si>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</si>
  <si>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</si>
  <si>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</si>
  <si>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</si>
  <si>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</si>
  <si>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</si>
  <si>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</si>
  <si>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</si>
  <si>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</si>
  <si>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</si>
  <si>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</si>
  <si>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</si>
  <si>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</si>
  <si>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</si>
  <si>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</si>
  <si>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</si>
  <si>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</si>
  <si>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</si>
  <si>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</si>
  <si>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</si>
  <si>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</si>
  <si>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</si>
  <si>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</si>
  <si>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</si>
  <si>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</si>
  <si>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</si>
  <si>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</si>
  <si>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</si>
  <si>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</si>
  <si>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</si>
  <si>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</si>
  <si>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</si>
  <si>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</si>
  <si>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</si>
  <si>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</si>
  <si>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</si>
  <si>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</si>
  <si>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</si>
  <si>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</si>
  <si>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</si>
  <si>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</si>
  <si>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</si>
  <si>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</si>
  <si>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</si>
  <si>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</si>
  <si>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</si>
  <si>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</si>
  <si>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</si>
  <si>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</si>
  <si>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</si>
  <si>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</si>
  <si>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</si>
  <si>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</si>
  <si>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</si>
  <si>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</si>
  <si>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</si>
  <si>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</si>
  <si>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</si>
  <si>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</si>
  <si>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</si>
  <si>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</si>
  <si>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</si>
  <si>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</si>
  <si>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</si>
  <si>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</si>
  <si>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</si>
  <si>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</si>
  <si>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</si>
  <si>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</si>
  <si>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</si>
  <si>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</si>
  <si>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</si>
  <si>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</si>
  <si>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</si>
  <si>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</si>
  <si>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</si>
  <si>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</si>
  <si>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</si>
  <si>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</si>
  <si>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</si>
  <si>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</si>
  <si>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</si>
  <si>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</si>
  <si>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</si>
  <si>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</si>
  <si>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</si>
  <si>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</si>
  <si>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</si>
  <si>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</si>
  <si>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</si>
  <si>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</si>
  <si>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</si>
  <si>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</si>
  <si>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</si>
  <si>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</si>
  <si>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</si>
  <si>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</si>
  <si>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</si>
  <si>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</si>
  <si>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</si>
  <si>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</si>
  <si>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</si>
  <si>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</si>
  <si>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</si>
  <si>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</si>
  <si>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</si>
  <si>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</si>
  <si>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</si>
  <si>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</si>
  <si>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</si>
  <si>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</si>
  <si>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</si>
  <si>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</si>
  <si>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</si>
  <si>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</si>
  <si>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</si>
  <si>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</si>
  <si>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</si>
  <si>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</si>
  <si>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</si>
  <si>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</si>
  <si>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</si>
  <si>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</si>
  <si>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</si>
  <si>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</si>
  <si>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</si>
  <si>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</si>
  <si>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</si>
  <si>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</si>
  <si>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</si>
  <si>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</si>
  <si>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</si>
  <si>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</si>
  <si>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</si>
  <si>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</si>
  <si>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</si>
  <si>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</si>
  <si>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</si>
  <si>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</si>
  <si>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</si>
  <si>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</si>
  <si>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</si>
  <si>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</si>
  <si>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</si>
  <si>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</si>
  <si>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</si>
  <si>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</si>
  <si>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</si>
  <si>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</si>
  <si>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</si>
  <si>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</si>
  <si>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</si>
  <si>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</si>
  <si>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</si>
  <si>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</si>
  <si>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</si>
  <si>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</si>
  <si>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</si>
  <si>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</si>
  <si>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</si>
  <si>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</si>
  <si>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</si>
  <si>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</si>
  <si>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</si>
  <si>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</si>
  <si>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</si>
  <si>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</si>
  <si>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</si>
  <si>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</si>
  <si>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</si>
  <si>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</si>
  <si>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</si>
  <si>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</si>
  <si>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</si>
  <si>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</si>
  <si>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</si>
  <si>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</si>
  <si>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</si>
  <si>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</si>
  <si>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</si>
  <si>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</si>
  <si>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</si>
  <si>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</si>
  <si>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</si>
  <si>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</si>
  <si>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</si>
  <si>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</si>
  <si>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</si>
  <si>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</si>
  <si>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</si>
  <si>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</si>
  <si>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</si>
  <si>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</si>
  <si>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</si>
  <si>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</si>
  <si>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</si>
  <si>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</si>
  <si>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</si>
  <si>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</si>
  <si>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</si>
  <si>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</si>
  <si>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</si>
  <si>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</si>
  <si>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</si>
  <si>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</si>
  <si>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</si>
  <si>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</si>
  <si>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</si>
  <si>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</si>
  <si>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</si>
  <si>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</si>
  <si>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</si>
  <si>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</si>
  <si>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</si>
  <si>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</si>
  <si>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</si>
  <si>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</si>
  <si>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</si>
  <si>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</si>
  <si>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</si>
  <si>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</si>
  <si>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</si>
  <si>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</si>
  <si>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</si>
  <si>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</si>
  <si>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</si>
  <si>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</si>
  <si>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</si>
  <si>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</si>
  <si>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</si>
  <si>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</si>
  <si>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</si>
  <si>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</si>
  <si>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</si>
  <si>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</si>
  <si>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</si>
  <si>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</si>
  <si>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</si>
  <si>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</si>
  <si>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</si>
  <si>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</si>
  <si>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</si>
  <si>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</si>
  <si>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</si>
  <si>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</si>
  <si>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</si>
  <si>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</si>
  <si>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</si>
  <si>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</si>
  <si>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</si>
  <si>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</si>
  <si>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</si>
  <si>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</si>
  <si>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</si>
  <si>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</si>
  <si>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</si>
  <si>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</si>
  <si>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</si>
  <si>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</si>
  <si>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</si>
  <si>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</si>
  <si>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</si>
  <si>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</si>
  <si>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</si>
  <si>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</si>
  <si>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</si>
  <si>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</si>
  <si>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</si>
  <si>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</si>
  <si>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</si>
  <si>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</si>
  <si>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</si>
  <si>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</si>
  <si>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</si>
  <si>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</si>
  <si>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</si>
  <si>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</si>
  <si>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</si>
  <si>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</si>
  <si>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</si>
  <si>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</si>
  <si>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</si>
  <si>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</si>
  <si>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</si>
  <si>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</si>
  <si>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</si>
  <si>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</si>
  <si>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</si>
  <si>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</si>
  <si>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</si>
  <si>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</si>
  <si>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</si>
  <si>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</si>
  <si>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</si>
  <si>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</si>
  <si>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</si>
  <si>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</si>
  <si>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</si>
  <si>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</si>
  <si>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</si>
  <si>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</si>
  <si>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</si>
  <si>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</si>
  <si>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</si>
  <si>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</si>
  <si>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</si>
  <si>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</si>
  <si>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</si>
  <si>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</si>
  <si>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</si>
  <si>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</si>
  <si>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</si>
  <si>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</si>
  <si>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</si>
  <si>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</si>
  <si>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</si>
  <si>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</si>
  <si>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</si>
  <si>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</si>
  <si>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</si>
  <si>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</si>
  <si>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</si>
  <si>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</si>
  <si>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</si>
  <si>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</si>
  <si>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</si>
  <si>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</si>
  <si>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</si>
  <si>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</si>
  <si>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</si>
  <si>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</si>
  <si>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</si>
  <si>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</si>
  <si>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</si>
  <si>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</si>
  <si>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</si>
  <si>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</si>
  <si>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</si>
  <si>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</si>
  <si>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</si>
  <si>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</si>
  <si>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</si>
  <si>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</si>
  <si>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</si>
  <si>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</si>
  <si>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</si>
  <si>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</si>
  <si>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</si>
  <si>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</si>
  <si>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</si>
  <si>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</si>
  <si>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</si>
  <si>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</si>
  <si>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</si>
  <si>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</si>
  <si>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</si>
  <si>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</si>
  <si>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</si>
  <si>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</si>
  <si>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</si>
  <si>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</si>
  <si>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</si>
  <si>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</si>
  <si>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</si>
  <si>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</si>
  <si>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</si>
  <si>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</si>
  <si>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</si>
  <si>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</si>
  <si>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</si>
  <si>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</si>
  <si>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</si>
  <si>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</si>
  <si>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</si>
  <si>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</si>
  <si>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</si>
  <si>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</si>
  <si>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</si>
  <si>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</si>
  <si>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</si>
  <si>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</si>
  <si>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</si>
  <si>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</si>
  <si>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</si>
  <si>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</si>
  <si>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</si>
  <si>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</si>
  <si>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</si>
  <si>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</si>
  <si>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</si>
  <si>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</si>
  <si>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</si>
  <si>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</si>
  <si>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</si>
  <si>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</si>
  <si>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</si>
  <si>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</si>
  <si>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</si>
  <si>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</si>
  <si>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</si>
  <si>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</si>
  <si>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</si>
  <si>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</si>
  <si>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</si>
  <si>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</si>
  <si>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</si>
  <si>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</si>
  <si>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</si>
  <si>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</si>
  <si>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</si>
  <si>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</si>
  <si>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</si>
  <si>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</si>
  <si>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</si>
  <si>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</si>
  <si>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</si>
  <si>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</si>
  <si>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</si>
  <si>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</si>
  <si>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</si>
  <si>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</si>
  <si>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</si>
  <si>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</si>
  <si>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</si>
  <si>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</si>
  <si>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</si>
  <si>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</si>
  <si>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</si>
  <si>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</si>
  <si>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</si>
  <si>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</si>
  <si>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</si>
  <si>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</si>
  <si>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</si>
  <si>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</si>
  <si>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</si>
  <si>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</si>
  <si>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</si>
  <si>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</si>
  <si>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</si>
  <si>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</si>
  <si>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</si>
  <si>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</si>
  <si>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</si>
  <si>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</si>
  <si>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</si>
  <si>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</si>
  <si>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</si>
  <si>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</si>
  <si>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</si>
  <si>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</si>
  <si>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</si>
  <si>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</si>
  <si>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</si>
  <si>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</si>
  <si>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</si>
  <si>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</si>
  <si>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</si>
  <si>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</si>
  <si>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</si>
  <si>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</si>
  <si>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</si>
  <si>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</si>
  <si>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</si>
  <si>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</si>
  <si>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</si>
  <si>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</si>
  <si>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</si>
  <si>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</si>
  <si>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</si>
  <si>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</si>
  <si>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</si>
  <si>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</si>
  <si>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</si>
  <si>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</si>
  <si>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</si>
  <si>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</si>
  <si>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</si>
  <si>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</si>
  <si>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</si>
  <si>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</si>
  <si>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</si>
  <si>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</si>
  <si>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</si>
  <si>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</si>
  <si>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</si>
  <si>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</si>
  <si>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</si>
  <si>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</si>
  <si>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</si>
  <si>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</si>
  <si>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</si>
  <si>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</si>
  <si>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</si>
  <si>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</si>
  <si>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</si>
  <si>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</si>
  <si>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</si>
  <si>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</si>
  <si>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</si>
  <si>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</si>
  <si>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</si>
  <si>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</si>
  <si>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</si>
  <si>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</si>
  <si>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</si>
  <si>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</si>
  <si>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</si>
  <si>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</si>
  <si>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</si>
  <si>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</si>
  <si>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</si>
  <si>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</si>
  <si>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</si>
  <si>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</si>
  <si>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</si>
  <si>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</si>
  <si>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</si>
  <si>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</si>
  <si>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</si>
  <si>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</si>
  <si>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</si>
  <si>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</si>
  <si>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</si>
  <si>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</si>
  <si>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</si>
  <si>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</si>
  <si>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</si>
  <si>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</si>
  <si>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</si>
  <si>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</si>
  <si>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</si>
  <si>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</si>
  <si>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</si>
  <si>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</si>
  <si>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</si>
  <si>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</si>
  <si>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</si>
  <si>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</si>
  <si>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</si>
  <si>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</si>
  <si>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</si>
  <si>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</si>
  <si>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</si>
  <si>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</si>
  <si>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</si>
  <si>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</si>
  <si>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</si>
  <si>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</si>
  <si>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</si>
  <si>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</si>
  <si>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</si>
  <si>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</si>
  <si>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</si>
  <si>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</si>
  <si>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</si>
  <si>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</si>
  <si>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</si>
  <si>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</si>
  <si>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</si>
  <si>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</si>
  <si>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</si>
  <si>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</si>
  <si>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</si>
  <si>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</si>
  <si>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</si>
  <si>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</si>
  <si>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</si>
  <si>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</si>
  <si>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</si>
  <si>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</si>
  <si>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</si>
  <si>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</si>
  <si>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</si>
  <si>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</si>
  <si>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</si>
  <si>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</si>
  <si>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</si>
  <si>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</si>
  <si>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</si>
  <si>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</si>
  <si>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</si>
  <si>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</si>
  <si>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</si>
  <si>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</si>
  <si>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</si>
  <si>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</si>
  <si>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</si>
  <si>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</si>
  <si>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</si>
  <si>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</si>
  <si>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</si>
  <si>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</si>
  <si>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</si>
  <si>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</si>
  <si>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</si>
  <si>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</si>
  <si>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</si>
  <si>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</si>
  <si>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</si>
  <si>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</si>
  <si>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</si>
  <si>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</si>
  <si>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</si>
  <si>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</si>
  <si>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</si>
  <si>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</si>
  <si>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</si>
  <si>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</si>
  <si>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</si>
  <si>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</si>
  <si>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</si>
  <si>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</si>
  <si>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</si>
  <si>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</si>
  <si>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</si>
  <si>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</si>
  <si>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</si>
  <si>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</si>
  <si>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</si>
  <si>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</si>
  <si>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</si>
  <si>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</si>
  <si>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</si>
  <si>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</si>
  <si>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</si>
  <si>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</si>
  <si>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</si>
  <si>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</si>
  <si>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</si>
  <si>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</si>
  <si>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</si>
  <si>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</si>
  <si>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</si>
  <si>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</si>
  <si>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</si>
  <si>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</si>
  <si>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</si>
  <si>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</si>
  <si>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</si>
  <si>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</si>
  <si>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</si>
  <si>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</si>
  <si>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</si>
  <si>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</si>
  <si>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</si>
  <si>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</si>
  <si>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</si>
  <si>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</si>
  <si>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</si>
  <si>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</si>
  <si>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</si>
  <si>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</si>
  <si>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</si>
  <si>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</si>
  <si>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</si>
  <si>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</si>
  <si>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</si>
  <si>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</si>
  <si>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</si>
  <si>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</si>
  <si>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</si>
  <si>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</si>
  <si>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</si>
  <si>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</si>
  <si>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</si>
  <si>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</si>
  <si>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</si>
  <si>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</si>
  <si>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</si>
  <si>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</si>
  <si>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</si>
  <si>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</si>
  <si>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</si>
  <si>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</si>
  <si>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</si>
  <si>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</si>
  <si>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</si>
  <si>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</si>
  <si>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</si>
  <si>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</si>
  <si>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</si>
  <si>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</si>
  <si>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</si>
  <si>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</si>
  <si>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</si>
  <si>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</si>
  <si>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</si>
  <si>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</si>
  <si>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</si>
  <si>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</si>
  <si>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</si>
  <si>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</si>
  <si>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</si>
  <si>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</si>
  <si>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</si>
  <si>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</si>
  <si>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</si>
  <si>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</si>
  <si>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</si>
  <si>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</si>
  <si>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</si>
  <si>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</si>
  <si>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</si>
  <si>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</si>
  <si>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</si>
  <si>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</si>
  <si>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</si>
  <si>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</si>
  <si>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</si>
  <si>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</si>
  <si>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</si>
  <si>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</si>
  <si>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</si>
  <si>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</si>
  <si>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</si>
  <si>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</si>
  <si>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</si>
  <si>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</si>
  <si>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</si>
  <si>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</si>
  <si>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</si>
  <si>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</si>
  <si>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</si>
  <si>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</si>
  <si>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</si>
  <si>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</si>
  <si>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</si>
  <si>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</si>
  <si>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</si>
  <si>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</si>
  <si>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</si>
  <si>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</si>
  <si>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</si>
  <si>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</si>
  <si>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</si>
  <si>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</si>
  <si>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</si>
  <si>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</si>
  <si>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</si>
  <si>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</si>
  <si>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</si>
  <si>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</si>
  <si>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</si>
  <si>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</si>
  <si>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</si>
  <si>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</si>
  <si>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</si>
  <si>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</si>
  <si>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</si>
  <si>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</si>
  <si>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</si>
  <si>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</si>
  <si>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</si>
  <si>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</si>
  <si>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</si>
  <si>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</si>
  <si>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</si>
  <si>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</si>
  <si>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</si>
  <si>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</si>
  <si>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</si>
  <si>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</si>
  <si>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</si>
  <si>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</si>
  <si>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</si>
  <si>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</si>
  <si>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</si>
  <si>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</si>
  <si>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</si>
  <si>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</si>
  <si>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</si>
  <si>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</si>
  <si>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</si>
  <si>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</si>
  <si>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</si>
  <si>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</si>
  <si>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</si>
  <si>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</si>
  <si>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</si>
  <si>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</si>
  <si>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</si>
  <si>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</si>
  <si>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</si>
  <si>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</si>
  <si>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</si>
  <si>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</si>
  <si>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</si>
  <si>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</si>
  <si>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</si>
  <si>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</si>
  <si>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</si>
  <si>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</si>
  <si>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</si>
  <si>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</si>
  <si>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</si>
  <si>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</si>
  <si>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</si>
  <si>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</si>
  <si>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</si>
  <si>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</si>
  <si>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</si>
  <si>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</si>
  <si>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</si>
  <si>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</si>
  <si>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</si>
  <si>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</si>
  <si>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</si>
  <si>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</si>
  <si>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</si>
  <si>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</si>
  <si>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</si>
  <si>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</si>
  <si>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</si>
  <si>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</si>
  <si>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</si>
  <si>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</si>
  <si>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</si>
  <si>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</si>
  <si>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</si>
  <si>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</si>
  <si>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</si>
  <si>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</si>
  <si>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</si>
  <si>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</si>
  <si>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</si>
  <si>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</si>
  <si>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</si>
  <si>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</si>
  <si>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</si>
  <si>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</si>
  <si>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</si>
  <si>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</si>
  <si>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</si>
  <si>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</si>
  <si>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</si>
  <si>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</si>
  <si>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</si>
  <si>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</si>
  <si>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</si>
  <si>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</si>
  <si>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</si>
  <si>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</si>
  <si>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</si>
  <si>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</si>
  <si>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</si>
  <si>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</si>
  <si>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</si>
  <si>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</si>
  <si>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</si>
  <si>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</si>
  <si>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</si>
  <si>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</si>
  <si>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</si>
  <si>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</si>
  <si>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</si>
  <si>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</si>
  <si>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</si>
  <si>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</si>
  <si>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</si>
  <si>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</si>
  <si>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</si>
  <si>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</si>
  <si>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</si>
  <si>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</si>
  <si>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</si>
  <si>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</si>
  <si>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</si>
  <si>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</si>
  <si>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</si>
  <si>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</si>
  <si>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</si>
  <si>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</si>
  <si>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</si>
  <si>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</si>
  <si>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</si>
  <si>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</si>
  <si>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</si>
  <si>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</si>
  <si>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</si>
  <si>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</si>
  <si>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</si>
  <si>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</si>
  <si>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</si>
  <si>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</si>
  <si>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</si>
  <si>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</si>
  <si>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</si>
  <si>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</si>
  <si>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</si>
  <si>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</si>
  <si>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</si>
  <si>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</si>
  <si>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</si>
  <si>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</si>
  <si>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</si>
  <si>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</si>
  <si>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</si>
  <si>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</si>
  <si>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</si>
  <si>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</si>
  <si>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</si>
  <si>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</si>
  <si>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</si>
  <si>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</si>
  <si>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</si>
  <si>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</si>
  <si>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</si>
  <si>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</si>
  <si>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</si>
  <si>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</si>
  <si>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</si>
  <si>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</si>
  <si>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</si>
  <si>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</si>
  <si>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</si>
  <si>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</si>
  <si>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</si>
  <si>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</si>
  <si>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</si>
  <si>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</si>
  <si>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</si>
  <si>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</si>
  <si>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</si>
  <si>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</si>
  <si>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</si>
  <si>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</si>
  <si>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</si>
  <si>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</si>
  <si>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</si>
  <si>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</si>
  <si>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</si>
  <si>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</si>
  <si>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</si>
  <si>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</si>
  <si>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</si>
  <si>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</si>
  <si>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</si>
  <si>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</si>
  <si>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</si>
  <si>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</si>
  <si>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</si>
  <si>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</si>
  <si>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</si>
  <si>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</si>
  <si>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</si>
  <si>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</si>
  <si>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</si>
  <si>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</si>
  <si>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</si>
  <si>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</si>
  <si>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</si>
  <si>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</si>
  <si>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</si>
  <si>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</si>
  <si>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</si>
  <si>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</si>
  <si>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</si>
  <si>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</si>
  <si>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</si>
  <si>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</si>
  <si>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</si>
  <si>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</si>
  <si>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</si>
  <si>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</si>
  <si>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</si>
  <si>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</si>
  <si>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</si>
  <si>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</si>
  <si>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</si>
  <si>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</si>
  <si>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</si>
  <si>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</si>
  <si>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</si>
  <si>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</si>
  <si>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</si>
  <si>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</si>
  <si>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</si>
  <si>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</si>
  <si>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</si>
  <si>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</si>
  <si>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</si>
  <si>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</si>
  <si>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</si>
  <si>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</si>
  <si>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</si>
  <si>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</si>
  <si>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</si>
  <si>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</si>
  <si>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</si>
  <si>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</si>
  <si>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</si>
  <si>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</si>
  <si>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</si>
  <si>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</si>
  <si>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</si>
  <si>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</si>
  <si>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</si>
  <si>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</si>
  <si>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</si>
  <si>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</si>
  <si>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</si>
  <si>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</si>
  <si>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</si>
  <si>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</si>
  <si>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</si>
  <si>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</si>
  <si>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</si>
  <si>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</si>
  <si>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</si>
  <si>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</si>
  <si>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</si>
  <si>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</si>
  <si>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</si>
  <si>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</si>
  <si>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</si>
  <si>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</si>
  <si>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</si>
  <si>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</si>
  <si>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</si>
  <si>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</si>
  <si>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</si>
  <si>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</si>
  <si>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</si>
  <si>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</si>
  <si>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</si>
  <si>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</si>
  <si>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</si>
  <si>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</si>
  <si>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</si>
  <si>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</si>
  <si>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</si>
  <si>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</si>
  <si>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</si>
  <si>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</si>
  <si>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</si>
  <si>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</si>
  <si>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</si>
  <si>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</si>
  <si>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</si>
  <si>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</si>
  <si>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</si>
  <si>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</si>
  <si>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</si>
  <si>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</si>
  <si>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</si>
  <si>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</si>
  <si>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</si>
  <si>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</si>
  <si>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</si>
  <si>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</si>
  <si>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</si>
  <si>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</si>
  <si>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</si>
  <si>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</si>
  <si>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</si>
  <si>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</si>
  <si>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</si>
  <si>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</si>
  <si>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</si>
  <si>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地上</t>
  </si>
  <si>
    <t>是</t>
  </si>
  <si>
    <t>地下</t>
  </si>
  <si>
    <t>教育科研</t>
  </si>
  <si>
    <t>教育科研</t>
    <phoneticPr fontId="7" type="noConversion"/>
  </si>
  <si>
    <t>公共服务</t>
  </si>
  <si>
    <t>成新度</t>
  </si>
  <si>
    <t>地上办公</t>
    <phoneticPr fontId="3" type="noConversion"/>
  </si>
  <si>
    <t>地下办公</t>
    <phoneticPr fontId="3" type="noConversion"/>
  </si>
  <si>
    <t>地下车库</t>
    <phoneticPr fontId="3" type="noConversion"/>
  </si>
  <si>
    <t>建筑面积</t>
    <phoneticPr fontId="3" type="noConversion"/>
  </si>
  <si>
    <t>租金</t>
    <phoneticPr fontId="3" type="noConversion"/>
  </si>
  <si>
    <t>收益法</t>
  </si>
  <si>
    <t>钢混</t>
  </si>
  <si>
    <t>非生产用房</t>
  </si>
  <si>
    <t>否</t>
  </si>
  <si>
    <t>押一</t>
  </si>
  <si>
    <t>自定义容积率</t>
  </si>
  <si>
    <t>与级别开发程度不一致</t>
  </si>
  <si>
    <t>通路</t>
  </si>
  <si>
    <t>通电</t>
  </si>
  <si>
    <t>通讯</t>
  </si>
  <si>
    <t>通上水</t>
  </si>
  <si>
    <t>通下水</t>
  </si>
  <si>
    <t>燃气</t>
  </si>
  <si>
    <t>平整</t>
  </si>
  <si>
    <t>较好</t>
  </si>
  <si>
    <t>好</t>
  </si>
  <si>
    <t>一般</t>
  </si>
  <si>
    <t>未包含在土地购买价格中</t>
  </si>
  <si>
    <t>全部缴纳</t>
  </si>
  <si>
    <t>已包含在土地取得成本中</t>
  </si>
  <si>
    <t>成本法</t>
  </si>
  <si>
    <t>总价</t>
  </si>
  <si>
    <t>自定义</t>
  </si>
  <si>
    <r>
      <t>2021</t>
    </r>
    <r>
      <rPr>
        <sz val="10"/>
        <color indexed="8"/>
        <rFont val="宋体"/>
        <family val="3"/>
        <charset val="134"/>
      </rPr>
      <t>年</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</si>
</sst>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351352</xdr:colOff>
      <xdr:row>19</xdr:row>
      <xdr:rowOff>47212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80952" cy="3304762"/>
        </a:xfrm>
        <a:prstGeom prst="rect">
          <a:avLst/>
        </a:prstGeom>
      </xdr:spPr>
    </xdr:pic>
    <xdr:clientData/>
  </xdr:twoCellAnchor>
  <xdr:twoCellAnchor editAs="oneCell">
    <xdr:from>
      <xdr:col>0</xdr:col>
      <xdr:colOff>0</xdr:colOff>
      <xdr:row>20</xdr:row>
      <xdr:rowOff>0</xdr:rowOff>
    </xdr:from>
    <xdr:to>
      <xdr:col>10</xdr:col>
      <xdr:colOff>218190</xdr:colOff>
      <xdr:row>48</xdr:row>
      <xdr:rowOff>37495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7076190" cy="4838095"/>
        </a:xfrm>
        <a:prstGeom prst="rect">
          <a:avLst/>
        </a:prstGeom>
      </xdr:spPr>
    </xdr:pic>
    <xdr:clientData/>
  </xdr:twoCellAnchor>
  <xdr:twoCellAnchor editAs="oneCell">
    <xdr:from>
      <xdr:col>11</xdr:col>
      <xdr:colOff>0</xdr:colOff>
      <xdr:row>20</xdr:row>
      <xdr:rowOff>0</xdr:rowOff>
    </xdr:from>
    <xdr:to>
      <xdr:col>16</xdr:col>
      <xdr:colOff>466238</xdr:colOff>
      <xdr:row>51</xdr:row>
      <xdr:rowOff>75526</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3429000"/>
          <a:ext cx="3895238" cy="5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估价对象为北京市房地产，为所有。根据《国有土地使用证》[]，估价对象（分摊）出让国有建设用地使用权面积为24188.79平方米，建筑面积为27874.52平方米。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估价对象为北京市房地产,属开发建设的，该项目尚在开发建设中。根据《国有土地使用证》[]，估价对象（分摊）出让国有建设用地使用权面积为24188.79平方米，规划建筑面积为27874.52平方米。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2024年4月7日</v>
      </c>
    </row>
    <row r="13" spans="1:2" s="1203" customFormat="1">
      <c r="A13" s="1201" t="s">
        <v>529</v>
      </c>
      <c r="B13" s="1202" t="str">
        <f>'预评函-1'!A18</f>
        <v>本次估价的“房地产价值”是指在正常市场情况下，在价值时点2024年4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52566</v>
      </c>
    </row>
    <row r="21" spans="1:2" s="1203" customFormat="1">
      <c r="A21" s="1201" t="s">
        <v>537</v>
      </c>
      <c r="B21" s="1202">
        <f ca="1">'预评函-2'!D7</f>
        <v>18858</v>
      </c>
    </row>
    <row r="22" spans="1:2" s="1203" customFormat="1">
      <c r="A22" s="1201" t="s">
        <v>538</v>
      </c>
      <c r="B22" s="1202" t="str">
        <f ca="1">'预评函-2'!D6</f>
        <v>伍亿贰仟伍佰陆拾陆万元整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52566</v>
      </c>
    </row>
    <row r="31" spans="1:2" s="1203" customFormat="1">
      <c r="A31" s="1201" t="s">
        <v>576</v>
      </c>
      <c r="B31" s="1202">
        <f ca="1">'预评函-2'!D15</f>
        <v>18858</v>
      </c>
    </row>
    <row r="32" spans="1:2" s="1203" customFormat="1">
      <c r="A32" s="1201" t="s">
        <v>543</v>
      </c>
      <c r="B32" s="1202" t="str">
        <f ca="1">'预评函-2'!D14</f>
        <v>伍亿贰仟伍佰陆拾陆万元整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27874.52</v>
      </c>
    </row>
    <row r="44" spans="1:2" s="1203" customFormat="1">
      <c r="A44" s="1201" t="s">
        <v>575</v>
      </c>
      <c r="B44" s="1202" t="str">
        <f>'预评函-3'!C2</f>
        <v>(分摊)土地面积</v>
      </c>
    </row>
    <row r="45" spans="1:2" s="1203" customFormat="1">
      <c r="A45" s="1201" t="s">
        <v>547</v>
      </c>
      <c r="B45" s="1202">
        <f>'预评函-3'!C4</f>
        <v>24188.79</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45389</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2.7</v>
      </c>
      <c r="D5" s="3025">
        <f>IF(ISERROR(ROUND(POWER(1+E5,A5-C5)*(POWER(1+E5,C5)-1)/(POWER(1+E5,A5)-1),3)),0,ROUND(POWER(1+E5,A5-C5)*(POWER(1+E5,C5)-1)/(POWER(1+E5,A5)-1),4))</f>
        <v>0.12690000000000001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12.7</v>
      </c>
      <c r="D6" s="3025">
        <f>IF(ISERROR(ROUND(POWER(1+E6,A6-C6)*(POWER(1+E6,C6)-1)/(POWER(1+E6,A6)-1),3)),0,ROUND(POWER(1+E6,A6-C6)*(POWER(1+E6,C6)-1)/(POWER(1+E6,A6)-1),4))</f>
        <v>0.45660000000000001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32.72</v>
      </c>
      <c r="D7" s="3025">
        <f>IF(ISERROR(ROUND(POWER(1+E7,A7-C7)*(POWER(1+E7,C7)-1)/(POWER(1+E7,A7)-1),3)),0,ROUND(POWER(1+E7,A7-C7)*(POWER(1+E7,C7)-1)/(POWER(1+E7,A7)-1),4))</f>
        <v>0.77249999999999996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8" sqref="F4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45389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2"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3"/>
      <c r="E9" s="2394"/>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v>59752</v>
      </c>
      <c r="G13" s="856"/>
      <c r="H13" s="856">
        <v>59752</v>
      </c>
      <c r="I13" s="856">
        <v>59752</v>
      </c>
      <c r="J13" s="3062"/>
      <c r="K13" s="2613"/>
      <c r="L13" s="2613"/>
      <c r="M13" s="2439"/>
      <c r="N13" s="2450"/>
      <c r="O13" s="2439"/>
      <c r="P13" s="2439"/>
      <c r="Q13" s="2439"/>
      <c r="AD13" s="1745"/>
    </row>
    <row r="14" spans="1:30">
      <c r="A14" s="1081"/>
      <c r="B14" s="2407" t="s">
        <v>2191</v>
      </c>
      <c r="C14" s="2408"/>
      <c r="D14" s="2408"/>
      <c r="E14" s="2408"/>
      <c r="F14" s="2408">
        <v>50</v>
      </c>
      <c r="G14" s="2408"/>
      <c r="H14" s="2408">
        <v>50</v>
      </c>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39.35</v>
      </c>
      <c r="G15" s="2410" t="str">
        <f>IF(A13="出让",IF(G13="","",ROUNDDOWN(MIN((G13-$D$3)/365,G14),2)),G14)</f>
        <v/>
      </c>
      <c r="H15" s="2410">
        <f>IF(A13="出让",IF(H13="","",ROUNDDOWN(MIN((H13-$D$3)/365,H14),2)),H14)</f>
        <v>39.35</v>
      </c>
      <c r="I15" s="2410">
        <f>IF(A13="出让",IF(I13="","",ROUNDDOWN(MIN((I13-$D$3)/365,I14),2)),I14)</f>
        <v>39.35</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27874.52</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24188.79</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t="s">
        <v>303</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t="s">
        <v>165</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I13" activePane="bottomRight" state="frozen"/>
      <selection activeCell="C50" sqref="C50"/>
      <selection pane="topRight" activeCell="C50" sqref="C50"/>
      <selection pane="bottomLeft" activeCell="C50" sqref="C50"/>
      <selection pane="bottomRight" activeCell="AO26" sqref="AO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24188.79</v>
      </c>
      <c r="B3" s="11">
        <f>IF(C3="否",G5-AT5,G5)</f>
        <v>27874.52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27874.52</v>
      </c>
      <c r="H5" s="13">
        <f t="shared" ref="H5:AT5" si="0">SUM(H13:H656)</f>
        <v>23949.06</v>
      </c>
      <c r="I5" s="13">
        <f t="shared" si="0"/>
        <v>18441.810000000001</v>
      </c>
      <c r="J5" s="13">
        <f t="shared" si="0"/>
        <v>0</v>
      </c>
      <c r="K5" s="13">
        <f t="shared" si="0"/>
        <v>4638.53</v>
      </c>
      <c r="L5" s="13">
        <f t="shared" si="0"/>
        <v>0</v>
      </c>
      <c r="M5" s="13">
        <f t="shared" si="0"/>
        <v>868.72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3925.46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3925.46</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27874.52</v>
      </c>
      <c r="BA5" s="15">
        <f t="shared" si="1"/>
        <v>23949.06</v>
      </c>
      <c r="BB5" s="15">
        <f t="shared" si="1"/>
        <v>18441.810000000001</v>
      </c>
      <c r="BC5" s="15">
        <f t="shared" si="1"/>
        <v>4638.53</v>
      </c>
      <c r="BD5" s="15">
        <f t="shared" si="1"/>
        <v>868.72</v>
      </c>
      <c r="BE5" s="15">
        <f t="shared" si="1"/>
        <v>0</v>
      </c>
      <c r="BF5" s="15">
        <f t="shared" si="1"/>
        <v>0</v>
      </c>
      <c r="BG5" s="15">
        <f t="shared" si="1"/>
        <v>0</v>
      </c>
      <c r="BH5" s="15">
        <f t="shared" si="1"/>
        <v>0</v>
      </c>
      <c r="BI5" s="15">
        <f t="shared" si="1"/>
        <v>0</v>
      </c>
      <c r="BJ5" s="15">
        <f t="shared" si="1"/>
        <v>0</v>
      </c>
      <c r="BK5" s="15">
        <f t="shared" si="1"/>
        <v>0</v>
      </c>
      <c r="BL5" s="15">
        <f t="shared" si="1"/>
        <v>3925.46</v>
      </c>
      <c r="BM5" s="15">
        <f t="shared" si="1"/>
        <v>0</v>
      </c>
      <c r="BN5" s="15">
        <f t="shared" si="1"/>
        <v>0</v>
      </c>
      <c r="BO5" s="15">
        <f t="shared" si="1"/>
        <v>0</v>
      </c>
      <c r="BP5" s="15">
        <f t="shared" si="1"/>
        <v>0</v>
      </c>
      <c r="BQ5" s="15">
        <f t="shared" si="1"/>
        <v>0</v>
      </c>
      <c r="BR5" s="15">
        <f t="shared" si="1"/>
        <v>3925.46</v>
      </c>
      <c r="BS5" s="15">
        <f t="shared" si="1"/>
        <v>0</v>
      </c>
      <c r="BT5" s="16">
        <f t="shared" si="1"/>
        <v>0</v>
      </c>
    </row>
    <row r="6" spans="1:72" s="1589" customFormat="1" ht="12.75">
      <c r="A6" s="12" t="s">
        <v>1072</v>
      </c>
      <c r="B6" s="1586"/>
      <c r="C6" s="1586"/>
      <c r="D6" s="1587"/>
      <c r="E6" s="13">
        <f>H6+AC6+AT6</f>
        <v>24188.789999999997</v>
      </c>
      <c r="F6" s="13" t="s">
        <v>0</v>
      </c>
      <c r="G6" s="13" t="s">
        <v>1</v>
      </c>
      <c r="H6" s="17">
        <f>SUMIF(I$12:AB$12,"总值",I6:AB6)</f>
        <v>20782.379999999997</v>
      </c>
      <c r="I6" s="13">
        <f t="shared" ref="I6:AB6" si="2">ROUND($A$3*I5/$B$3,2)</f>
        <v>16003.33</v>
      </c>
      <c r="J6" s="13">
        <f t="shared" si="2"/>
        <v>0</v>
      </c>
      <c r="K6" s="13">
        <f t="shared" si="2"/>
        <v>4025.2</v>
      </c>
      <c r="L6" s="13">
        <f t="shared" si="2"/>
        <v>0</v>
      </c>
      <c r="M6" s="13">
        <f t="shared" si="2"/>
        <v>753.85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3406.41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3406.41</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24188.79</v>
      </c>
      <c r="AZ6" s="13" t="s">
        <v>2</v>
      </c>
      <c r="BA6" s="13">
        <f>ROUND($AY$6*BA5/$AZ$5,2)</f>
        <v>20782.38</v>
      </c>
      <c r="BB6" s="13">
        <f>ROUND($AY$6*BB5/$AZ$5,2)</f>
        <v>16003.33</v>
      </c>
      <c r="BC6" s="13">
        <f t="shared" ref="BC6:BH6" si="4">ROUND($AY$6*BC5/$AZ$5,2)</f>
        <v>4025.2</v>
      </c>
      <c r="BD6" s="13">
        <f t="shared" si="4"/>
        <v>753.85</v>
      </c>
      <c r="BE6" s="13">
        <f t="shared" si="4"/>
        <v>0</v>
      </c>
      <c r="BF6" s="13">
        <f t="shared" si="4"/>
        <v>0</v>
      </c>
      <c r="BG6" s="13">
        <f t="shared" si="4"/>
        <v>0</v>
      </c>
      <c r="BH6" s="13">
        <f t="shared" si="4"/>
        <v>0</v>
      </c>
      <c r="BI6" s="13">
        <f t="shared" ref="BI6:BT6" si="5">ROUND($AY$6*BI5/$AZ$5,2)</f>
        <v>0</v>
      </c>
      <c r="BJ6" s="13">
        <f t="shared" si="5"/>
        <v>0</v>
      </c>
      <c r="BK6" s="13">
        <f t="shared" si="5"/>
        <v>0</v>
      </c>
      <c r="BL6" s="13">
        <f t="shared" si="5"/>
        <v>3406.41</v>
      </c>
      <c r="BM6" s="13">
        <f t="shared" si="5"/>
        <v>0</v>
      </c>
      <c r="BN6" s="13">
        <f t="shared" si="5"/>
        <v>0</v>
      </c>
      <c r="BO6" s="13">
        <f t="shared" si="5"/>
        <v>0</v>
      </c>
      <c r="BP6" s="13">
        <f t="shared" si="5"/>
        <v>0</v>
      </c>
      <c r="BQ6" s="13">
        <f t="shared" si="5"/>
        <v>0</v>
      </c>
      <c r="BR6" s="13">
        <f t="shared" si="5"/>
        <v>3406.41</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t="s">
        <v>3389</v>
      </c>
      <c r="L9" s="809"/>
      <c r="M9" s="1603" t="s">
        <v>3389</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3337</v>
      </c>
      <c r="L10" s="809"/>
      <c r="M10" s="1609" t="s">
        <v>21</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车库</v>
      </c>
      <c r="BD11" s="1599" t="str">
        <f>M10</f>
        <v>办公</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3388</v>
      </c>
      <c r="E13" s="13">
        <f>IF($C$3="是",ROUND($A$3*G13/$B$3,2),ROUND($A$3*(G13-AT13)/$B$3,2))</f>
        <v>24188.79</v>
      </c>
      <c r="F13" s="29"/>
      <c r="G13" s="30">
        <f>H13+AC13+AT13</f>
        <v>27874.52</v>
      </c>
      <c r="H13" s="17">
        <f>SUMIF(I$12:AB$12,"总值",I13:AB13)</f>
        <v>23949.06</v>
      </c>
      <c r="I13" s="1626">
        <v>18441.810000000001</v>
      </c>
      <c r="J13" s="1626"/>
      <c r="K13" s="1626">
        <v>4638.53</v>
      </c>
      <c r="L13" s="1626"/>
      <c r="M13" s="1626">
        <v>868.72</v>
      </c>
      <c r="N13" s="1626"/>
      <c r="O13" s="1626"/>
      <c r="P13" s="1626"/>
      <c r="Q13" s="1626"/>
      <c r="R13" s="1626"/>
      <c r="S13" s="1626"/>
      <c r="T13" s="1626"/>
      <c r="U13" s="1626"/>
      <c r="V13" s="1626"/>
      <c r="W13" s="1626"/>
      <c r="X13" s="1626"/>
      <c r="Y13" s="1626"/>
      <c r="Z13" s="1626"/>
      <c r="AA13" s="1626"/>
      <c r="AB13" s="1626"/>
      <c r="AC13" s="13">
        <f>SUMIF(AD$12:AS$12,"总值",AD13:AS13)</f>
        <v>3925.46</v>
      </c>
      <c r="AD13" s="1627"/>
      <c r="AE13" s="1627"/>
      <c r="AF13" s="1627"/>
      <c r="AG13" s="1627"/>
      <c r="AH13" s="1627"/>
      <c r="AI13" s="1627"/>
      <c r="AJ13" s="1627"/>
      <c r="AK13" s="1627"/>
      <c r="AL13" s="1627"/>
      <c r="AM13" s="1627"/>
      <c r="AN13" s="1627">
        <v>3925.46</v>
      </c>
      <c r="AO13" s="1627"/>
      <c r="AP13" s="1627"/>
      <c r="AQ13" s="1627"/>
      <c r="AR13" s="1627"/>
      <c r="AS13" s="1627"/>
      <c r="AT13" s="1628"/>
      <c r="AU13" s="1629"/>
      <c r="AV13" s="8">
        <f t="shared" ref="AV13:AX17" si="6">A13</f>
        <v>0</v>
      </c>
      <c r="AW13" s="8">
        <f t="shared" si="6"/>
        <v>0</v>
      </c>
      <c r="AX13" s="8">
        <f t="shared" si="6"/>
        <v>0</v>
      </c>
      <c r="AY13" s="1349">
        <f>ROUND($AY$6*AZ13/$AZ$5,2)</f>
        <v>24188.79</v>
      </c>
      <c r="AZ13" s="13">
        <f>BA13+BL13</f>
        <v>27874.52</v>
      </c>
      <c r="BA13" s="13">
        <f>SUM(BB13:BK13)</f>
        <v>23949.06</v>
      </c>
      <c r="BB13" s="13">
        <f>IF($D13="是",I13-J13,0)</f>
        <v>18441.810000000001</v>
      </c>
      <c r="BC13" s="13">
        <f>IF($D13="是",K13-L13,0)</f>
        <v>4638.53</v>
      </c>
      <c r="BD13" s="13">
        <f>IF($D13="是",M13-N13,0)</f>
        <v>868.72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3925.46</v>
      </c>
      <c r="BM13" s="13">
        <f>IF($D13="是",AD13-AE13,0)</f>
        <v>0</v>
      </c>
      <c r="BN13" s="13">
        <f>IF($D13="是",AF13-AG13,0)</f>
        <v>0</v>
      </c>
      <c r="BO13" s="13">
        <f>IF($D13="是",AH13-AI13,0)</f>
        <v>0</v>
      </c>
      <c r="BP13" s="13">
        <f>IF($D13="是",AJ13-AK13,0)</f>
        <v>0</v>
      </c>
      <c r="BQ13" s="13">
        <f>IF($D13="是",AL13-AM13,0)</f>
        <v>0</v>
      </c>
      <c r="BR13" s="13">
        <f>IF($D13="是",AN13-AO13,0)</f>
        <v>3925.46</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3" sqref="F5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24188.79</v>
      </c>
      <c r="E3" s="43">
        <f>'数据-基础表'!AZ5</f>
        <v>27874.52</v>
      </c>
      <c r="F3" s="2659"/>
      <c r="G3" s="1145"/>
      <c r="H3" s="1026" t="s">
        <v>1106</v>
      </c>
      <c r="I3" s="855">
        <f>ROUND('数据-基础表'!B3/'数据-基础表'!A3,2)</f>
        <v>1.1499999999999999</v>
      </c>
      <c r="J3" s="2659"/>
      <c r="K3" s="2659"/>
      <c r="L3" s="2659"/>
      <c r="M3" s="2659"/>
      <c r="N3" s="2661"/>
      <c r="O3" s="2659"/>
      <c r="P3" s="2659"/>
    </row>
    <row r="4" spans="1:16" ht="15">
      <c r="A4" s="3532"/>
      <c r="B4" s="3533"/>
      <c r="C4" s="3534"/>
      <c r="D4" s="1641" t="s">
        <v>1107</v>
      </c>
      <c r="E4" s="1642" t="s">
        <v>1108</v>
      </c>
      <c r="F4" s="2659"/>
      <c r="G4" s="2652" t="s">
        <v>1133</v>
      </c>
      <c r="H4" s="1026" t="s">
        <v>1113</v>
      </c>
      <c r="I4" s="855">
        <f>ROUND(SUMIF('数据-基础表'!I9:AS9,"地上",'数据-基础表'!I5:AS5)/'数据-基础表'!A3,2)</f>
        <v>0.76</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f>ROUND(E31/D31,2)</f>
        <v>1.1499999999999999</v>
      </c>
      <c r="J5" s="2659"/>
      <c r="K5" s="2659"/>
      <c r="L5" s="2659"/>
      <c r="M5" s="2659"/>
      <c r="N5" s="2659"/>
      <c r="O5" s="2659"/>
      <c r="P5" s="2659"/>
    </row>
    <row r="6" spans="1:16" ht="15" thickBot="1">
      <c r="A6" s="1644"/>
      <c r="B6" s="3535" t="s">
        <v>1111</v>
      </c>
      <c r="C6" s="3535"/>
      <c r="D6" s="45">
        <f>ROUND($D$3*E6/$E$3,2)</f>
        <v>24188.79</v>
      </c>
      <c r="E6" s="46">
        <f>E3-E5</f>
        <v>27874.52</v>
      </c>
      <c r="F6" s="2659"/>
      <c r="G6" s="2653" t="s">
        <v>1112</v>
      </c>
      <c r="H6" s="1146" t="s">
        <v>1113</v>
      </c>
      <c r="I6" s="2654">
        <f>ROUND(F31/D31,2)</f>
        <v>0.76</v>
      </c>
      <c r="J6" s="2659"/>
      <c r="K6" s="2659"/>
      <c r="L6" s="2659"/>
      <c r="M6" s="2659"/>
      <c r="N6" s="2659"/>
      <c r="O6" s="2659"/>
      <c r="P6" s="2659"/>
    </row>
    <row r="7" spans="1:16" ht="15.75" thickBot="1">
      <c r="A7" s="3527"/>
      <c r="B7" s="3528"/>
      <c r="C7" s="352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16003.33</v>
      </c>
      <c r="E8" s="48">
        <f>SUMIF('数据-基础表'!BB10:BK10,"地上",'数据-基础表'!BB5:BK5)</f>
        <v>18441.810000000001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753.85</v>
      </c>
      <c r="E11" s="48">
        <f>SUMPRODUCT(('数据-基础表'!BB10:BK10="地下")*('数据-基础表'!BB11:BK11="办公")*('数据-基础表'!BB5:BK5))+'数据-基础表'!BP5</f>
        <v>868.72</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4025.2</v>
      </c>
      <c r="E13" s="48">
        <f>SUMPRODUCT(('数据-基础表'!BB10:BK10="地下")*('数据-基础表'!BB11:BK11="车库")*('数据-基础表'!BB5:BK5))</f>
        <v>4638.53</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20782.38</v>
      </c>
      <c r="E16" s="50">
        <f>SUM(E8:E15)</f>
        <v>23949.06</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3391</v>
      </c>
      <c r="D19" s="45">
        <f>ROUND($D$3*E19/$E$3,2)</f>
        <v>20782.38</v>
      </c>
      <c r="E19" s="53">
        <f t="shared" ref="E19:E26" si="1">SUM(F19:G19)</f>
        <v>23949.06</v>
      </c>
      <c r="F19" s="2795">
        <v>18441.810000000001</v>
      </c>
      <c r="G19" s="2796">
        <v>5507.25</v>
      </c>
      <c r="H19" s="670">
        <f>ROUND($D$3*I19/$E$3,2)</f>
        <v>3406.41</v>
      </c>
      <c r="I19" s="48">
        <f t="shared" ref="I19:I26" si="2">IF($I$17="自定义",P19,M19)</f>
        <v>3925.46</v>
      </c>
      <c r="J19" s="1139"/>
      <c r="K19" s="1138">
        <f t="shared" ref="K19:K26" si="3">ROUND(E$28*E19/E$27,2)</f>
        <v>3925.46</v>
      </c>
      <c r="L19" s="1026">
        <f t="shared" ref="L19:L26" si="4">ROUND(IF(COUNTIF(C19,"*住宅*")&gt;0,E$29*E19/E$32,0),2)</f>
        <v>0</v>
      </c>
      <c r="M19" s="1150">
        <f>K19+L19</f>
        <v>3925.46</v>
      </c>
      <c r="N19" s="1668"/>
      <c r="O19" s="1669"/>
      <c r="P19" s="1150">
        <f>N19+O19</f>
        <v>0</v>
      </c>
      <c r="R19" s="1026">
        <f t="shared" ref="R19:S26" si="5">D19+H19</f>
        <v>24188.79</v>
      </c>
      <c r="S19" s="1027">
        <f t="shared" si="5"/>
        <v>27874.52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20782.38</v>
      </c>
      <c r="E27" s="1141">
        <f>IF(SUM(E19:E26)='数据-基础表'!BA5,SUM(E19:E26),IF(F27="地上面积有误","面积有误","地下面积有误"))</f>
        <v>23949.06</v>
      </c>
      <c r="F27" s="1140">
        <f>IF(SUM(F19:F26)=E8,SUM(F19:F26),"地上面积有误")</f>
        <v>18441.810000000001</v>
      </c>
      <c r="G27" s="1142">
        <f>SUM(G19:G26)</f>
        <v>5507.25</v>
      </c>
      <c r="H27" s="1143">
        <f>SUM(H19:H26)</f>
        <v>3406.41</v>
      </c>
      <c r="I27" s="1144">
        <f>SUM(I19:I26)</f>
        <v>3925.46</v>
      </c>
      <c r="J27" s="1139"/>
      <c r="K27" s="1147">
        <f>SUM(K19:K26)</f>
        <v>3925.46</v>
      </c>
      <c r="L27" s="1148">
        <f>SUM(L19:L26)</f>
        <v>0</v>
      </c>
      <c r="M27" s="1151">
        <f>SUM(M19:M26)</f>
        <v>3925.46</v>
      </c>
      <c r="N27" s="1147">
        <f t="shared" ref="N27:O27" si="10">SUM(N19:N26)</f>
        <v>0</v>
      </c>
      <c r="O27" s="1148">
        <f t="shared" si="10"/>
        <v>0</v>
      </c>
      <c r="P27" s="1149">
        <f>SUM(P19:P26)</f>
        <v>0</v>
      </c>
      <c r="R27" s="1028">
        <f>IF(SUM(R19:R26)=$D$3,SUM(R19:R26),SUM(R19:R26)&amp;"误差"&amp;ROUND(SUM(R19:R26)-$D$3,2))</f>
        <v>24188.79</v>
      </c>
      <c r="S27" s="1026">
        <f>IF(SUM(S19:S26)=$E$3,SUM(S19:S26),SUM(S19:S26)&amp;"误差"&amp;ROUND(SUM(S19:S26)-E3,2))</f>
        <v>27874.52</v>
      </c>
    </row>
    <row r="28" spans="1:19">
      <c r="A28" s="1670"/>
      <c r="B28" s="47" t="s">
        <v>1155</v>
      </c>
      <c r="C28" s="1038" t="s">
        <v>1156</v>
      </c>
      <c r="D28" s="45">
        <f>ROUND($D$3*E28/$E$3,2)</f>
        <v>3406.41</v>
      </c>
      <c r="E28" s="53">
        <f>SUM(F28:G28)</f>
        <v>3925.46</v>
      </c>
      <c r="F28" s="56">
        <f>'数据-基础表'!BQ5+'数据-基础表'!BS5</f>
        <v>0</v>
      </c>
      <c r="G28" s="57">
        <f>'数据-基础表'!BR5+'数据-基础表'!BT5</f>
        <v>3925.46</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3406.41</v>
      </c>
      <c r="E30" s="1140">
        <f>SUM(E28:E29)</f>
        <v>3925.46</v>
      </c>
      <c r="F30" s="1140">
        <f>SUM(F28:F29)</f>
        <v>0</v>
      </c>
      <c r="G30" s="1142">
        <f>SUM(G28:G29)</f>
        <v>3925.46</v>
      </c>
      <c r="H30" s="2659"/>
      <c r="I30" s="2659"/>
      <c r="J30" s="2659"/>
      <c r="K30" s="2659"/>
      <c r="L30" s="2659"/>
      <c r="M30" s="2659"/>
      <c r="N30" s="2659"/>
      <c r="O30" s="2659"/>
      <c r="P30" s="2659"/>
    </row>
    <row r="31" spans="1:19" ht="15.75" thickBot="1">
      <c r="A31" s="1676"/>
      <c r="B31" s="1677"/>
      <c r="C31" s="835" t="s">
        <v>1158</v>
      </c>
      <c r="D31" s="676">
        <f>D27+D30</f>
        <v>24188.79</v>
      </c>
      <c r="E31" s="676">
        <f>E27+E30</f>
        <v>27874.52</v>
      </c>
      <c r="F31" s="677">
        <f>F27+F30</f>
        <v>18441.810000000001</v>
      </c>
      <c r="G31" s="678">
        <f>G27+G30</f>
        <v>9432.7099999999991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W28" sqref="W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教育科研</v>
      </c>
      <c r="B6" s="1713" t="str">
        <f>IF(A6=0,"","经营性")</f>
        <v>经营性</v>
      </c>
      <c r="C6" s="1714" t="s">
        <v>3392</v>
      </c>
      <c r="D6" s="858">
        <f>SUMIF(项目基本情况!C$12:I$12,C6,项目基本情况!C$14:I$14)</f>
        <v>50</v>
      </c>
      <c r="E6" s="857">
        <f>IF(B6="","",SUMIF(项目基本情况!C$12:I$12,C6,项目基本情况!C$13:I$13))</f>
        <v>59752</v>
      </c>
      <c r="F6" s="64">
        <f>SUMIF(项目基本情况!C$12:I$12,C6,项目基本情况!C$15:I$15)</f>
        <v>39.35</v>
      </c>
      <c r="G6" s="65">
        <f>IF(ISERROR(ROUND(POWER(1+H6,D6-F6)*(POWER(1+H6,F6)-1)/(POWER(1+H6,D6)-1),3)),0,ROUND(POWER(1+H6,D6-F6)*(POWER(1+H6,F6)-1)/(POWER(1+H6,D6)-1),3))</f>
        <v>0.93500000000000005</v>
      </c>
      <c r="H6" s="732">
        <v>0.05</v>
      </c>
      <c r="I6" s="732">
        <v>5.5E-2</v>
      </c>
      <c r="J6" s="66">
        <v>7.0000000000000007E-2</v>
      </c>
      <c r="K6" s="1030">
        <f>SUMIF('数据-汇总表'!C$19:C$33,A6,'数据-汇总表'!E$19:E$33)</f>
        <v>23949.06</v>
      </c>
      <c r="L6" s="733">
        <v>4500</v>
      </c>
      <c r="M6" s="67">
        <f t="shared" ref="M6:M14" si="0">ROUND(K6*L6/10000,0)</f>
        <v>10777</v>
      </c>
      <c r="N6" s="731">
        <f>ROUND(1-(2024-2018)/60,2)</f>
        <v>0.9</v>
      </c>
      <c r="O6" s="67" t="str">
        <f>IF($N$5="成新度","——",ROUND(M6*N6,0))</f>
        <v>——</v>
      </c>
      <c r="P6" s="68" t="str">
        <f>IF($N$5="成新度","——",M6-O6)</f>
        <v>——</v>
      </c>
      <c r="Q6" s="734">
        <v>0.15</v>
      </c>
      <c r="R6" s="69">
        <f ca="1">SUMIF('数据-汇总表'!C$19:C$33,A6,'数据-汇总表'!R$19:R$27)</f>
        <v>24188.79</v>
      </c>
      <c r="S6" s="51">
        <f>IF('数据-汇总表'!$I$17="按面积比例",SUMIF('数据-汇总表'!C$19:C$33,A6,'数据-汇总表'!K$19:K$33),SUMIF('数据-汇总表'!C$19:C$33,A6,'数据-汇总表'!N$19:N$33))</f>
        <v>3925.46</v>
      </c>
      <c r="T6" s="1172">
        <f>ROUND($L$14*S6/10000,0)</f>
        <v>0</v>
      </c>
      <c r="U6" s="3428">
        <f>W22</f>
        <v>4.4000000000000004</v>
      </c>
      <c r="V6" s="70">
        <v>2.5000000000000001E-2</v>
      </c>
      <c r="W6" s="70">
        <v>0.1</v>
      </c>
      <c r="X6" s="1040"/>
      <c r="Y6" s="71">
        <f>N6</f>
        <v>0.9</v>
      </c>
      <c r="Z6" s="72"/>
      <c r="AA6" s="66"/>
      <c r="AB6" s="66"/>
      <c r="AC6" s="1040"/>
      <c r="AD6" s="73"/>
      <c r="AE6" s="1041">
        <f ca="1">IF(AN6="",0,SUMIF(INDIRECT("'"&amp;AN6&amp;"'"&amp;"!E:E"),$AE$5,INDIRECT("'"&amp;AN6&amp;"'"&amp;"!F:F")))</f>
        <v>39.35</v>
      </c>
      <c r="AF6" s="1348"/>
      <c r="AG6" s="138">
        <f>IF(AF6="",0,AE6-AF6)</f>
        <v>0</v>
      </c>
      <c r="AH6" s="74"/>
      <c r="AI6" s="76">
        <v>365</v>
      </c>
      <c r="AJ6" s="77"/>
      <c r="AK6" s="78">
        <v>1.4999999999999999E-2</v>
      </c>
      <c r="AL6" s="79">
        <v>1.5E-3</v>
      </c>
      <c r="AM6" s="80">
        <v>1.4999999999999999E-2</v>
      </c>
      <c r="AN6" s="1715" t="s">
        <v>3399</v>
      </c>
      <c r="AO6" s="52">
        <f ca="1">SUMIF(INDIRECT("'"&amp;AN6&amp;"'"&amp;"!A:A"),"总价",INDIRECT("'"&amp;AN6&amp;"'"&amp;"!B:B"))</f>
        <v>58586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3925.46</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0.93500000000000005</v>
      </c>
      <c r="H16" s="90">
        <f>ROUND(SUMPRODUCT(H6:H13,K6:K13)/SUMPRODUCT((H6:H13&gt;0)*(K6:K13)),3)</f>
        <v>0.05</v>
      </c>
      <c r="I16" s="91"/>
      <c r="J16" s="91"/>
      <c r="K16" s="92">
        <f>SUM(K6:K15)</f>
        <v>27874.52</v>
      </c>
      <c r="L16" s="93">
        <f>ROUND(M16*10000/SUM(K6:K14),0)</f>
        <v>3866</v>
      </c>
      <c r="M16" s="93">
        <f>SUM(M6:M14)</f>
        <v>10777</v>
      </c>
      <c r="N16" s="94">
        <f>ROUND(SUMPRODUCT(M6:M14,N6:N14)/M16,3)</f>
        <v>0.9</v>
      </c>
      <c r="O16" s="93">
        <f>SUM(O6:O14)</f>
        <v>0</v>
      </c>
      <c r="P16" s="93">
        <f>SUM(P6:P14)</f>
        <v>0</v>
      </c>
      <c r="Q16" s="95">
        <f>ROUND(SUMPRODUCT(Q6:Q13,K6:K13)/SUMPRODUCT((Q6:Q13&gt;0)*(K6:K13)),2)</f>
        <v>0.15</v>
      </c>
      <c r="R16" s="1034">
        <f ca="1">SUM(R6:R13)</f>
        <v>24188.79</v>
      </c>
      <c r="S16" s="96">
        <f>SUM(S6:S13)</f>
        <v>3925.46</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3788" t="s">
        <v>3397</v>
      </c>
      <c r="W18" s="3788" t="s">
        <v>3398</v>
      </c>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3788" t="s">
        <v>3394</v>
      </c>
      <c r="V19" s="2671">
        <v>18441.810000000001</v>
      </c>
      <c r="W19" s="2671">
        <v>5.5</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3788" t="s">
        <v>3395</v>
      </c>
      <c r="V20" s="2671">
        <v>868.72</v>
      </c>
      <c r="W20" s="2671">
        <v>1.5</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3788" t="s">
        <v>3396</v>
      </c>
      <c r="V21" s="2671">
        <v>4638.53</v>
      </c>
      <c r="W21" s="2671">
        <v>500</v>
      </c>
      <c r="X21" s="2671">
        <v>163</v>
      </c>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f>SUM(V19:V21)</f>
        <v>23949.06</v>
      </c>
      <c r="W22" s="2671">
        <f>ROUND((W19*V19*365+W20*V20*365+W21*X21*12)/V22/365,2)</f>
        <v>4.4000000000000004</v>
      </c>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557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36" sqref="C3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27874.52</v>
      </c>
      <c r="C1" s="2686"/>
      <c r="D1" s="2686"/>
      <c r="E1" s="2686"/>
      <c r="F1" s="2686"/>
      <c r="G1" s="2687"/>
      <c r="H1" s="2688"/>
      <c r="I1" s="2688"/>
      <c r="J1" s="2688"/>
      <c r="K1" s="2688"/>
    </row>
    <row r="2" spans="1:11" ht="16.5">
      <c r="A2" s="2512" t="s">
        <v>653</v>
      </c>
      <c r="B2" s="2512">
        <f>SUM(C14:C23)</f>
        <v>24188.79</v>
      </c>
      <c r="C2" s="2686"/>
      <c r="D2" s="2686"/>
      <c r="E2" s="2686"/>
      <c r="F2" s="2686"/>
      <c r="G2" s="2687"/>
      <c r="H2" s="2688"/>
      <c r="I2" s="2688"/>
      <c r="J2" s="2688"/>
      <c r="K2" s="2688"/>
    </row>
    <row r="3" spans="1:11" ht="16.5">
      <c r="A3" s="2512" t="s">
        <v>662</v>
      </c>
      <c r="B3" s="2514">
        <f>项目基本情况!D3</f>
        <v>45389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52566</v>
      </c>
      <c r="C5" s="2512">
        <f ca="1">IF(B5=D14,结果表!H102,ROUND(B5*10000/$B$1,0))</f>
        <v>18858</v>
      </c>
      <c r="D5" s="2512">
        <f ca="1">ROUND(B5*10000/$B$2,0)</f>
        <v>21732</v>
      </c>
      <c r="E5" s="2686"/>
      <c r="F5" s="2687"/>
      <c r="G5" s="2687"/>
      <c r="H5" s="2688"/>
      <c r="I5" s="2688"/>
      <c r="J5" s="2688"/>
      <c r="K5" s="2688"/>
    </row>
    <row r="6" spans="1:11" ht="16.5">
      <c r="A6" s="2512" t="s">
        <v>656</v>
      </c>
      <c r="B6" s="2512">
        <f ca="1">SUM(G14:G23)</f>
        <v>52566</v>
      </c>
      <c r="C6" s="2512">
        <f ca="1">IF(B6=G14,结果表!H108,ROUND(B6*10000/$B$1,0))</f>
        <v>18858</v>
      </c>
      <c r="D6" s="2512">
        <f ca="1">ROUND(B6*10000/$B$2,0)</f>
        <v>21732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27874.52</v>
      </c>
      <c r="C14" s="2518">
        <f>结果表!C118</f>
        <v>24188.79</v>
      </c>
      <c r="D14" s="2518">
        <f ca="1">结果表!H118</f>
        <v>52566</v>
      </c>
      <c r="E14" s="2518">
        <f ca="1">ROUND(D14*10000/B14,0)</f>
        <v>18858</v>
      </c>
      <c r="F14" s="2518">
        <f ca="1">ROUND(D14*10000/C14,0)</f>
        <v>21732</v>
      </c>
      <c r="G14" s="2518">
        <f ca="1">结果表!D122</f>
        <v>52566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5" zoomScale="70" zoomScaleNormal="100" zoomScaleSheetLayoutView="70" zoomScalePageLayoutView="80" workbookViewId="0">
      <selection activeCell="J24" sqref="J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北京市房地产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t="s">
        <v>3419</v>
      </c>
      <c r="D4" s="1756" t="s">
        <v>3399</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v>5</v>
      </c>
      <c r="D14" s="3575">
        <v>5</v>
      </c>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2" t="s">
        <v>2131</v>
      </c>
      <c r="F18" s="3563"/>
      <c r="G18" s="3563"/>
      <c r="H18" s="3563"/>
      <c r="I18" s="3563"/>
      <c r="J18" s="725" t="s">
        <v>3422</v>
      </c>
      <c r="K18" s="302" t="s">
        <v>1289</v>
      </c>
      <c r="L18" s="302">
        <f>IF(C1="",'数据-汇总表'!E3,SUMIF(项目类型,C1,'数据-汇总表'!E17:E26)+SUMIF(项目类型,C1,'数据-汇总表'!I17:I26))</f>
        <v>27874.52</v>
      </c>
      <c r="M18" s="302">
        <f>IF(C1="",'数据-汇总表'!E3,SUMIF(项目类型,C1,'数据-汇总表'!E17:E26))</f>
        <v>27874.52</v>
      </c>
    </row>
    <row r="19" spans="1:36" ht="15">
      <c r="A19" s="1761" t="s">
        <v>1290</v>
      </c>
      <c r="B19" s="1762" t="s">
        <v>1291</v>
      </c>
      <c r="C19" s="134">
        <f ca="1">SUMIF(INDIRECT("'"&amp;C4&amp;"'"&amp;"!A:A"),结果表!B19,INDIRECT("'"&amp;C4&amp;"'"&amp;"!B:B"))</f>
        <v>46546</v>
      </c>
      <c r="D19" s="135">
        <f ca="1">SUMIF(INDIRECT("'"&amp;D4&amp;"'"&amp;"!A:A"),结果表!B19,INDIRECT("'"&amp;D4&amp;"'"&amp;"!B:B"))</f>
        <v>58586</v>
      </c>
      <c r="E19" s="1761" t="s">
        <v>1292</v>
      </c>
      <c r="F19" s="1762" t="s">
        <v>1291</v>
      </c>
      <c r="G19" s="136">
        <f ca="1">ROUND(C19*$C$18+D19*$D$18,0)</f>
        <v>52566</v>
      </c>
      <c r="H19" s="1763" t="s">
        <v>1293</v>
      </c>
      <c r="I19" s="129"/>
      <c r="J19" s="725">
        <v>70853</v>
      </c>
      <c r="K19" s="302" t="s">
        <v>1294</v>
      </c>
      <c r="L19" s="302">
        <f>IF(C1="",'数据-汇总表'!D3,SUMIF(项目类型,C1,'数据-汇总表'!D17:D26)+SUMIF(项目类型,C1,'数据-汇总表'!H17:H27))</f>
        <v>24188.79</v>
      </c>
      <c r="M19" s="302">
        <f>IF(C1="",'数据-汇总表'!D3,SUMIF(项目类型,C1,'数据-汇总表'!D17:D26))</f>
        <v>24188.79</v>
      </c>
    </row>
    <row r="20" spans="1:36" ht="15">
      <c r="A20" s="1764"/>
      <c r="B20" s="1026" t="s">
        <v>1295</v>
      </c>
      <c r="C20" s="137">
        <f ca="1">SUMIF(INDIRECT("'"&amp;C4&amp;"'"&amp;"!A:A"),结果表!B20,INDIRECT("'"&amp;C4&amp;"'"&amp;"!B:B"))</f>
        <v>16698</v>
      </c>
      <c r="D20" s="138">
        <f ca="1">SUMIF(INDIRECT("'"&amp;D4&amp;"'"&amp;"!A:A"),结果表!B20,INDIRECT("'"&amp;D4&amp;"'"&amp;"!B:B"))</f>
        <v>24463</v>
      </c>
      <c r="E20" s="1764"/>
      <c r="F20" s="1026" t="s">
        <v>1295</v>
      </c>
      <c r="G20" s="139">
        <f ca="1">ROUND(C20*$C$18+D20*$D$18,0)</f>
        <v>20581</v>
      </c>
      <c r="H20" s="808" t="s">
        <v>1296</v>
      </c>
      <c r="I20" s="129"/>
    </row>
    <row r="21" spans="1:36" ht="15" customHeight="1" thickBot="1">
      <c r="A21" s="828"/>
      <c r="B21" s="1765" t="s">
        <v>1297</v>
      </c>
      <c r="C21" s="719">
        <f ca="1">ROUND(C19*10000/L19,0)</f>
        <v>19243</v>
      </c>
      <c r="D21" s="720">
        <f ca="1">ROUND(D19*10000/L19,0)</f>
        <v>24220</v>
      </c>
      <c r="E21" s="828"/>
      <c r="F21" s="1765" t="s">
        <v>1297</v>
      </c>
      <c r="G21" s="140">
        <f ca="1">ROUND(G19*10000/L19,0)</f>
        <v>21732</v>
      </c>
      <c r="H21" s="1766" t="s">
        <v>1296</v>
      </c>
      <c r="I21" s="129"/>
    </row>
    <row r="22" spans="1:36" ht="15" thickBot="1">
      <c r="A22" s="1688" t="s">
        <v>1298</v>
      </c>
      <c r="B22" s="1767"/>
      <c r="C22" s="1768"/>
      <c r="D22" s="721">
        <f ca="1">IF(C19&lt;D19,D19/C19-1,C19/D19-1)</f>
        <v>0.25866884372448751</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52566</v>
      </c>
      <c r="D32" s="1775" t="s">
        <v>3420</v>
      </c>
      <c r="E32" s="129"/>
      <c r="F32" s="129"/>
      <c r="G32" s="129"/>
      <c r="H32" s="129"/>
      <c r="I32" s="129"/>
    </row>
    <row r="33" spans="1:15" ht="15">
      <c r="A33" s="786" t="s">
        <v>1306</v>
      </c>
      <c r="B33" s="1776"/>
      <c r="C33" s="1777" t="s">
        <v>3421</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f ca="1">ROUND(H101*F45,0)</f>
        <v>52566</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45389</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2" t="s">
        <v>1340</v>
      </c>
      <c r="L48" s="3602"/>
      <c r="M48" s="3624">
        <f ca="1">H101</f>
        <v>52566</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房地产抵押价值</v>
      </c>
      <c r="L49" s="3602"/>
      <c r="M49" s="3624">
        <f ca="1">IF(项目基本情况!E8="房地产抵押价值",H107,H109)</f>
        <v>52566</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45"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f ca="1">ROUND(D45*'数据-取费表'!B41/(1+'数据-取费表'!C42),0)</f>
        <v>2804</v>
      </c>
      <c r="E52" s="2334" t="s">
        <v>1354</v>
      </c>
      <c r="F52" s="2554">
        <f>'数据-取费表'!B41</f>
        <v>5.6000000000000001E-2</v>
      </c>
      <c r="G52" s="2555"/>
      <c r="H52" s="2544"/>
      <c r="I52" s="1807"/>
      <c r="J52" s="2523">
        <v>1</v>
      </c>
      <c r="K52" s="3603" t="s">
        <v>1355</v>
      </c>
      <c r="L52" s="3603"/>
      <c r="M52" s="2525" t="b">
        <f>D48</f>
        <v>0</v>
      </c>
      <c r="N52" s="2523" t="str">
        <f>E48</f>
        <v>销售额×税（费）率</v>
      </c>
      <c r="O52" s="2526">
        <f>F48</f>
        <v>5.6000000000000001E-2</v>
      </c>
    </row>
    <row r="53" spans="1:35" ht="12" customHeight="1">
      <c r="A53" s="2335" t="s">
        <v>1356</v>
      </c>
      <c r="B53" s="3564" t="s">
        <v>2291</v>
      </c>
      <c r="C53" s="3565"/>
      <c r="D53" s="1087">
        <f ca="1">ROUND(D45*'数据-取费表'!B41/(1+'数据-取费表'!C42),0)</f>
        <v>2804</v>
      </c>
      <c r="E53" s="2334" t="s">
        <v>1354</v>
      </c>
      <c r="F53" s="2554">
        <f>'数据-取费表'!B41</f>
        <v>5.6000000000000001E-2</v>
      </c>
      <c r="G53" s="2555"/>
      <c r="H53" s="2544"/>
      <c r="I53" s="1807"/>
      <c r="J53" s="2523">
        <v>2</v>
      </c>
      <c r="K53" s="3603" t="s">
        <v>1357</v>
      </c>
      <c r="L53" s="3603"/>
      <c r="M53" s="2525">
        <f t="shared" ref="M53:O54" ca="1" si="0">D55</f>
        <v>26</v>
      </c>
      <c r="N53" s="2523" t="str">
        <f t="shared" si="0"/>
        <v>销售额×税（费）率</v>
      </c>
      <c r="O53" s="2526" t="str">
        <f t="shared" si="0"/>
        <v>免征</v>
      </c>
    </row>
    <row r="54" spans="1:35" ht="12" customHeight="1">
      <c r="A54" s="2335" t="s">
        <v>1358</v>
      </c>
      <c r="B54" s="3564" t="s">
        <v>2292</v>
      </c>
      <c r="C54" s="3565"/>
      <c r="D54" s="1087">
        <f ca="1">C68</f>
        <v>2804</v>
      </c>
      <c r="E54" s="327" t="s">
        <v>1359</v>
      </c>
      <c r="F54" s="2554">
        <f>'数据-取费表'!B41</f>
        <v>5.6000000000000001E-2</v>
      </c>
      <c r="G54" s="2555"/>
      <c r="H54" s="2556"/>
      <c r="I54" s="1807"/>
      <c r="J54" s="2523">
        <v>3</v>
      </c>
      <c r="K54" s="3603" t="s">
        <v>1360</v>
      </c>
      <c r="L54" s="3603"/>
      <c r="M54" s="2525">
        <f t="shared" ca="1" si="0"/>
        <v>29753</v>
      </c>
      <c r="N54" s="2523" t="str">
        <f t="shared" si="0"/>
        <v>增值额×税（费）率</v>
      </c>
      <c r="O54" s="2527" t="str">
        <f t="shared" si="0"/>
        <v>免征</v>
      </c>
    </row>
    <row r="55" spans="1:35" ht="24" customHeight="1">
      <c r="A55" s="3553" t="s">
        <v>1361</v>
      </c>
      <c r="B55" s="3554"/>
      <c r="C55" s="3554"/>
      <c r="D55" s="2324">
        <f ca="1">IF(H55="个人住宅",0,ROUND(D45*I55,0))</f>
        <v>26</v>
      </c>
      <c r="E55" s="2334" t="s">
        <v>1362</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f ca="1">D59</f>
        <v>501</v>
      </c>
      <c r="N55" s="2040" t="str">
        <f>E59</f>
        <v>差额计税</v>
      </c>
      <c r="O55" s="2529">
        <f>F59</f>
        <v>0.01</v>
      </c>
    </row>
    <row r="56" spans="1:35" ht="24.75">
      <c r="A56" s="3553" t="s">
        <v>1363</v>
      </c>
      <c r="B56" s="3554"/>
      <c r="C56" s="3554"/>
      <c r="D56" s="2324">
        <f ca="1">IF(H56="个人住宅",D57,D58)</f>
        <v>29753</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30280</v>
      </c>
      <c r="O57" s="2533"/>
      <c r="P57" s="2690">
        <f ca="1">N57/M49</f>
        <v>0.57603774302781263</v>
      </c>
    </row>
    <row r="58" spans="1:35" ht="24.75">
      <c r="A58" s="2335" t="s">
        <v>1352</v>
      </c>
      <c r="B58" s="3564" t="s">
        <v>1369</v>
      </c>
      <c r="C58" s="3538"/>
      <c r="D58" s="2324">
        <f ca="1">IF(H58="转让取得",C81,C97)</f>
        <v>29753</v>
      </c>
      <c r="E58" s="2334" t="s">
        <v>1364</v>
      </c>
      <c r="F58" s="302" t="s">
        <v>28</v>
      </c>
      <c r="G58" s="2555"/>
      <c r="H58" s="2558"/>
      <c r="I58" s="1808"/>
      <c r="J58" s="3603"/>
      <c r="K58" s="3603"/>
      <c r="L58" s="2530" t="s">
        <v>1370</v>
      </c>
      <c r="M58" s="2534"/>
      <c r="N58" s="2535" t="str">
        <f ca="1">NUMBERSTRING(INT(N57*10000),2)&amp;"元整"</f>
        <v>叁亿零贰佰捌拾万元整</v>
      </c>
      <c r="O58" s="2536"/>
    </row>
    <row r="59" spans="1:35" ht="24.75" thickBot="1">
      <c r="A59" s="3606" t="s">
        <v>1371</v>
      </c>
      <c r="B59" s="3607"/>
      <c r="C59" s="3607"/>
      <c r="D59" s="2560">
        <f ca="1">IF(H59="非个人房产","——",IF(H59="个人住宅（满五唯一有凭证）",0,IF(H59="个人其他（无凭证）",ROUND(D45*F59,0),ROUND(C67*F59,0))))</f>
        <v>501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3" t="s">
        <v>1372</v>
      </c>
      <c r="L59" s="2523" t="s">
        <v>1368</v>
      </c>
      <c r="M59" s="2537"/>
      <c r="N59" s="2538">
        <f ca="1">M49-N57</f>
        <v>22286</v>
      </c>
      <c r="O59" s="2539"/>
    </row>
    <row r="60" spans="1:35" ht="12" customHeight="1">
      <c r="A60" s="1809"/>
      <c r="B60" s="1747"/>
      <c r="C60" s="1747"/>
      <c r="D60" s="1747"/>
      <c r="E60" s="1578"/>
      <c r="F60" s="1808"/>
      <c r="G60" s="1808"/>
      <c r="H60" s="1810"/>
      <c r="I60" s="129"/>
      <c r="J60" s="3605"/>
      <c r="K60" s="3603"/>
      <c r="L60" s="2530" t="s">
        <v>1370</v>
      </c>
      <c r="M60" s="2534"/>
      <c r="N60" s="2535" t="str">
        <f ca="1">NUMBERSTRING(INT(N59*10000),2)&amp;"元整"</f>
        <v>贰亿贰仟贰佰捌拾陆万元整</v>
      </c>
      <c r="O60" s="2536"/>
    </row>
    <row r="61" spans="1:35" ht="13.5" thickBot="1">
      <c r="A61" s="3551" t="s">
        <v>1373</v>
      </c>
      <c r="B61" s="3551"/>
      <c r="C61" s="3551"/>
      <c r="D61" s="3551"/>
      <c r="E61" s="3551"/>
      <c r="F61" s="1808"/>
      <c r="G61" s="1808"/>
      <c r="H61" s="1810"/>
      <c r="I61" s="129"/>
      <c r="J61" s="2523">
        <f>J59+1</f>
        <v>7</v>
      </c>
      <c r="K61" s="3603" t="s">
        <v>1374</v>
      </c>
      <c r="L61" s="3603"/>
      <c r="M61" s="2540"/>
      <c r="N61" s="2541">
        <f ca="1">ROUND(N59*10000/'数据-汇总表'!E3,0)</f>
        <v>7995</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f ca="1">ROUND((C64+C65)/(1+'数据-取费表'!C42),0)</f>
        <v>50063</v>
      </c>
      <c r="D63" s="167"/>
      <c r="E63" s="168"/>
      <c r="F63" s="1808"/>
      <c r="G63" s="1808"/>
      <c r="H63" s="1810"/>
      <c r="I63" s="129"/>
      <c r="J63" s="3628" t="s">
        <v>1379</v>
      </c>
      <c r="K63" s="1332" t="s">
        <v>1380</v>
      </c>
      <c r="L63" s="1332">
        <f ca="1">IF(M49&gt;10000,M49*0.5%,IF(AND(M49&gt;1000,M49&lt;=10000),M49*1%,IF(AND(M49&gt;100,M49&lt;=1000),M49*3%,IF(AND(M49&gt;10,M49&lt;=100),M49*5%,M49*8%))))</f>
        <v>262.83</v>
      </c>
      <c r="M63" s="302">
        <f ca="1">ROUND(L63,1)</f>
        <v>262.8</v>
      </c>
      <c r="N63" s="2543"/>
      <c r="Z63" s="1752"/>
      <c r="AI63" s="1753"/>
    </row>
    <row r="64" spans="1:35" ht="14.25" customHeight="1">
      <c r="A64" s="169" t="s">
        <v>325</v>
      </c>
      <c r="B64" s="170" t="s">
        <v>1381</v>
      </c>
      <c r="C64" s="2565">
        <f ca="1">D45</f>
        <v>52566</v>
      </c>
      <c r="D64" s="170" t="s">
        <v>26</v>
      </c>
      <c r="E64" s="172"/>
      <c r="F64" s="1808"/>
      <c r="G64" s="1808"/>
      <c r="H64" s="1810"/>
      <c r="I64" s="129"/>
      <c r="J64" s="3628"/>
      <c r="K64" s="1332" t="s">
        <v>1382</v>
      </c>
      <c r="L64" s="1332">
        <f ca="1">IF(M49&gt;2000,M49*0.5%,IF(AND(M49&gt;1000,M49&lt;=2000),M49*0.6%,IF(AND(M49&gt;500,M49&lt;=1000),M49*0.7%,IF(AND(M49&gt;200,M49&lt;=500),M49*0.8%,IF(AND(M49&gt;100,M49&lt;=200),M49*0.9%,IF(AND(M49&gt;50,M49&lt;=100),M49*1%,IF(AND(M49&gt;20,M49&lt;=50),M49*1.5%,IF(AND(M49&gt;10,M49&lt;=20),M49*2%,IF(AND(M49&gt;1,M49&lt;=10),M49*2.5%)))))))))</f>
        <v>262.83</v>
      </c>
      <c r="M64" s="302">
        <f t="shared" ref="M64:M65" ca="1" si="1">ROUND(L64,1)</f>
        <v>262.8</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f ca="1">IF(M49&gt;1000,M49*0.1%,IF(AND(M49&gt;500,M49&lt;=1000),M49*0.5%,IF(AND(M49&gt;50,M49&lt;=500),M49*1%,IF(AND(M49&gt;1,M49&lt;=50),M49*1.5%))))</f>
        <v>52.566000000000003</v>
      </c>
      <c r="M65" s="302">
        <f t="shared" ca="1" si="1"/>
        <v>52.6</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f ca="1">M49*0.5%</f>
        <v>262.83</v>
      </c>
      <c r="M66" s="302">
        <f ca="1">IF(L66&gt;0.5,0.5,ROUND(L66,0))</f>
        <v>0.5</v>
      </c>
      <c r="N66" s="2544" t="s">
        <v>1388</v>
      </c>
      <c r="Z66" s="1752"/>
      <c r="AI66" s="1753"/>
    </row>
    <row r="67" spans="1:35" ht="14.25" customHeight="1">
      <c r="A67" s="173" t="s">
        <v>328</v>
      </c>
      <c r="B67" s="174" t="s">
        <v>1389</v>
      </c>
      <c r="C67" s="2568">
        <f ca="1">C63-C66</f>
        <v>50063</v>
      </c>
      <c r="D67" s="170" t="s">
        <v>26</v>
      </c>
      <c r="E67" s="172"/>
      <c r="F67" s="1808"/>
      <c r="G67" s="1808"/>
      <c r="H67" s="1810"/>
      <c r="I67" s="129"/>
      <c r="J67" s="3628"/>
      <c r="K67" s="1332" t="s">
        <v>1390</v>
      </c>
      <c r="L67" s="1332">
        <f ca="1">IF(M49&gt;=10000,(8.25+(M49-10000)*0.01%),IF(AND(M49&gt;=8000,M49&lt;10000),(7.85+(M49-8000)*0.02%),IF(AND(M49&gt;=5000,M49&lt;8000),(6.65+(M49-5000)*0.04%),IF(AND(M49&gt;=2000,M49&lt;5000),(4.25+(PM49-2000)*0.08%),IF(AND(M49&gt;=1000,M49&lt;2000),(2.75+(M49-1000)*0.15%),IF(AND(M49&gt;=100,M49&lt;1000),(0.5+(M49-100)*0.25%),IF(AND(M49&gt;0,M49&lt;100),M49*0.5%)))))))</f>
        <v>12.506600000000001</v>
      </c>
      <c r="M67" s="302">
        <f ca="1">ROUND(L67*0.9,1)</f>
        <v>11.3</v>
      </c>
      <c r="N67" s="2543"/>
      <c r="Z67" s="1752"/>
      <c r="AI67" s="1753"/>
    </row>
    <row r="68" spans="1:35" ht="14.25" customHeight="1" thickBot="1">
      <c r="A68" s="176" t="s">
        <v>329</v>
      </c>
      <c r="B68" s="177" t="s">
        <v>1391</v>
      </c>
      <c r="C68" s="2569">
        <f ca="1">IF(C67&lt;=0,0,ROUND(C67*D68,0))</f>
        <v>2804</v>
      </c>
      <c r="D68" s="2570">
        <f>'数据-取费表'!B41</f>
        <v>5.6000000000000001E-2</v>
      </c>
      <c r="E68" s="178"/>
      <c r="F68" s="1808"/>
      <c r="G68" s="1808"/>
      <c r="H68" s="1810"/>
      <c r="I68" s="129"/>
      <c r="J68" s="3628"/>
      <c r="K68" s="1332" t="s">
        <v>1392</v>
      </c>
      <c r="L68" s="1332">
        <f ca="1">IF(M49&gt;10000,M49*0.5%,IF(AND(M49&gt;5000,M49&lt;=10000),M49*1%,IF(AND(M49&gt;1000,M49&lt;=5000),M49*2%,IF(AND(M49&gt;200,M49&lt;=1000),M49*3%,M49*5%))))</f>
        <v>262.83</v>
      </c>
      <c r="M68" s="302">
        <f ca="1">ROUND(L68,1)</f>
        <v>262.8</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f ca="1">ROUND(SUM(M63:M68),0)</f>
        <v>853</v>
      </c>
      <c r="N69" s="2545">
        <f ca="1">M69/M49</f>
        <v>1.6227219115017313E-2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50063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300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300</v>
      </c>
      <c r="D78" s="2577">
        <f>'数据-取费表'!B43</f>
        <v>6.000000000000001E-3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49763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165.87666666666667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29753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50063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300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300</v>
      </c>
      <c r="D93" s="2577">
        <f>'数据-取费表'!B43</f>
        <v>6.000000000000001E-3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49763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165.87666666666667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29753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t="str">
        <f>C4</f>
        <v>成本法</v>
      </c>
      <c r="D101" s="2586" t="str">
        <f>D4</f>
        <v>收益法</v>
      </c>
      <c r="E101" s="3625" t="s">
        <v>1431</v>
      </c>
      <c r="F101" s="3582"/>
      <c r="G101" s="1827" t="s">
        <v>1432</v>
      </c>
      <c r="H101" s="2595">
        <f ca="1">H118</f>
        <v>52566</v>
      </c>
      <c r="I101" s="129"/>
    </row>
    <row r="102" spans="1:35" ht="18.75" customHeight="1">
      <c r="A102" s="3584" t="s">
        <v>1433</v>
      </c>
      <c r="B102" s="2584" t="s">
        <v>1432</v>
      </c>
      <c r="C102" s="2585">
        <f ca="1">IF(D32="楼面单价",ROUND(C19,0),C19)</f>
        <v>46546</v>
      </c>
      <c r="D102" s="2586">
        <f ca="1">IF(D32="楼面单价",ROUND(D19,0),D19)</f>
        <v>58586</v>
      </c>
      <c r="E102" s="3625"/>
      <c r="F102" s="3582"/>
      <c r="G102" s="1827" t="s">
        <v>1434</v>
      </c>
      <c r="H102" s="2555">
        <f ca="1">I118</f>
        <v>18858</v>
      </c>
      <c r="I102" s="129"/>
    </row>
    <row r="103" spans="1:35" ht="42.75" customHeight="1">
      <c r="A103" s="3584"/>
      <c r="B103" s="2584" t="s">
        <v>1434</v>
      </c>
      <c r="C103" s="2587">
        <f ca="1">C20</f>
        <v>16698</v>
      </c>
      <c r="D103" s="2588">
        <f ca="1">D20</f>
        <v>24463</v>
      </c>
      <c r="E103" s="3619" t="s">
        <v>1435</v>
      </c>
      <c r="F103" s="3620"/>
      <c r="G103" s="1828" t="s">
        <v>1436</v>
      </c>
      <c r="H103" s="2595">
        <f>IF(D36="正常操作",H104+H105+H106,H105+H106)</f>
        <v>0</v>
      </c>
      <c r="I103" s="129"/>
    </row>
    <row r="104" spans="1:35" ht="18.75" customHeight="1">
      <c r="A104" s="3584" t="s">
        <v>1437</v>
      </c>
      <c r="B104" s="2589" t="s">
        <v>1432</v>
      </c>
      <c r="C104" s="2590">
        <f ca="1">H118</f>
        <v>52566</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f ca="1">I118</f>
        <v>18858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f ca="1">IF(E107="——","——",H101-H103)</f>
        <v>52566</v>
      </c>
      <c r="I107" s="129"/>
    </row>
    <row r="108" spans="1:35" ht="18.75" customHeight="1">
      <c r="A108" s="129"/>
      <c r="B108" s="129"/>
      <c r="C108" s="129"/>
      <c r="D108" s="129"/>
      <c r="E108" s="3581"/>
      <c r="F108" s="3582"/>
      <c r="G108" s="1827" t="s">
        <v>1434</v>
      </c>
      <c r="H108" s="2555">
        <f ca="1">IF(H107=H101,H102,ROUND(H107*10000/'数据-汇总表'!E3,0))</f>
        <v>18858</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27874.52</v>
      </c>
      <c r="C118" s="2329">
        <f>M19</f>
        <v>24188.79</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52566</v>
      </c>
      <c r="I118" s="2329">
        <f ca="1">ROUND(IF(D32="楼面单价",C32,H118*10000/B118),0)</f>
        <v>18858</v>
      </c>
    </row>
    <row r="119" spans="1:27" ht="18.75" customHeight="1">
      <c r="A119" s="3552" t="s">
        <v>1452</v>
      </c>
      <c r="B119" s="3552"/>
      <c r="C119" s="3552"/>
      <c r="D119" s="3592" t="str">
        <f>NUMBERSTRING(INT(D118*10000),2)&amp;"元整"</f>
        <v>零元整</v>
      </c>
      <c r="E119" s="3594"/>
      <c r="F119" s="3592" t="str">
        <f>NUMBERSTRING(INT(F118*10000),2)&amp;"元整"</f>
        <v>零元整</v>
      </c>
      <c r="G119" s="3594"/>
      <c r="H119" s="3592" t="str">
        <f ca="1">NUMBERSTRING(INT(H118*10000),2)&amp;"元整"</f>
        <v>伍亿贰仟伍佰陆拾陆万元整</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f ca="1">H107</f>
        <v>52566</v>
      </c>
      <c r="E122" s="3617"/>
      <c r="F122" s="3617"/>
      <c r="G122" s="3617"/>
      <c r="H122" s="3617"/>
      <c r="I122" s="3618"/>
      <c r="AA122" s="725"/>
    </row>
    <row r="123" spans="1:27" ht="18.75" customHeight="1">
      <c r="A123" s="3552" t="s">
        <v>1452</v>
      </c>
      <c r="B123" s="3552"/>
      <c r="C123" s="3552"/>
      <c r="D123" s="3592" t="str">
        <f ca="1">NUMBERSTRING(INT(D122*10000),2)&amp;"元整"</f>
        <v>伍亿贰仟伍佰陆拾陆万元整</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68" sqref="G6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46546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16698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24207</v>
      </c>
      <c r="D5" s="211" t="s">
        <v>1469</v>
      </c>
      <c r="E5" s="212" t="s">
        <v>1470</v>
      </c>
      <c r="F5" s="212" t="s">
        <v>1471</v>
      </c>
      <c r="G5" s="213"/>
    </row>
    <row r="6" spans="1:9" s="214" customFormat="1" ht="13.5" customHeight="1">
      <c r="A6" s="778" t="s">
        <v>1472</v>
      </c>
      <c r="B6" s="215" t="s">
        <v>1473</v>
      </c>
      <c r="C6" s="216">
        <f>基准地价修正!B2</f>
        <v>22950</v>
      </c>
      <c r="D6" s="217"/>
      <c r="E6" s="218"/>
      <c r="F6" s="218"/>
      <c r="G6" s="219"/>
    </row>
    <row r="7" spans="1:9" s="214" customFormat="1" ht="13.5" customHeight="1">
      <c r="A7" s="778" t="s">
        <v>1474</v>
      </c>
      <c r="B7" s="215" t="s">
        <v>1475</v>
      </c>
      <c r="C7" s="220">
        <f>ROUND(C6*F7,0)</f>
        <v>700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557</v>
      </c>
      <c r="D8" s="222"/>
      <c r="E8" s="220"/>
      <c r="F8" s="221"/>
      <c r="G8" s="1856" t="s">
        <v>3416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3417</v>
      </c>
      <c r="H9" s="1137"/>
      <c r="I9" s="1858" t="s">
        <v>1479</v>
      </c>
    </row>
    <row r="10" spans="1:9" s="214" customFormat="1" ht="13.5" customHeight="1">
      <c r="A10" s="779" t="s">
        <v>356</v>
      </c>
      <c r="B10" s="224" t="s">
        <v>1480</v>
      </c>
      <c r="C10" s="225">
        <f ca="1">ROUND(D10*E10/10000,0)</f>
        <v>557</v>
      </c>
      <c r="D10" s="845">
        <f ca="1">IF(B1="",'数据-汇总表'!E6,IF(INDIRECT("'数据-取费表'!c"&amp;$G$1)="住宅",INDIRECT("'数据-取费表'!s"&amp;$G$1),INDIRECT("'数据-取费表'!k"&amp;$G$1)+INDIRECT("'数据-取费表'!s"&amp;$G$1)))</f>
        <v>27874.52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27874.52</v>
      </c>
      <c r="E19" s="211">
        <f>'数据-取费表'!B31</f>
        <v>200</v>
      </c>
      <c r="F19" s="231"/>
      <c r="G19" s="1856" t="s">
        <v>3418</v>
      </c>
    </row>
    <row r="20" spans="1:7" s="214" customFormat="1" ht="13.5" customHeight="1">
      <c r="A20" s="255" t="s">
        <v>1493</v>
      </c>
      <c r="B20" s="210" t="s">
        <v>1494</v>
      </c>
      <c r="C20" s="232">
        <f ca="1">ROUND((C5+C19)*F20,0)</f>
        <v>484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1716</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1699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17</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3704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3704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32623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11819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10777</v>
      </c>
      <c r="D34" s="217"/>
      <c r="E34" s="220"/>
      <c r="F34" s="257">
        <f ca="1">IF('数据-取费表'!B24=0,1,IF(B1="",'数据-取费表'!N16,INDIRECT("'数据-取费表'!n"&amp;$G$1)))</f>
        <v>1</v>
      </c>
      <c r="G34" s="219" t="s">
        <v>1526</v>
      </c>
    </row>
    <row r="35" spans="1:7" ht="13.5" customHeight="1">
      <c r="A35" s="780" t="s">
        <v>351</v>
      </c>
      <c r="B35" s="215" t="s">
        <v>1527</v>
      </c>
      <c r="C35" s="220">
        <f ca="1">ROUND(C34*F35,0)</f>
        <v>323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557</v>
      </c>
      <c r="D37" s="217">
        <f ca="1">D19</f>
        <v>27874.52</v>
      </c>
      <c r="E37" s="249">
        <f>'数据-取费表'!B35</f>
        <v>200</v>
      </c>
      <c r="F37" s="259"/>
      <c r="G37" s="261" t="s">
        <v>1532</v>
      </c>
    </row>
    <row r="38" spans="1:7" ht="13.5" customHeight="1">
      <c r="A38" s="780" t="s">
        <v>354</v>
      </c>
      <c r="B38" s="215" t="s">
        <v>1533</v>
      </c>
      <c r="C38" s="220">
        <f ca="1">ROUND(C34*F38,0)</f>
        <v>162</v>
      </c>
      <c r="D38" s="220"/>
      <c r="E38" s="220"/>
      <c r="F38" s="259">
        <f>'数据-取费表'!B36</f>
        <v>1.4999999999999999E-2</v>
      </c>
      <c r="G38" s="219" t="s">
        <v>1528</v>
      </c>
    </row>
    <row r="39" spans="1:7" s="214" customFormat="1" ht="13.5" customHeight="1">
      <c r="A39" s="255" t="s">
        <v>1534</v>
      </c>
      <c r="B39" s="210" t="s">
        <v>1535</v>
      </c>
      <c r="C39" s="232">
        <f ca="1">ROUND(C33*F20,0)</f>
        <v>236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416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408</v>
      </c>
      <c r="D42" s="238"/>
      <c r="E42" s="238"/>
      <c r="F42" s="239"/>
      <c r="G42" s="3632" t="s">
        <v>1544</v>
      </c>
    </row>
    <row r="43" spans="1:7" ht="13.5" customHeight="1">
      <c r="A43" s="780" t="s">
        <v>347</v>
      </c>
      <c r="B43" s="215" t="s">
        <v>1545</v>
      </c>
      <c r="C43" s="238">
        <f ca="1">ROUND(IF('数据-取费表'!B22&lt;=1,C39*F22*'数据-取费表'!B21/2,C39*(POWER((1+F22),'数据-取费表'!B21/2)-1)),0)</f>
        <v>8</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1808</v>
      </c>
      <c r="D45" s="235">
        <f ca="1">C47</f>
        <v>3.0000000000000001E-3</v>
      </c>
      <c r="E45" s="236" t="s">
        <v>1539</v>
      </c>
      <c r="F45" s="246">
        <f ca="1">F27</f>
        <v>0.15</v>
      </c>
      <c r="G45" s="247" t="s">
        <v>1548</v>
      </c>
    </row>
    <row r="46" spans="1:7" s="214" customFormat="1" ht="13.5" customHeight="1">
      <c r="A46" s="780" t="s">
        <v>346</v>
      </c>
      <c r="B46" s="248" t="s">
        <v>1549</v>
      </c>
      <c r="C46" s="249">
        <f ca="1">ROUND((C33+C39)*F27,0)</f>
        <v>1808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15470</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13923</v>
      </c>
      <c r="D51" s="232"/>
      <c r="E51" s="232"/>
      <c r="F51" s="264"/>
      <c r="G51" s="234" t="s">
        <v>1560</v>
      </c>
    </row>
    <row r="52" spans="1:7" s="208" customFormat="1" ht="16.5" thickBot="1">
      <c r="A52" s="265" t="s">
        <v>1561</v>
      </c>
      <c r="B52" s="266"/>
      <c r="C52" s="267">
        <f ca="1">C31+C51</f>
        <v>46546</v>
      </c>
      <c r="D52" s="266"/>
      <c r="E52" s="266"/>
      <c r="F52" s="266"/>
      <c r="G52" s="268"/>
    </row>
    <row r="55" spans="1:7" ht="15">
      <c r="B55" s="270" t="s">
        <v>1562</v>
      </c>
      <c r="C55" s="271"/>
    </row>
    <row r="56" spans="1:7">
      <c r="B56" s="273" t="s">
        <v>802</v>
      </c>
      <c r="C56" s="275">
        <f ca="1">1-C57</f>
        <v>0.70100000000000007</v>
      </c>
    </row>
    <row r="57" spans="1:7">
      <c r="B57" s="273" t="s">
        <v>803</v>
      </c>
      <c r="C57" s="274">
        <f ca="1">ROUND(C51/C52,3)</f>
        <v>0.29899999999999999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15427.0023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5534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5574904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5574904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5574904</v>
      </c>
      <c r="D10" s="845">
        <f ca="1">IF(B1="",'数据-汇总表'!E6,IF(INDIRECT("'数据-取费表'!c"&amp;$G$1)="住宅",INDIRECT("'数据-取费表'!s"&amp;$G$1),INDIRECT("'数据-取费表'!k"&amp;$G$1)+INDIRECT("'数据-取费表'!s"&amp;$G$1)))</f>
        <v>27874.52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5574904</v>
      </c>
      <c r="D19" s="849">
        <f ca="1">D9+D10</f>
        <v>27874.52</v>
      </c>
      <c r="E19" s="211">
        <f>'数据-取费表'!B31</f>
        <v>200</v>
      </c>
      <c r="F19" s="231"/>
      <c r="G19" s="1856"/>
    </row>
    <row r="20" spans="1:7" s="214" customFormat="1" ht="13.5" customHeight="1">
      <c r="A20" s="255" t="s">
        <v>1574</v>
      </c>
      <c r="B20" s="210" t="s">
        <v>1575</v>
      </c>
      <c r="C20" s="232">
        <f ca="1">ROUND((C5+C19)*F20,0)</f>
        <v>222996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790301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391304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391304</v>
      </c>
      <c r="D24" s="238"/>
      <c r="E24" s="238"/>
      <c r="F24" s="239"/>
      <c r="G24" s="240" t="s">
        <v>1586</v>
      </c>
    </row>
    <row r="25" spans="1:7" s="214" customFormat="1" ht="24">
      <c r="A25" s="780" t="s">
        <v>1476</v>
      </c>
      <c r="B25" s="215" t="s">
        <v>1587</v>
      </c>
      <c r="C25" s="1128">
        <f ca="1">ROUND(IF('数据-取费表'!B22&lt;=1,C20*F22*'数据-取费表'!B22/2,C20*(POWER((1+F22),'数据-取费表'!B22/2)-1)),0)</f>
        <v>7693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1705921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1705921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15026030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118195359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107770770</v>
      </c>
      <c r="D34" s="217"/>
      <c r="E34" s="220"/>
      <c r="F34" s="257"/>
      <c r="G34" s="219"/>
    </row>
    <row r="35" spans="1:7" ht="13.5" customHeight="1">
      <c r="A35" s="780" t="s">
        <v>351</v>
      </c>
      <c r="B35" s="215" t="s">
        <v>1527</v>
      </c>
      <c r="C35" s="220">
        <f ca="1">ROUND(C34*F35,0)</f>
        <v>3233123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5574904</v>
      </c>
      <c r="D37" s="217">
        <f ca="1">D19</f>
        <v>27874.52</v>
      </c>
      <c r="E37" s="249">
        <f>'数据-取费表'!B35</f>
        <v>200</v>
      </c>
      <c r="F37" s="259"/>
      <c r="G37" s="261"/>
    </row>
    <row r="38" spans="1:7" ht="13.5" customHeight="1">
      <c r="A38" s="780" t="s">
        <v>354</v>
      </c>
      <c r="B38" s="215" t="s">
        <v>1533</v>
      </c>
      <c r="C38" s="220">
        <f ca="1">ROUND(C34*F38,0)</f>
        <v>1616562</v>
      </c>
      <c r="D38" s="220"/>
      <c r="E38" s="220"/>
      <c r="F38" s="259">
        <f>'数据-取费表'!B36</f>
        <v>1.4999999999999999E-2</v>
      </c>
      <c r="G38" s="219" t="s">
        <v>1528</v>
      </c>
    </row>
    <row r="39" spans="1:7" s="214" customFormat="1" ht="13.5" customHeight="1">
      <c r="A39" s="255" t="s">
        <v>1534</v>
      </c>
      <c r="B39" s="210" t="s">
        <v>1535</v>
      </c>
      <c r="C39" s="232">
        <f ca="1">ROUND(C33*F20,0)</f>
        <v>2363907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4159295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4077740</v>
      </c>
      <c r="D42" s="238"/>
      <c r="E42" s="238"/>
      <c r="F42" s="239"/>
      <c r="G42" s="3632" t="s">
        <v>1591</v>
      </c>
    </row>
    <row r="43" spans="1:7" ht="13.5" customHeight="1">
      <c r="A43" s="780" t="s">
        <v>347</v>
      </c>
      <c r="B43" s="215" t="s">
        <v>1545</v>
      </c>
      <c r="C43" s="238">
        <f ca="1">ROUND(IF('数据-取费表'!B22&lt;=1,C39*F22*'数据-取费表'!B20/2,C39*(POWER((1+F22),'数据-取费表'!B20/2)-1)),0)</f>
        <v>81555</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18083890</v>
      </c>
      <c r="D45" s="235">
        <f ca="1">C47</f>
        <v>3.0000000000000001E-3</v>
      </c>
      <c r="E45" s="236" t="s">
        <v>1539</v>
      </c>
      <c r="F45" s="246">
        <f ca="1">F27</f>
        <v>0.15</v>
      </c>
      <c r="G45" s="247" t="s">
        <v>1548</v>
      </c>
    </row>
    <row r="46" spans="1:7" s="214" customFormat="1" ht="13.5" customHeight="1">
      <c r="A46" s="780" t="s">
        <v>346</v>
      </c>
      <c r="B46" s="248" t="s">
        <v>1549</v>
      </c>
      <c r="C46" s="249">
        <f ca="1">ROUND((C33+C39)*F27,0)</f>
        <v>18083890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154715548</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139243993</v>
      </c>
      <c r="D51" s="232"/>
      <c r="E51" s="232"/>
      <c r="F51" s="264"/>
      <c r="G51" s="234" t="s">
        <v>1560</v>
      </c>
    </row>
    <row r="52" spans="1:7" s="208" customFormat="1" ht="16.5" thickBot="1">
      <c r="A52" s="265" t="s">
        <v>1561</v>
      </c>
      <c r="B52" s="266"/>
      <c r="C52" s="267">
        <f ca="1">C31+C51</f>
        <v>154270023</v>
      </c>
      <c r="D52" s="266"/>
      <c r="E52" s="266"/>
      <c r="F52" s="266"/>
      <c r="G52" s="268"/>
    </row>
    <row r="55" spans="1:7" ht="15">
      <c r="B55" s="270" t="s">
        <v>1562</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27874.52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27874.52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557</v>
      </c>
      <c r="D20" s="846">
        <f ca="1">IF(C1="",'数据-汇总表'!E6,IF(INDIRECT("'数据-取费表'!c"&amp;$K$1)="住宅",INDIRECT("'数据-取费表'!s"&amp;$K$1),INDIRECT("'数据-取费表'!k"&amp;$K$1)+INDIRECT("'数据-取费表'!s"&amp;$K$1)))</f>
        <v>27874.52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1" zoomScale="70" zoomScaleNormal="70" zoomScaleSheetLayoutView="70" workbookViewId="0">
      <selection activeCell="E35" sqref="E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3390</v>
      </c>
      <c r="D1" s="1362" t="s">
        <v>43</v>
      </c>
      <c r="E1" s="1363" t="s">
        <v>678</v>
      </c>
      <c r="F1" s="1062">
        <f ca="1">J53</f>
        <v>39.35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58586</v>
      </c>
      <c r="C2" s="1387" t="s">
        <v>805</v>
      </c>
      <c r="D2" s="1387"/>
      <c r="E2" s="1388"/>
      <c r="F2" s="1389"/>
      <c r="G2" s="2706"/>
      <c r="H2" s="2695"/>
      <c r="I2" s="2695"/>
      <c r="J2" s="2695"/>
      <c r="K2" s="2696"/>
      <c r="L2" s="2695"/>
      <c r="M2" s="2695"/>
    </row>
    <row r="3" spans="1:37" ht="18" customHeight="1" thickBot="1">
      <c r="A3" s="1390" t="s">
        <v>806</v>
      </c>
      <c r="B3" s="1391">
        <f ca="1">IF(ISERROR(B2*10000/F43),0,ROUND(B2*10000/F43,0))</f>
        <v>24463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3466</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3462</v>
      </c>
      <c r="D6" s="155" t="s">
        <v>2109</v>
      </c>
      <c r="E6" s="302" t="s">
        <v>696</v>
      </c>
      <c r="F6" s="303">
        <f ca="1">INDIRECT("'数据-取费表'!u"&amp;$G$1)</f>
        <v>4.4000000000000004</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23949.06</v>
      </c>
      <c r="G7" s="1384"/>
      <c r="H7" s="304"/>
      <c r="I7" s="3638"/>
      <c r="J7" s="306"/>
      <c r="K7" s="307"/>
      <c r="L7" s="302" t="s">
        <v>697</v>
      </c>
      <c r="M7" s="303">
        <f ca="1">F7</f>
        <v>23949.06</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2117</v>
      </c>
      <c r="E10" s="313" t="s">
        <v>701</v>
      </c>
      <c r="F10" s="1116" t="s">
        <v>3403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13923</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10777</v>
      </c>
      <c r="D14" s="1345" t="s">
        <v>708</v>
      </c>
      <c r="E14" s="1342"/>
      <c r="F14" s="319"/>
      <c r="G14" s="1384"/>
      <c r="H14" s="982" t="s">
        <v>398</v>
      </c>
      <c r="I14" s="302" t="s">
        <v>709</v>
      </c>
      <c r="J14" s="21">
        <f ca="1">C29</f>
        <v>15470</v>
      </c>
      <c r="K14" s="12"/>
      <c r="L14" s="807"/>
      <c r="M14" s="808"/>
    </row>
    <row r="15" spans="1:37" s="1397" customFormat="1" ht="18" customHeight="1" thickBot="1">
      <c r="A15" s="982" t="s">
        <v>399</v>
      </c>
      <c r="B15" s="302" t="s">
        <v>710</v>
      </c>
      <c r="C15" s="21">
        <f ca="1">ROUND(C14*F15,0)</f>
        <v>323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239</v>
      </c>
      <c r="K16" s="1087" t="s">
        <v>715</v>
      </c>
      <c r="L16" s="1088"/>
      <c r="M16" s="1072"/>
    </row>
    <row r="17" spans="1:37" s="1397" customFormat="1" ht="18" customHeight="1">
      <c r="A17" s="982" t="s">
        <v>681</v>
      </c>
      <c r="B17" s="302" t="s">
        <v>716</v>
      </c>
      <c r="C17" s="21">
        <f ca="1">ROUND(F17*(F43+INDIRECT("'数据-取费表'!S"&amp;$G$1))/10000,0)</f>
        <v>557</v>
      </c>
      <c r="D17" s="302" t="s">
        <v>717</v>
      </c>
      <c r="E17" s="302" t="s">
        <v>718</v>
      </c>
      <c r="F17" s="23">
        <f>'数据-取费表'!B35</f>
        <v>200</v>
      </c>
      <c r="G17" s="1396"/>
      <c r="H17" s="982" t="s">
        <v>398</v>
      </c>
      <c r="I17" s="302" t="s">
        <v>719</v>
      </c>
      <c r="J17" s="2316">
        <f ca="1">ROUND(IF(AND(项目基本情况!B11="自然人",项目基本情况!B10="北京市"),J6*M17/(1+'数据-取费表'!C42),J18+J19+J20),2)</f>
        <v>7.26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11819</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236</v>
      </c>
      <c r="D20" s="323" t="s">
        <v>729</v>
      </c>
      <c r="E20" s="302" t="s">
        <v>712</v>
      </c>
      <c r="F20" s="322">
        <f>'数据-取费表'!B37</f>
        <v>0.02</v>
      </c>
      <c r="G20" s="1396"/>
      <c r="H20" s="982" t="s">
        <v>680</v>
      </c>
      <c r="I20" s="155" t="s">
        <v>730</v>
      </c>
      <c r="J20" s="22">
        <f ca="1">ROUND(M20*M21/10000,2)</f>
        <v>7.26</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24188.79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232.05</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416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-239</v>
      </c>
      <c r="K25" s="1095" t="s">
        <v>753</v>
      </c>
      <c r="L25" s="1096"/>
      <c r="M25" s="1097"/>
    </row>
    <row r="26" spans="1:37">
      <c r="A26" s="982" t="s">
        <v>397</v>
      </c>
      <c r="B26" s="302" t="s">
        <v>754</v>
      </c>
      <c r="C26" s="21">
        <f ca="1">ROUND((C19+C20)*F26,0)</f>
        <v>1808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15470</v>
      </c>
      <c r="D29" s="1092"/>
      <c r="E29" s="1090"/>
      <c r="F29" s="1093"/>
      <c r="G29" s="1396"/>
      <c r="H29" s="334" t="s">
        <v>396</v>
      </c>
      <c r="I29" s="335" t="s">
        <v>768</v>
      </c>
      <c r="J29" s="336">
        <f ca="1">ROUND(J26/(1+F40)^F41,0)</f>
        <v>0</v>
      </c>
      <c r="K29" s="337" t="s">
        <v>769</v>
      </c>
      <c r="L29" s="338"/>
      <c r="M29" s="339">
        <f ca="1">INDIRECT("'数据-取费表'!k"&amp;$G$1)</f>
        <v>23949.06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892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587.55999999999995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184.64</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395.66</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7.26</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24188.79</v>
      </c>
      <c r="G35" s="1384"/>
      <c r="H35" s="2697"/>
      <c r="I35" s="1398"/>
      <c r="J35" s="1399"/>
      <c r="K35" s="2701"/>
      <c r="L35" s="2700"/>
      <c r="M35" s="2700"/>
    </row>
    <row r="36" spans="1:18" ht="18" customHeight="1">
      <c r="A36" s="1102" t="s">
        <v>402</v>
      </c>
      <c r="B36" s="302" t="s">
        <v>738</v>
      </c>
      <c r="C36" s="21">
        <f ca="1">ROUND(C29*F36,2)</f>
        <v>232.05</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20.88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51.99</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2574</v>
      </c>
      <c r="D39" s="1095" t="s">
        <v>773</v>
      </c>
      <c r="E39" s="1096"/>
      <c r="F39" s="1097"/>
      <c r="G39" s="1384"/>
      <c r="H39" s="2700"/>
      <c r="I39" s="1398"/>
      <c r="J39" s="1399"/>
      <c r="K39" s="2704"/>
      <c r="L39" s="2700"/>
      <c r="M39" s="2700"/>
    </row>
    <row r="40" spans="1:18" ht="18" customHeight="1">
      <c r="A40" s="299" t="s">
        <v>395</v>
      </c>
      <c r="B40" s="300" t="s">
        <v>774</v>
      </c>
      <c r="C40" s="301">
        <f ca="1">ROUND(C39*(1-((1+F42)/(1+F40))^F41)/(F40-F42),0)</f>
        <v>58227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39.35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24313</v>
      </c>
      <c r="D43" s="337" t="s">
        <v>777</v>
      </c>
      <c r="E43" s="338" t="s">
        <v>778</v>
      </c>
      <c r="F43" s="339">
        <f ca="1">INDIRECT("'数据-取费表'!k"&amp;$G$1)</f>
        <v>23949.06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-62379</v>
      </c>
      <c r="D46" s="1406" t="str">
        <f>C2</f>
        <v>万元</v>
      </c>
      <c r="E46" s="1400"/>
      <c r="F46" s="1400"/>
      <c r="I46" s="1407" t="s">
        <v>810</v>
      </c>
      <c r="J46" s="1408"/>
      <c r="K46" s="1409"/>
      <c r="L46" s="1410">
        <f ca="1">IF(M47="住宅",0,IF(L48&gt;J51,L60,J60))</f>
        <v>359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f ca="1">INDIRECT("'数据-取费表'!d"&amp;$G$1)</f>
        <v>50</v>
      </c>
      <c r="M47" s="1380" t="str">
        <f>IF(ISNUMBER(FIND("住宅",C1)),"住宅","非住宅")</f>
        <v>非住宅</v>
      </c>
      <c r="O47" s="1418" t="s">
        <v>403</v>
      </c>
      <c r="P47" s="1419" t="s">
        <v>817</v>
      </c>
      <c r="Q47" s="1420">
        <f ca="1">C40+J29</f>
        <v>58227</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39.35</v>
      </c>
      <c r="O48" s="1418" t="s">
        <v>404</v>
      </c>
      <c r="P48" s="1419" t="s">
        <v>821</v>
      </c>
      <c r="Q48" s="1420">
        <f ca="1">J60</f>
        <v>359</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2018</v>
      </c>
      <c r="K49" s="1423" t="s">
        <v>824</v>
      </c>
      <c r="L49" s="1427"/>
      <c r="O49" s="1428" t="s">
        <v>405</v>
      </c>
      <c r="P49" s="1419" t="s">
        <v>825</v>
      </c>
      <c r="Q49" s="1420">
        <f ca="1">C29</f>
        <v>15470</v>
      </c>
      <c r="R49" s="1420" t="s">
        <v>818</v>
      </c>
    </row>
    <row r="50" spans="1:18" s="1384" customFormat="1" ht="13.5" thickBot="1">
      <c r="A50" s="976"/>
      <c r="B50" s="979"/>
      <c r="C50" s="1118"/>
      <c r="D50" s="953"/>
      <c r="E50" s="1056" t="s">
        <v>697</v>
      </c>
      <c r="F50" s="1057">
        <f ca="1">F7</f>
        <v>23949.06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29693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39.35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39.35</v>
      </c>
      <c r="K53" s="3635" t="s">
        <v>837</v>
      </c>
      <c r="L53" s="3636"/>
      <c r="O53" s="1418" t="s">
        <v>409</v>
      </c>
      <c r="P53" s="1419" t="s">
        <v>838</v>
      </c>
      <c r="Q53" s="1420">
        <f ca="1">Q47+Q48</f>
        <v>58586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0.24399999999999999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13923</v>
      </c>
      <c r="D56" s="1447"/>
      <c r="E56" s="1448"/>
      <c r="F56" s="1440"/>
      <c r="I56" s="1449" t="s">
        <v>842</v>
      </c>
      <c r="J56" s="1450" t="s">
        <v>3402</v>
      </c>
      <c r="K56" s="1421" t="s">
        <v>843</v>
      </c>
      <c r="L56" s="1424" t="str">
        <f ca="1">IF(L48&lt;J51,"——",L48-J53)</f>
        <v>——</v>
      </c>
      <c r="O56" s="1418" t="s">
        <v>403</v>
      </c>
      <c r="P56" s="1419" t="s">
        <v>817</v>
      </c>
      <c r="Q56" s="1420">
        <f ca="1">C40+J29</f>
        <v>58227</v>
      </c>
      <c r="R56" s="1420" t="s">
        <v>818</v>
      </c>
    </row>
    <row r="57" spans="1:18" s="1384" customFormat="1" ht="24.75" thickBot="1">
      <c r="A57" s="1451"/>
      <c r="B57" s="950" t="s">
        <v>767</v>
      </c>
      <c r="C57" s="238">
        <f ca="1">C29</f>
        <v>15470</v>
      </c>
      <c r="D57" s="1452"/>
      <c r="E57" s="1453"/>
      <c r="F57" s="1454"/>
      <c r="I57" s="1455" t="s">
        <v>844</v>
      </c>
      <c r="J57" s="1456">
        <f ca="1">IF(OR(M47="住宅",J51&lt;L48,J56="是"),"——",J51-L48)</f>
        <v>14.649999999999999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260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6188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359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7.26</v>
      </c>
      <c r="D62" s="965" t="s">
        <v>786</v>
      </c>
      <c r="E62" s="950" t="s">
        <v>787</v>
      </c>
      <c r="F62" s="325">
        <f t="shared" si="0"/>
        <v>3</v>
      </c>
      <c r="I62" s="1462" t="s">
        <v>858</v>
      </c>
      <c r="J62" s="1463" t="s">
        <v>859</v>
      </c>
      <c r="K62" s="1463" t="s">
        <v>860</v>
      </c>
      <c r="L62" s="1463" t="s">
        <v>861</v>
      </c>
      <c r="M62" s="1464" t="s">
        <v>862</v>
      </c>
      <c r="O62" s="1418" t="s">
        <v>409</v>
      </c>
      <c r="P62" s="1419" t="s">
        <v>863</v>
      </c>
      <c r="Q62" s="1420">
        <f ca="1">Q56+Q57</f>
        <v>58227</v>
      </c>
      <c r="R62" s="1420" t="s">
        <v>410</v>
      </c>
    </row>
    <row r="63" spans="1:18" s="1384" customFormat="1" ht="13.5" thickBot="1">
      <c r="A63" s="326"/>
      <c r="B63" s="956"/>
      <c r="C63" s="26"/>
      <c r="D63" s="966"/>
      <c r="E63" s="950" t="s">
        <v>788</v>
      </c>
      <c r="F63" s="303">
        <f t="shared" ca="1" si="0"/>
        <v>24188.79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232.05</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20.88</v>
      </c>
      <c r="D65" s="964" t="s">
        <v>743</v>
      </c>
      <c r="E65" s="950" t="s">
        <v>744</v>
      </c>
      <c r="F65" s="330">
        <f t="shared" ca="1" si="0"/>
        <v>1.5E-3</v>
      </c>
      <c r="I65" s="1462" t="s">
        <v>867</v>
      </c>
      <c r="J65" s="1463">
        <v>40</v>
      </c>
      <c r="K65" s="1463">
        <v>30</v>
      </c>
      <c r="L65" s="1463">
        <v>50</v>
      </c>
      <c r="M65" s="1465">
        <v>0.02</v>
      </c>
      <c r="O65" s="1418" t="s">
        <v>403</v>
      </c>
      <c r="P65" s="1419" t="s">
        <v>868</v>
      </c>
      <c r="Q65" s="1420">
        <f ca="1">C40+J29</f>
        <v>58227</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-260</v>
      </c>
      <c r="D67" s="963" t="s">
        <v>753</v>
      </c>
      <c r="E67" s="968"/>
      <c r="F67" s="969"/>
      <c r="O67" s="1428" t="s">
        <v>405</v>
      </c>
      <c r="P67" s="1419" t="s">
        <v>850</v>
      </c>
      <c r="Q67" s="1466">
        <f ca="1">L51</f>
        <v>29693</v>
      </c>
      <c r="R67" s="1420" t="s">
        <v>870</v>
      </c>
    </row>
    <row r="68" spans="1:18" s="1384" customFormat="1" ht="16.5" thickBot="1">
      <c r="A68" s="947" t="s">
        <v>395</v>
      </c>
      <c r="B68" s="948" t="s">
        <v>774</v>
      </c>
      <c r="C68" s="301">
        <f ca="1">ROUND(C67*(1-((1+F70)/(1+F68))^F69)/(F68-F70),0)</f>
        <v>-4152</v>
      </c>
      <c r="D68" s="965" t="s">
        <v>758</v>
      </c>
      <c r="E68" s="950" t="s">
        <v>759</v>
      </c>
      <c r="F68" s="312">
        <f ca="1">F40</f>
        <v>5.5E-2</v>
      </c>
      <c r="O68" s="1428" t="s">
        <v>406</v>
      </c>
      <c r="P68" s="1467" t="s">
        <v>871</v>
      </c>
      <c r="Q68" s="1420">
        <f ca="1">ROUND(Q69-Q70*Q71,0)</f>
        <v>1599</v>
      </c>
      <c r="R68" s="1420" t="s">
        <v>414</v>
      </c>
    </row>
    <row r="69" spans="1:18" s="1384" customFormat="1" ht="13.5" thickBot="1">
      <c r="A69" s="951"/>
      <c r="B69" s="952"/>
      <c r="C69" s="306"/>
      <c r="D69" s="970" t="s">
        <v>762</v>
      </c>
      <c r="E69" s="950" t="s">
        <v>763</v>
      </c>
      <c r="F69" s="333">
        <f ca="1">F41</f>
        <v>39.35</v>
      </c>
      <c r="O69" s="1428" t="s">
        <v>411</v>
      </c>
      <c r="P69" s="1467" t="s">
        <v>872</v>
      </c>
      <c r="Q69" s="1420">
        <f ca="1">C39</f>
        <v>2574</v>
      </c>
      <c r="R69" s="1420" t="s">
        <v>818</v>
      </c>
    </row>
    <row r="70" spans="1:18" s="1384" customFormat="1" ht="13.5" thickBot="1">
      <c r="A70" s="954"/>
      <c r="B70" s="955"/>
      <c r="C70" s="310"/>
      <c r="D70" s="966"/>
      <c r="E70" s="950" t="s">
        <v>766</v>
      </c>
      <c r="F70" s="1054"/>
      <c r="O70" s="1428" t="s">
        <v>412</v>
      </c>
      <c r="P70" s="1467" t="s">
        <v>873</v>
      </c>
      <c r="Q70" s="1420">
        <f ca="1">C13</f>
        <v>13923</v>
      </c>
      <c r="R70" s="1420" t="s">
        <v>818</v>
      </c>
    </row>
    <row r="71" spans="1:18" s="1384" customFormat="1" ht="13.5" thickBot="1">
      <c r="A71" s="971" t="s">
        <v>396</v>
      </c>
      <c r="B71" s="972" t="s">
        <v>776</v>
      </c>
      <c r="C71" s="336">
        <f ca="1">ROUND(C68*10000/F71,0)</f>
        <v>-1734</v>
      </c>
      <c r="D71" s="973" t="s">
        <v>777</v>
      </c>
      <c r="E71" s="974" t="s">
        <v>778</v>
      </c>
      <c r="F71" s="339">
        <f ca="1">F43</f>
        <v>23949.06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975</v>
      </c>
      <c r="D75" s="1384"/>
      <c r="E75" s="1384"/>
      <c r="F75" s="1384"/>
      <c r="K75" s="1402"/>
      <c r="L75" s="1384"/>
      <c r="O75" s="1418" t="s">
        <v>409</v>
      </c>
      <c r="P75" s="1419" t="s">
        <v>838</v>
      </c>
      <c r="Q75" s="1420">
        <f ca="1">Q65+Q66</f>
        <v>58227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0.621</v>
      </c>
    </row>
    <row r="80" spans="1:18">
      <c r="B80" s="340" t="s">
        <v>800</v>
      </c>
      <c r="C80" s="274">
        <f ca="1">ROUND(C75/C39,3)</f>
        <v>0.379</v>
      </c>
    </row>
    <row r="81" spans="2:3">
      <c r="B81" s="270" t="s">
        <v>801</v>
      </c>
      <c r="C81" s="238"/>
    </row>
    <row r="82" spans="2:3">
      <c r="B82" s="273" t="s">
        <v>802</v>
      </c>
      <c r="C82" s="275">
        <f ca="1">1-C83</f>
        <v>0.76100000000000001</v>
      </c>
    </row>
    <row r="83" spans="2:3">
      <c r="B83" s="273" t="s">
        <v>803</v>
      </c>
      <c r="C83" s="274">
        <f ca="1">ROUND(C13/C40,3)</f>
        <v>0.23899999999999999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6" t="s">
        <v>2321</v>
      </c>
      <c r="K2" s="364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8" t="s">
        <v>2331</v>
      </c>
      <c r="K3" s="364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8" t="s">
        <v>2333</v>
      </c>
      <c r="K4" s="364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4" t="s">
        <v>2337</v>
      </c>
      <c r="B6" s="3655"/>
      <c r="C6" s="3656"/>
      <c r="D6" s="2870"/>
      <c r="E6" s="2871"/>
      <c r="F6" s="2872"/>
      <c r="G6" s="2873"/>
      <c r="H6" s="2848"/>
      <c r="I6" s="2849"/>
      <c r="J6" s="3640">
        <v>1</v>
      </c>
      <c r="K6" s="364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0"/>
      <c r="K7" s="364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7" t="s">
        <v>2351</v>
      </c>
      <c r="C8" s="3658"/>
      <c r="D8" s="2889" t="s">
        <v>2352</v>
      </c>
      <c r="E8" s="2890" t="s">
        <v>2353</v>
      </c>
      <c r="F8" s="2891" t="s">
        <v>2354</v>
      </c>
      <c r="G8" s="2892"/>
      <c r="H8" s="2848"/>
      <c r="I8" s="2849"/>
      <c r="J8" s="3640"/>
      <c r="K8" s="364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7" t="s">
        <v>2357</v>
      </c>
      <c r="C9" s="3658"/>
      <c r="D9" s="2889">
        <f>ROUND(D6*E9,0)</f>
        <v>0</v>
      </c>
      <c r="E9" s="2893"/>
      <c r="F9" s="2894" t="s">
        <v>2358</v>
      </c>
      <c r="G9" s="2873"/>
      <c r="H9" s="2848"/>
      <c r="I9" s="2849"/>
      <c r="J9" s="3640"/>
      <c r="K9" s="3642"/>
      <c r="L9" s="2883" t="s">
        <v>2359</v>
      </c>
      <c r="M9" s="2884"/>
      <c r="N9" s="2860"/>
      <c r="O9" s="2885"/>
      <c r="P9" s="2885"/>
      <c r="Q9" s="2886">
        <v>365</v>
      </c>
      <c r="R9" s="2887">
        <f t="shared" si="0"/>
        <v>0</v>
      </c>
      <c r="S9" s="2841"/>
      <c r="T9" s="2841"/>
      <c r="U9" s="2841"/>
      <c r="V9" s="2849"/>
    </row>
    <row r="10" spans="1:22" s="2853" customFormat="1" ht="13.15" customHeight="1">
      <c r="A10" s="2888">
        <v>2</v>
      </c>
      <c r="B10" s="3657" t="s">
        <v>2360</v>
      </c>
      <c r="C10" s="3658"/>
      <c r="D10" s="2889">
        <f>ROUND(D6*E10,0)</f>
        <v>0</v>
      </c>
      <c r="E10" s="2893"/>
      <c r="F10" s="2894" t="s">
        <v>2361</v>
      </c>
      <c r="G10" s="2873"/>
      <c r="H10" s="2848"/>
      <c r="I10" s="2849"/>
      <c r="J10" s="3640"/>
      <c r="K10" s="3642"/>
      <c r="L10" s="2883" t="s">
        <v>2362</v>
      </c>
      <c r="M10" s="2884"/>
      <c r="N10" s="2860"/>
      <c r="O10" s="2885"/>
      <c r="P10" s="2885"/>
      <c r="Q10" s="2886">
        <v>365</v>
      </c>
      <c r="R10" s="2887">
        <f t="shared" si="0"/>
        <v>0</v>
      </c>
      <c r="S10" s="2841"/>
      <c r="T10" s="2841"/>
      <c r="U10" s="2841"/>
      <c r="V10" s="2849"/>
    </row>
    <row r="11" spans="1:22" s="2853" customFormat="1" ht="13.15" customHeight="1">
      <c r="A11" s="2888">
        <v>3</v>
      </c>
      <c r="B11" s="3657" t="s">
        <v>2363</v>
      </c>
      <c r="C11" s="3658"/>
      <c r="D11" s="2889">
        <f>D12+D14+D15+D16</f>
        <v>0</v>
      </c>
      <c r="E11" s="2895" t="e">
        <f>D11/D6</f>
        <v>#DIV/0!</v>
      </c>
      <c r="F11" s="2891"/>
      <c r="G11" s="2892"/>
      <c r="H11" s="2848"/>
      <c r="I11" s="2849"/>
      <c r="J11" s="3640"/>
      <c r="K11" s="364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0" t="s">
        <v>2366</v>
      </c>
      <c r="C12" s="3651"/>
      <c r="D12" s="2897">
        <f>ROUND(D13*1.2%*(1-30%),0)</f>
        <v>0</v>
      </c>
      <c r="E12" s="2898">
        <v>1.2E-2</v>
      </c>
      <c r="F12" s="2891" t="s">
        <v>2367</v>
      </c>
      <c r="G12" s="2892"/>
      <c r="H12" s="2848"/>
      <c r="I12" s="2849"/>
      <c r="J12" s="3640"/>
      <c r="K12" s="364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0"/>
      <c r="K13" s="364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0" t="s">
        <v>2372</v>
      </c>
      <c r="C14" s="3651"/>
      <c r="D14" s="2897">
        <f>ROUND(E14*B5/10000,0)</f>
        <v>0</v>
      </c>
      <c r="E14" s="2886"/>
      <c r="F14" s="2891" t="s">
        <v>2373</v>
      </c>
      <c r="G14" s="2892"/>
      <c r="H14" s="2848"/>
      <c r="I14" s="2849"/>
      <c r="J14" s="3640"/>
      <c r="K14" s="364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0" t="s">
        <v>2376</v>
      </c>
      <c r="C15" s="3651"/>
      <c r="D15" s="2897">
        <f>ROUND(D6*E15,0)</f>
        <v>0</v>
      </c>
      <c r="E15" s="2898">
        <v>5.5E-2</v>
      </c>
      <c r="F15" s="2891" t="s">
        <v>2377</v>
      </c>
      <c r="G15" s="2873"/>
      <c r="H15" s="2848"/>
      <c r="I15" s="2849"/>
      <c r="J15" s="3640">
        <v>2</v>
      </c>
      <c r="K15" s="364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0" t="s">
        <v>2385</v>
      </c>
      <c r="C16" s="3651"/>
      <c r="D16" s="2908">
        <f>D6*E16</f>
        <v>0</v>
      </c>
      <c r="E16" s="2909"/>
      <c r="F16" s="2894" t="s">
        <v>2386</v>
      </c>
      <c r="G16" s="2873"/>
      <c r="H16" s="2848"/>
      <c r="I16" s="2849"/>
      <c r="J16" s="3640"/>
      <c r="K16" s="364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2" t="s">
        <v>2388</v>
      </c>
      <c r="C17" s="3653"/>
      <c r="D17" s="2911">
        <f>ROUND(D6*E17,0)</f>
        <v>0</v>
      </c>
      <c r="E17" s="2912"/>
      <c r="F17" s="2913" t="s">
        <v>2389</v>
      </c>
      <c r="G17" s="2873"/>
      <c r="H17" s="2848"/>
      <c r="I17" s="2849"/>
      <c r="J17" s="3640"/>
      <c r="K17" s="364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0"/>
      <c r="K18" s="364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0"/>
      <c r="K19" s="364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0">
        <v>3</v>
      </c>
      <c r="K20" s="364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0"/>
      <c r="K21" s="364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0"/>
      <c r="K22" s="364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0"/>
      <c r="K23" s="364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0"/>
      <c r="K24" s="364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6" t="s">
        <v>2321</v>
      </c>
      <c r="K32" s="364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8" t="s">
        <v>2331</v>
      </c>
      <c r="K33" s="364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8" t="s">
        <v>2333</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0">
        <v>1</v>
      </c>
      <c r="K36" s="364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0"/>
      <c r="K37" s="364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0"/>
      <c r="K38" s="364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0"/>
      <c r="K39" s="364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0"/>
      <c r="K40" s="364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58586</v>
      </c>
      <c r="C2" s="1872" t="s">
        <v>1651</v>
      </c>
      <c r="D2" s="1873" t="s">
        <v>1652</v>
      </c>
      <c r="E2" s="2607">
        <f>SUM(E6:E13)</f>
        <v>27874.52</v>
      </c>
      <c r="F2" s="2707"/>
      <c r="G2" s="1489"/>
      <c r="H2" s="1489"/>
      <c r="I2" s="1489"/>
      <c r="J2" s="1489"/>
      <c r="K2" s="1489"/>
      <c r="L2" s="1489"/>
      <c r="M2" s="1489"/>
      <c r="N2" s="1489"/>
      <c r="O2" s="1489"/>
      <c r="P2" s="1489"/>
      <c r="Q2" s="1489"/>
      <c r="R2" s="1489"/>
      <c r="S2" s="1489"/>
    </row>
    <row r="3" spans="1:22" ht="15.75">
      <c r="A3" s="1870" t="s">
        <v>686</v>
      </c>
      <c r="B3" s="2601">
        <f ca="1">ROUND(B2*10000/E2,0)</f>
        <v>21018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58586</v>
      </c>
      <c r="C6" s="1872" t="s">
        <v>1651</v>
      </c>
      <c r="D6" s="2709"/>
      <c r="E6" s="2606">
        <f>IF(OR(A6=0,F6="否"),0,'数据-取费表'!K6+'数据-取费表'!S6)</f>
        <v>27874.52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27874.52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90"/>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45389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27874.52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45389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27874.52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5"/>
      <c r="M5" s="2716"/>
      <c r="N5" s="2716"/>
      <c r="O5" s="2716"/>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45389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27874.52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45389</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估价对象为北京市房地产，为所有。根据《国有土地使用证》[]，估价对象（分摊）出让国有建设用地使用权面积为24188.79平方米，建筑面积为27874.52平方米。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估价对象为北京市房地产,属开发建设的，该项目尚在开发建设中。根据《国有土地使用证》[]，估价对象（分摊）出让国有建设用地使用权面积为24188.79平方米，规划建筑面积为27874.52平方米。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45389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45389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45389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64"/>
      <c r="Q10" s="1343" t="str">
        <f t="shared" si="6"/>
        <v>土地使用年限（年）</v>
      </c>
      <c r="R10" s="701" t="s">
        <v>14</v>
      </c>
      <c r="S10" s="702">
        <f t="shared" si="0"/>
        <v>107</v>
      </c>
      <c r="T10" s="701" t="s">
        <v>14</v>
      </c>
      <c r="U10" s="702">
        <f t="shared" si="1"/>
        <v>107</v>
      </c>
      <c r="V10" s="701" t="s">
        <v>14</v>
      </c>
      <c r="W10" s="702">
        <f t="shared" si="2"/>
        <v>107</v>
      </c>
      <c r="X10" s="703"/>
      <c r="Y10" s="3539"/>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18441.810000000001</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868.72</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4638.53</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23949.06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45389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64"/>
      <c r="Q10" s="1343" t="str">
        <f t="shared" si="6"/>
        <v>土地使用年限（年）</v>
      </c>
      <c r="R10" s="701" t="s">
        <v>14</v>
      </c>
      <c r="S10" s="702">
        <f t="shared" si="0"/>
        <v>107</v>
      </c>
      <c r="T10" s="701" t="s">
        <v>14</v>
      </c>
      <c r="U10" s="702">
        <f t="shared" si="1"/>
        <v>107</v>
      </c>
      <c r="V10" s="701" t="s">
        <v>14</v>
      </c>
      <c r="W10" s="702">
        <f t="shared" si="2"/>
        <v>107</v>
      </c>
      <c r="X10" s="703"/>
      <c r="Y10" s="3539"/>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18441.810000000001</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868.72</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4638.53</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24188.79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22950</v>
      </c>
      <c r="C2" s="2145" t="s">
        <v>2074</v>
      </c>
      <c r="D2" s="2145" t="s">
        <v>2075</v>
      </c>
      <c r="E2" s="2612">
        <f ca="1">SUMIF(E6:E13,"&lt;&gt;#ref!",E6:E13)</f>
        <v>24188.79</v>
      </c>
      <c r="F2" s="2793"/>
      <c r="G2" s="2793"/>
      <c r="H2" s="2793"/>
      <c r="I2" s="2793"/>
      <c r="J2" s="2793"/>
      <c r="K2" s="2793"/>
      <c r="L2" s="2793"/>
      <c r="M2" s="2793"/>
      <c r="N2" s="2793"/>
      <c r="O2" s="2793"/>
      <c r="P2" s="2793"/>
    </row>
    <row r="3" spans="1:16" ht="15.75">
      <c r="A3" s="2145" t="s">
        <v>2076</v>
      </c>
      <c r="B3" s="2602">
        <f ca="1">ROUND(B2*10000/E2,0)</f>
        <v>9488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22950</v>
      </c>
      <c r="C6" s="2145" t="s">
        <v>2074</v>
      </c>
      <c r="D6" s="2793"/>
      <c r="E6" s="2612">
        <f ca="1">SUMIF(INDIRECT("'"&amp;A6&amp;"'"&amp;"!C:C"),"建筑面积",INDIRECT("'"&amp;A6&amp;"'"&amp;"!D:D"))</f>
        <v>24188.79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G56" sqref="G5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24188.79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22950</v>
      </c>
      <c r="C2" s="1999" t="s">
        <v>1935</v>
      </c>
      <c r="D2" s="2000" t="s">
        <v>1936</v>
      </c>
      <c r="E2" s="3422" t="s">
        <v>3392</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Ⅴ-06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12322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9488</v>
      </c>
      <c r="C3" s="1999" t="s">
        <v>1941</v>
      </c>
      <c r="D3" s="2000" t="s">
        <v>1942</v>
      </c>
      <c r="E3" s="3420" t="s">
        <v>2460</v>
      </c>
      <c r="F3" s="2004" t="s">
        <v>3404</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9712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8208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10215</v>
      </c>
      <c r="D5" s="1339">
        <f>ROUND(C6*C17+C20,0)</f>
        <v>10215</v>
      </c>
      <c r="E5" s="1339"/>
      <c r="F5" s="2007"/>
      <c r="G5" s="2008"/>
      <c r="H5" s="2008"/>
      <c r="I5" s="2008"/>
      <c r="J5" s="2009"/>
      <c r="K5" s="2010"/>
      <c r="L5" s="2003" t="s">
        <v>1948</v>
      </c>
      <c r="M5" s="864">
        <f>SUMPRODUCT((区片价!B87:B126=I2)*(区片价!C3:G3=E2)*(区片价!C87:G126))</f>
        <v>10240</v>
      </c>
      <c r="N5" s="866">
        <f>SUMPRODUCT((因素修正幅度!B87:B126=I2)*(因素修正幅度!C3:G3=E2)*(因素修正幅度!C87:G126))</f>
        <v>0.1</v>
      </c>
      <c r="O5" s="1119"/>
      <c r="P5" s="1119"/>
      <c r="Q5" s="1119"/>
      <c r="R5" s="1212">
        <v>4</v>
      </c>
      <c r="S5" s="3361">
        <f>ROUND(SUMPRODUCT((B106:B110=R5)*(C105:N105=G2)*(C106:N110)),4)</f>
        <v>0.88239999999999996</v>
      </c>
      <c r="T5" s="3361">
        <f t="shared" si="0"/>
        <v>7239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10240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6957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-25</v>
      </c>
      <c r="D20" s="3341" t="s">
        <v>1998</v>
      </c>
      <c r="E20" s="3342"/>
      <c r="F20" s="3754" t="s">
        <v>1995</v>
      </c>
      <c r="G20" s="3755"/>
      <c r="H20" s="3326" t="s">
        <v>3406</v>
      </c>
      <c r="I20" s="3326" t="s">
        <v>3407</v>
      </c>
      <c r="J20" s="3327" t="s">
        <v>3408</v>
      </c>
      <c r="K20" s="2047" t="s">
        <v>3409</v>
      </c>
      <c r="L20" s="2047" t="s">
        <v>3410</v>
      </c>
      <c r="M20" s="2047" t="s">
        <v>3411</v>
      </c>
      <c r="N20" s="2047" t="s">
        <v>3412</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3405</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2002</v>
      </c>
      <c r="E23" s="761">
        <v>44197</v>
      </c>
      <c r="F23" s="2054" t="s">
        <v>2003</v>
      </c>
      <c r="G23" s="762">
        <f>'数据-取费表'!B2</f>
        <v>45389</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0.93489999999999995</v>
      </c>
      <c r="D24" s="2060" t="s">
        <v>2007</v>
      </c>
      <c r="E24" s="1335">
        <f>存贷款利率!E24/100</f>
        <v>4.3499999999999997E-2</v>
      </c>
      <c r="F24" s="2060" t="s">
        <v>1999</v>
      </c>
      <c r="G24" s="768">
        <f>SUMIF(M30:Q30,E2,M33:Q33)</f>
        <v>0.05</v>
      </c>
      <c r="H24" s="2060" t="s">
        <v>2008</v>
      </c>
      <c r="I24" s="769">
        <f>SUMIF('数据-取费表'!C6:C15,E2,'数据-取费表'!F6:F15)/COUNTIF('数据-取费表'!C6:C15,E2)</f>
        <v>39.35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1.1565000000000001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1.1565000000000001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1.1565000000000001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22950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9488</v>
      </c>
      <c r="D33" s="2098">
        <f>'数据-汇总表'!D3</f>
        <v>24188.79</v>
      </c>
      <c r="E33" s="773">
        <f>ROUND(C33*D33/10000,0)</f>
        <v>22950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2372</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4922</v>
      </c>
      <c r="D37" s="2098"/>
      <c r="E37" s="171">
        <f>ROUND(C37*D37/10000,0)</f>
        <v>0</v>
      </c>
      <c r="F37" s="171">
        <f>SUMIF(修正!A57:A68,G2,修正!B57:B68)</f>
        <v>0.6</v>
      </c>
      <c r="G37" s="171">
        <f>ROUND(IF(E2="工业",C37*$M$42,C37*$M$41),0)</f>
        <v>1231</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2461</v>
      </c>
      <c r="D38" s="2098"/>
      <c r="E38" s="171">
        <f t="shared" ref="E38:E42" si="4">ROUND(C38*D38/10000,0)</f>
        <v>0</v>
      </c>
      <c r="F38" s="171">
        <f>SUMIF(修正!A57:A68,G2,修正!C57:C68)</f>
        <v>0.3</v>
      </c>
      <c r="G38" s="171">
        <f>ROUND(IF(E2="工业",C38*$M$42,C38*$M$41),0)</f>
        <v>615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2051</v>
      </c>
      <c r="D39" s="2098"/>
      <c r="E39" s="171">
        <f t="shared" si="4"/>
        <v>0</v>
      </c>
      <c r="F39" s="171">
        <f>SUMIF(修正!A57:A68,G2,修正!D57:D68)</f>
        <v>0.25</v>
      </c>
      <c r="G39" s="171">
        <f>ROUND(IF(E2="工业",C39*$M$42,C39*$M$41),0)</f>
        <v>513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2051</v>
      </c>
      <c r="D40" s="2098"/>
      <c r="E40" s="171">
        <f t="shared" si="4"/>
        <v>0</v>
      </c>
      <c r="F40" s="175">
        <f>SUMIF(修正!A57:A68,G2,修正!E57:E68)</f>
        <v>0.25</v>
      </c>
      <c r="G40" s="171">
        <f>ROUND(IF(E2="工业",C40*$M$42,C40*$M$41),0)</f>
        <v>513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2051</v>
      </c>
      <c r="D41" s="2098"/>
      <c r="E41" s="171">
        <f t="shared" si="4"/>
        <v>0</v>
      </c>
      <c r="F41" s="175">
        <f>SUMIF(修正!A57:A68,G2,修正!F57:F68)</f>
        <v>0.25</v>
      </c>
      <c r="G41" s="171">
        <f>ROUND(IF(E2="工业",C41*$M$42,C41*$M$41),0)</f>
        <v>513</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1231</v>
      </c>
      <c r="D42" s="2103"/>
      <c r="E42" s="187">
        <f t="shared" si="4"/>
        <v>0</v>
      </c>
      <c r="F42" s="767">
        <f>SUMIF(修正!A57:A68,G2,修正!G57:G68)</f>
        <v>0.15</v>
      </c>
      <c r="G42" s="187">
        <f>ROUND(IF(E2="工业",C42*$M$42,C42*$M$41),0)</f>
        <v>308</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0.93489999999999995</v>
      </c>
      <c r="D44" s="171" t="s">
        <v>1999</v>
      </c>
      <c r="E44" s="2153">
        <f>G24</f>
        <v>0.05</v>
      </c>
      <c r="F44" s="171" t="s">
        <v>2008</v>
      </c>
      <c r="G44" s="183">
        <f>I24</f>
        <v>39.35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1.046</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t="s">
        <v>3413</v>
      </c>
      <c r="D93" s="3366">
        <f>SUMIF($J$92:$N$92,C93,J93:N93)</f>
        <v>1.2500000000000001E-2</v>
      </c>
      <c r="E93" s="3382">
        <f>ROUND(SUM(D93:D101),4)</f>
        <v>4.5999999999999999E-2</v>
      </c>
      <c r="F93" s="1814">
        <f>IF(E2="公共服务",SUMIF(L1:L12,G2,N1:N12),"——")</f>
        <v>0.1</v>
      </c>
      <c r="G93" s="3373">
        <v>1.2500000000000001E-2</v>
      </c>
      <c r="H93" s="3421">
        <f>IFERROR(ROUNDDOWN($F$93*I93/2,4),"——")</f>
        <v>1.2500000000000001E-2</v>
      </c>
      <c r="I93" s="3367">
        <v>0.25</v>
      </c>
      <c r="J93" s="3345">
        <f t="shared" ref="J93:J101" si="27">K93+$G93</f>
        <v>2.5000000000000001E-2</v>
      </c>
      <c r="K93" s="3345">
        <f t="shared" ref="K93:K101" si="28">$L93+$G93</f>
        <v>1.2500000000000001E-2</v>
      </c>
      <c r="L93" s="3345">
        <v>0</v>
      </c>
      <c r="M93" s="3345">
        <f t="shared" ref="M93:N101" si="29">L93-$G93</f>
        <v>-1.2500000000000001E-2</v>
      </c>
      <c r="N93" s="3345">
        <f t="shared" si="29"/>
        <v>-2.5000000000000001E-2</v>
      </c>
    </row>
    <row r="94" spans="1:37" ht="38.25">
      <c r="A94" s="3379" t="s">
        <v>3277</v>
      </c>
      <c r="B94" s="3370" t="str">
        <f>估价对象房地状况!C18</f>
        <v>估价对象周边道路状况、公共交通通达情况、停车便捷程度，综合评价交通便捷度较好</v>
      </c>
      <c r="C94" s="2044" t="s">
        <v>3413</v>
      </c>
      <c r="D94" s="3366">
        <f t="shared" ref="D94:D101" si="30">SUMIF($J$60:$N$60,C94,J94:N94)</f>
        <v>1.2999999999999999E-2</v>
      </c>
      <c r="E94" s="3383"/>
      <c r="F94" s="1814"/>
      <c r="G94" s="3373">
        <v>1.2999999999999999E-2</v>
      </c>
      <c r="H94" s="3421">
        <f>IFERROR(ROUNDDOWN($F$93*I94/2,4),"——")</f>
        <v>1.2999999999999999E-2</v>
      </c>
      <c r="I94" s="3367">
        <v>0.26</v>
      </c>
      <c r="J94" s="3345">
        <f t="shared" si="27"/>
        <v>2.5999999999999999E-2</v>
      </c>
      <c r="K94" s="3345">
        <f t="shared" si="28"/>
        <v>1.2999999999999999E-2</v>
      </c>
      <c r="L94" s="3345">
        <v>0</v>
      </c>
      <c r="M94" s="3345">
        <f t="shared" si="29"/>
        <v>-1.2999999999999999E-2</v>
      </c>
      <c r="N94" s="3345">
        <f t="shared" si="29"/>
        <v>-2.5999999999999999E-2</v>
      </c>
    </row>
    <row r="95" spans="1:37" ht="36">
      <c r="A95" s="3369" t="s">
        <v>3273</v>
      </c>
      <c r="B95" s="3370">
        <f>估价对象房地状况!C19</f>
        <v>0</v>
      </c>
      <c r="C95" s="2044" t="s">
        <v>3413</v>
      </c>
      <c r="D95" s="3366">
        <f t="shared" si="30"/>
        <v>5.4999999999999997E-3</v>
      </c>
      <c r="E95" s="3383"/>
      <c r="F95" s="1814"/>
      <c r="G95" s="3373">
        <v>5.4999999999999997E-3</v>
      </c>
      <c r="H95" s="3421">
        <f t="shared" ref="H95:H101" si="31">IFERROR(ROUNDDOWN($F$93*I95/2,4),"——")</f>
        <v>5.4999999999999997E-3</v>
      </c>
      <c r="I95" s="3367">
        <v>0.11</v>
      </c>
      <c r="J95" s="3345">
        <f t="shared" si="27"/>
        <v>1.0999999999999999E-2</v>
      </c>
      <c r="K95" s="3345">
        <f t="shared" si="28"/>
        <v>5.4999999999999997E-3</v>
      </c>
      <c r="L95" s="3345">
        <v>0</v>
      </c>
      <c r="M95" s="3345">
        <f t="shared" si="29"/>
        <v>-5.4999999999999997E-3</v>
      </c>
      <c r="N95" s="3345">
        <f t="shared" si="29"/>
        <v>-1.0999999999999999E-2</v>
      </c>
    </row>
    <row r="96" spans="1:37" ht="36.75">
      <c r="A96" s="3379" t="s">
        <v>3278</v>
      </c>
      <c r="B96" s="3385" t="s">
        <v>3289</v>
      </c>
      <c r="C96" s="2044" t="s">
        <v>3413</v>
      </c>
      <c r="D96" s="3366">
        <f t="shared" si="30"/>
        <v>2.5000000000000001E-3</v>
      </c>
      <c r="E96" s="3383"/>
      <c r="F96" s="1814"/>
      <c r="G96" s="3373">
        <v>2.5000000000000001E-3</v>
      </c>
      <c r="H96" s="3421">
        <f t="shared" si="31"/>
        <v>2.5000000000000001E-3</v>
      </c>
      <c r="I96" s="3367">
        <v>0.05</v>
      </c>
      <c r="J96" s="3345">
        <f t="shared" si="27"/>
        <v>5.0000000000000001E-3</v>
      </c>
      <c r="K96" s="3345">
        <f t="shared" si="28"/>
        <v>2.5000000000000001E-3</v>
      </c>
      <c r="L96" s="3345">
        <v>0</v>
      </c>
      <c r="M96" s="3345">
        <f t="shared" si="29"/>
        <v>-2.5000000000000001E-3</v>
      </c>
      <c r="N96" s="3345">
        <f t="shared" si="29"/>
        <v>-5.0000000000000001E-3</v>
      </c>
    </row>
    <row r="97" spans="1:14" ht="24">
      <c r="A97" s="3379" t="s">
        <v>3279</v>
      </c>
      <c r="B97" s="3370">
        <f>估价对象房地状况!C24</f>
        <v>0</v>
      </c>
      <c r="C97" s="2044" t="s">
        <v>3415</v>
      </c>
      <c r="D97" s="3366">
        <f t="shared" si="30"/>
        <v>0</v>
      </c>
      <c r="E97" s="3383"/>
      <c r="F97" s="1814"/>
      <c r="G97" s="3373">
        <v>2.5000000000000001E-3</v>
      </c>
      <c r="H97" s="3421">
        <f t="shared" si="31"/>
        <v>2.5000000000000001E-3</v>
      </c>
      <c r="I97" s="3367">
        <v>0.05</v>
      </c>
      <c r="J97" s="3345">
        <f t="shared" si="27"/>
        <v>5.0000000000000001E-3</v>
      </c>
      <c r="K97" s="3345">
        <f t="shared" si="28"/>
        <v>2.5000000000000001E-3</v>
      </c>
      <c r="L97" s="3345">
        <v>0</v>
      </c>
      <c r="M97" s="3345">
        <f t="shared" si="29"/>
        <v>-2.5000000000000001E-3</v>
      </c>
      <c r="N97" s="3345">
        <f t="shared" si="29"/>
        <v>-5.0000000000000001E-3</v>
      </c>
    </row>
    <row r="98" spans="1:14" ht="24">
      <c r="A98" s="3379" t="s">
        <v>3280</v>
      </c>
      <c r="B98" s="3386" t="s">
        <v>3290</v>
      </c>
      <c r="C98" s="2044" t="s">
        <v>3415</v>
      </c>
      <c r="D98" s="3366">
        <f t="shared" si="30"/>
        <v>0</v>
      </c>
      <c r="E98" s="3383"/>
      <c r="F98" s="1814"/>
      <c r="G98" s="3373">
        <v>3.0000000000000001E-3</v>
      </c>
      <c r="H98" s="3421">
        <f t="shared" si="31"/>
        <v>3.0000000000000001E-3</v>
      </c>
      <c r="I98" s="3367">
        <v>0.06</v>
      </c>
      <c r="J98" s="3345">
        <f t="shared" si="27"/>
        <v>6.0000000000000001E-3</v>
      </c>
      <c r="K98" s="3345">
        <f t="shared" si="28"/>
        <v>3.0000000000000001E-3</v>
      </c>
      <c r="L98" s="3345">
        <v>0</v>
      </c>
      <c r="M98" s="3345">
        <f t="shared" si="29"/>
        <v>-3.0000000000000001E-3</v>
      </c>
      <c r="N98" s="3345">
        <f t="shared" si="29"/>
        <v>-6.0000000000000001E-3</v>
      </c>
    </row>
    <row r="99" spans="1:14" ht="25.5">
      <c r="A99" s="3379" t="s">
        <v>3281</v>
      </c>
      <c r="B99" s="3370" t="str">
        <f>估价对象房地状况!C21</f>
        <v>估价对象所在区域公共配套设施齐备情况</v>
      </c>
      <c r="C99" s="2044" t="s">
        <v>3415</v>
      </c>
      <c r="D99" s="3366">
        <f t="shared" si="30"/>
        <v>0</v>
      </c>
      <c r="E99" s="3383"/>
      <c r="F99" s="1814"/>
      <c r="G99" s="3373">
        <v>3.0000000000000001E-3</v>
      </c>
      <c r="H99" s="3421">
        <f t="shared" si="31"/>
        <v>3.0000000000000001E-3</v>
      </c>
      <c r="I99" s="3367">
        <v>0.06</v>
      </c>
      <c r="J99" s="3345">
        <f t="shared" si="27"/>
        <v>6.0000000000000001E-3</v>
      </c>
      <c r="K99" s="3345">
        <f t="shared" si="28"/>
        <v>3.0000000000000001E-3</v>
      </c>
      <c r="L99" s="3345">
        <v>0</v>
      </c>
      <c r="M99" s="3345">
        <f t="shared" si="29"/>
        <v>-3.0000000000000001E-3</v>
      </c>
      <c r="N99" s="3345">
        <f t="shared" si="29"/>
        <v>-6.0000000000000001E-3</v>
      </c>
    </row>
    <row r="100" spans="1:14" ht="25.5">
      <c r="A100" s="3379" t="s">
        <v>3282</v>
      </c>
      <c r="B100" s="3370" t="str">
        <f>估价对象房地状况!C22</f>
        <v>估价对象所在区域基础设施水平</v>
      </c>
      <c r="C100" s="2044" t="s">
        <v>3414</v>
      </c>
      <c r="D100" s="3366">
        <f t="shared" si="30"/>
        <v>8.9999999999999993E-3</v>
      </c>
      <c r="E100" s="3383"/>
      <c r="F100" s="1814"/>
      <c r="G100" s="3373">
        <v>4.4999999999999997E-3</v>
      </c>
      <c r="H100" s="3421">
        <f t="shared" si="31"/>
        <v>4.4999999999999997E-3</v>
      </c>
      <c r="I100" s="3367">
        <v>0.09</v>
      </c>
      <c r="J100" s="3345">
        <f t="shared" si="27"/>
        <v>8.9999999999999993E-3</v>
      </c>
      <c r="K100" s="3345">
        <f t="shared" si="28"/>
        <v>4.4999999999999997E-3</v>
      </c>
      <c r="L100" s="3345">
        <v>0</v>
      </c>
      <c r="M100" s="3345">
        <f t="shared" si="29"/>
        <v>-4.4999999999999997E-3</v>
      </c>
      <c r="N100" s="3345">
        <f t="shared" si="29"/>
        <v>-8.9999999999999993E-3</v>
      </c>
    </row>
    <row r="101" spans="1:14" ht="26.25" thickBot="1">
      <c r="A101" s="3380" t="s">
        <v>3283</v>
      </c>
      <c r="B101" s="3387" t="str">
        <f>估价对象房地状况!C20</f>
        <v>区域自然环境：；人文环境；综合评价环境状况一般</v>
      </c>
      <c r="C101" s="2044" t="s">
        <v>3413</v>
      </c>
      <c r="D101" s="3366">
        <f t="shared" si="30"/>
        <v>3.5000000000000001E-3</v>
      </c>
      <c r="E101" s="3384"/>
      <c r="F101" s="1814"/>
      <c r="G101" s="3373">
        <v>3.5000000000000001E-3</v>
      </c>
      <c r="H101" s="3421">
        <f t="shared" si="31"/>
        <v>3.5000000000000001E-3</v>
      </c>
      <c r="I101" s="3368">
        <v>7.0000000000000007E-2</v>
      </c>
      <c r="J101" s="3345">
        <f t="shared" si="27"/>
        <v>7.0000000000000001E-3</v>
      </c>
      <c r="K101" s="3345">
        <f t="shared" si="28"/>
        <v>3.5000000000000001E-3</v>
      </c>
      <c r="L101" s="3345">
        <v>0</v>
      </c>
      <c r="M101" s="3345">
        <f t="shared" si="29"/>
        <v>-3.5000000000000001E-3</v>
      </c>
      <c r="N101" s="3345">
        <f t="shared" si="29"/>
        <v>-7.0000000000000001E-3</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0.88200000000000001</v>
      </c>
      <c r="E116" s="2000" t="s">
        <v>3318</v>
      </c>
      <c r="F116" s="3402" t="str">
        <f>E2</f>
        <v>公共服务</v>
      </c>
      <c r="G116" s="2000" t="s">
        <v>3319</v>
      </c>
      <c r="H116" s="3402" t="str">
        <f>G2</f>
        <v>五级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3333</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3334</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60"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60" t="s">
        <v>2616</v>
      </c>
      <c r="C27" s="3103" t="s">
        <v>2456</v>
      </c>
      <c r="D27" s="3104"/>
      <c r="E27" s="3105">
        <v>1</v>
      </c>
      <c r="F27" s="3106" t="s">
        <v>2457</v>
      </c>
      <c r="G27" s="3106"/>
    </row>
    <row r="28" spans="1:13" ht="19.5" customHeight="1">
      <c r="A28" s="3763"/>
      <c r="B28" s="3759"/>
      <c r="C28" s="3107" t="s">
        <v>2458</v>
      </c>
      <c r="D28" s="3108"/>
      <c r="E28" s="3109">
        <v>1</v>
      </c>
      <c r="F28" s="3106" t="s">
        <v>2459</v>
      </c>
      <c r="G28" s="3106"/>
    </row>
    <row r="29" spans="1:13" ht="19.5" customHeight="1">
      <c r="A29" s="3763"/>
      <c r="B29" s="3759"/>
      <c r="C29" s="3107" t="s">
        <v>2460</v>
      </c>
      <c r="D29" s="3108"/>
      <c r="E29" s="3109">
        <v>0.8</v>
      </c>
      <c r="F29" s="3106" t="s">
        <v>2461</v>
      </c>
      <c r="G29" s="3106"/>
    </row>
    <row r="30" spans="1:13" ht="19.5" customHeight="1">
      <c r="A30" s="3763"/>
      <c r="B30" s="3759"/>
      <c r="C30" s="3107" t="s">
        <v>2462</v>
      </c>
      <c r="D30" s="3108"/>
      <c r="E30" s="3109">
        <v>0.8</v>
      </c>
      <c r="F30" s="3106" t="s">
        <v>2463</v>
      </c>
      <c r="G30" s="3106"/>
    </row>
    <row r="31" spans="1:13" ht="19.5" customHeight="1">
      <c r="A31" s="3763"/>
      <c r="B31" s="3759"/>
      <c r="C31" s="3107" t="s">
        <v>2464</v>
      </c>
      <c r="D31" s="3108"/>
      <c r="E31" s="3109">
        <v>0.8</v>
      </c>
      <c r="F31" s="3106" t="s">
        <v>2465</v>
      </c>
      <c r="G31" s="3106"/>
    </row>
    <row r="32" spans="1:13" ht="19.5" customHeight="1">
      <c r="A32" s="3763"/>
      <c r="B32" s="3759"/>
      <c r="C32" s="3107" t="s">
        <v>2466</v>
      </c>
      <c r="D32" s="3108"/>
      <c r="E32" s="3109">
        <v>0.7</v>
      </c>
      <c r="F32" s="3106" t="s">
        <v>2467</v>
      </c>
      <c r="G32" s="3106"/>
    </row>
    <row r="33" spans="1:7" ht="19.5" customHeight="1">
      <c r="A33" s="3763"/>
      <c r="B33" s="3759"/>
      <c r="C33" s="3107" t="s">
        <v>2468</v>
      </c>
      <c r="D33" s="3108"/>
      <c r="E33" s="3109">
        <v>0.8</v>
      </c>
      <c r="F33" s="3106" t="s">
        <v>2469</v>
      </c>
      <c r="G33" s="3106"/>
    </row>
    <row r="34" spans="1:7" ht="19.5" customHeight="1">
      <c r="A34" s="3763"/>
      <c r="B34" s="3759"/>
      <c r="C34" s="3107" t="s">
        <v>2470</v>
      </c>
      <c r="D34" s="3108"/>
      <c r="E34" s="3109">
        <v>0.6</v>
      </c>
      <c r="F34" s="3106" t="s">
        <v>2471</v>
      </c>
      <c r="G34" s="3106"/>
    </row>
    <row r="35" spans="1:7" ht="19.5" customHeight="1">
      <c r="A35" s="3763"/>
      <c r="B35" s="3759"/>
      <c r="C35" s="3107" t="s">
        <v>2472</v>
      </c>
      <c r="D35" s="3108"/>
      <c r="E35" s="3109">
        <v>0.2</v>
      </c>
      <c r="F35" s="3106" t="s">
        <v>2473</v>
      </c>
      <c r="G35" s="3106"/>
    </row>
    <row r="36" spans="1:7" ht="19.5" customHeight="1">
      <c r="A36" s="3763"/>
      <c r="B36" s="3759"/>
      <c r="C36" s="3107" t="s">
        <v>2474</v>
      </c>
      <c r="D36" s="3108"/>
      <c r="E36" s="3109">
        <v>0.2</v>
      </c>
      <c r="F36" s="3106" t="s">
        <v>2475</v>
      </c>
      <c r="G36" s="3106"/>
    </row>
    <row r="37" spans="1:7" ht="19.5" customHeight="1">
      <c r="A37" s="3763"/>
      <c r="B37" s="3757" t="s">
        <v>2636</v>
      </c>
      <c r="C37" s="3107" t="s">
        <v>2476</v>
      </c>
      <c r="D37" s="3108"/>
      <c r="E37" s="3109">
        <v>0.6</v>
      </c>
      <c r="F37" s="3106" t="s">
        <v>2477</v>
      </c>
      <c r="G37" s="3106"/>
    </row>
    <row r="38" spans="1:7" ht="19.5" customHeight="1">
      <c r="A38" s="3763"/>
      <c r="B38" s="3759"/>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60"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5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57"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7"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58"/>
      <c r="C89" s="3092" t="s">
        <v>2688</v>
      </c>
      <c r="D89" s="3092" t="s">
        <v>2689</v>
      </c>
      <c r="E89" s="3118">
        <v>0.1</v>
      </c>
      <c r="F89" s="3118">
        <v>15</v>
      </c>
    </row>
    <row r="90" spans="1:6" ht="13.5">
      <c r="A90" s="3118">
        <v>18</v>
      </c>
      <c r="B90" s="3757"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58"/>
      <c r="C106" s="3092" t="s">
        <v>2723</v>
      </c>
      <c r="D106" s="3092" t="s">
        <v>2724</v>
      </c>
      <c r="E106" s="3118">
        <v>0.1</v>
      </c>
      <c r="F106" s="3118">
        <v>15</v>
      </c>
    </row>
    <row r="107" spans="1:6" ht="24">
      <c r="A107" s="3118">
        <v>35</v>
      </c>
      <c r="B107" s="3757"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58"/>
      <c r="C112" s="3118" t="s">
        <v>2736</v>
      </c>
      <c r="D112" s="3092" t="s">
        <v>2737</v>
      </c>
      <c r="E112" s="3118">
        <v>0.1</v>
      </c>
      <c r="F112" s="3118">
        <v>15</v>
      </c>
    </row>
    <row r="113" spans="1:6" ht="13.5">
      <c r="A113" s="3118">
        <v>41</v>
      </c>
      <c r="B113" s="3756" t="s">
        <v>2738</v>
      </c>
      <c r="C113" s="3118" t="s">
        <v>2739</v>
      </c>
      <c r="D113" s="3092" t="s">
        <v>2740</v>
      </c>
      <c r="E113" s="3118">
        <v>0.1</v>
      </c>
      <c r="F113" s="3118">
        <v>15</v>
      </c>
    </row>
    <row r="114" spans="1:6" ht="13.5">
      <c r="A114" s="3118">
        <v>42</v>
      </c>
      <c r="B114" s="3756"/>
      <c r="C114" s="3118" t="s">
        <v>2741</v>
      </c>
      <c r="D114" s="3092" t="s">
        <v>2742</v>
      </c>
      <c r="E114" s="3118">
        <v>0.1</v>
      </c>
      <c r="F114" s="3118">
        <v>15</v>
      </c>
    </row>
    <row r="115" spans="1:6" ht="24">
      <c r="A115" s="3118">
        <v>43</v>
      </c>
      <c r="B115" s="3756"/>
      <c r="C115" s="3118" t="s">
        <v>2743</v>
      </c>
      <c r="D115" s="3092" t="s">
        <v>2744</v>
      </c>
      <c r="E115" s="3118">
        <v>0.1</v>
      </c>
      <c r="F115" s="3118">
        <v>15</v>
      </c>
    </row>
    <row r="116" spans="1:6" ht="13.5">
      <c r="A116" s="3118">
        <v>44</v>
      </c>
      <c r="B116" s="3757" t="s">
        <v>2745</v>
      </c>
      <c r="C116" s="3118" t="s">
        <v>2746</v>
      </c>
      <c r="D116" s="3092" t="s">
        <v>2747</v>
      </c>
      <c r="E116" s="3118">
        <v>0.1</v>
      </c>
      <c r="F116" s="3118">
        <v>15</v>
      </c>
    </row>
    <row r="117" spans="1:6" ht="24">
      <c r="A117" s="3118">
        <v>45</v>
      </c>
      <c r="B117" s="3758"/>
      <c r="C117" s="3092" t="s">
        <v>2748</v>
      </c>
      <c r="D117" s="3092" t="s">
        <v>2749</v>
      </c>
      <c r="E117" s="3118">
        <v>0.1</v>
      </c>
      <c r="F117" s="3118">
        <v>15</v>
      </c>
    </row>
    <row r="118" spans="1:6" ht="24">
      <c r="A118" s="3118">
        <v>46</v>
      </c>
      <c r="B118" s="3757" t="s">
        <v>2750</v>
      </c>
      <c r="C118" s="3118" t="s">
        <v>2751</v>
      </c>
      <c r="D118" s="3092" t="s">
        <v>2752</v>
      </c>
      <c r="E118" s="3118">
        <v>0.1</v>
      </c>
      <c r="F118" s="3118">
        <v>15</v>
      </c>
    </row>
    <row r="119" spans="1:6" ht="24">
      <c r="A119" s="3118">
        <v>47</v>
      </c>
      <c r="B119" s="3758"/>
      <c r="C119" s="3118" t="s">
        <v>2753</v>
      </c>
      <c r="D119" s="3092" t="s">
        <v>2754</v>
      </c>
      <c r="E119" s="3118">
        <v>0.1</v>
      </c>
      <c r="F119" s="3118">
        <v>15</v>
      </c>
    </row>
    <row r="120" spans="1:6" ht="13.5">
      <c r="A120" s="3118">
        <v>48</v>
      </c>
      <c r="B120" s="3757" t="s">
        <v>2755</v>
      </c>
      <c r="C120" s="3118" t="s">
        <v>2756</v>
      </c>
      <c r="D120" s="3092" t="s">
        <v>2757</v>
      </c>
      <c r="E120" s="3118">
        <v>0.1</v>
      </c>
      <c r="F120" s="3118">
        <v>15</v>
      </c>
    </row>
    <row r="121" spans="1:6" ht="13.5">
      <c r="A121" s="3118">
        <v>49</v>
      </c>
      <c r="B121" s="3758"/>
      <c r="C121" s="3118" t="s">
        <v>2758</v>
      </c>
      <c r="D121" s="3092" t="s">
        <v>2759</v>
      </c>
      <c r="E121" s="3118">
        <v>0.1</v>
      </c>
      <c r="F121" s="3118">
        <v>15</v>
      </c>
    </row>
    <row r="122" spans="1:6" ht="24">
      <c r="A122" s="3118">
        <v>50</v>
      </c>
      <c r="B122" s="3756" t="s">
        <v>2760</v>
      </c>
      <c r="C122" s="3118" t="s">
        <v>2761</v>
      </c>
      <c r="D122" s="3092" t="s">
        <v>2762</v>
      </c>
      <c r="E122" s="3118">
        <v>0.1</v>
      </c>
      <c r="F122" s="3118">
        <v>15</v>
      </c>
    </row>
    <row r="123" spans="1:6" ht="24">
      <c r="A123" s="3118">
        <v>51</v>
      </c>
      <c r="B123" s="3756"/>
      <c r="C123" s="3118" t="s">
        <v>2763</v>
      </c>
      <c r="D123" s="3092" t="s">
        <v>2764</v>
      </c>
      <c r="E123" s="3118">
        <v>0.1</v>
      </c>
      <c r="F123" s="3118">
        <v>15</v>
      </c>
    </row>
    <row r="124" spans="1:6" ht="24">
      <c r="A124" s="3118">
        <v>52</v>
      </c>
      <c r="B124" s="3756" t="s">
        <v>2765</v>
      </c>
      <c r="C124" s="3118" t="s">
        <v>2766</v>
      </c>
      <c r="D124" s="3092" t="s">
        <v>2767</v>
      </c>
      <c r="E124" s="3118">
        <v>0.1</v>
      </c>
      <c r="F124" s="3118">
        <v>15</v>
      </c>
    </row>
    <row r="125" spans="1:6" ht="24">
      <c r="A125" s="3118">
        <v>53</v>
      </c>
      <c r="B125" s="375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6" t="s">
        <v>2773</v>
      </c>
      <c r="C127" s="3118" t="s">
        <v>2774</v>
      </c>
      <c r="D127" s="3092" t="s">
        <v>2775</v>
      </c>
      <c r="E127" s="3118">
        <v>0.1</v>
      </c>
      <c r="F127" s="3118">
        <v>15</v>
      </c>
    </row>
    <row r="128" spans="1:6" ht="13.5">
      <c r="A128" s="3118">
        <v>56</v>
      </c>
      <c r="B128" s="3756"/>
      <c r="C128" s="3118" t="s">
        <v>2776</v>
      </c>
      <c r="D128" s="3092" t="s">
        <v>2777</v>
      </c>
      <c r="E128" s="3118">
        <v>0.1</v>
      </c>
      <c r="F128" s="3118">
        <v>15</v>
      </c>
    </row>
    <row r="129" spans="1:6" ht="24">
      <c r="A129" s="3118">
        <v>57</v>
      </c>
      <c r="B129" s="3756"/>
      <c r="C129" s="3118" t="s">
        <v>2778</v>
      </c>
      <c r="D129" s="3092" t="s">
        <v>2779</v>
      </c>
      <c r="E129" s="3118">
        <v>0.1</v>
      </c>
      <c r="F129" s="3118">
        <v>15</v>
      </c>
    </row>
    <row r="130" spans="1:6" ht="24">
      <c r="A130" s="3118">
        <v>58</v>
      </c>
      <c r="B130" s="3756" t="s">
        <v>2780</v>
      </c>
      <c r="C130" s="3118" t="s">
        <v>2781</v>
      </c>
      <c r="D130" s="3092" t="s">
        <v>2782</v>
      </c>
      <c r="E130" s="3118">
        <v>0.1</v>
      </c>
      <c r="F130" s="3118">
        <v>15</v>
      </c>
    </row>
    <row r="131" spans="1:6" ht="13.5">
      <c r="A131" s="3118">
        <v>59</v>
      </c>
      <c r="B131" s="3756"/>
      <c r="C131" s="3118" t="s">
        <v>2783</v>
      </c>
      <c r="D131" s="3092" t="s">
        <v>2784</v>
      </c>
      <c r="E131" s="3118">
        <v>0.1</v>
      </c>
      <c r="F131" s="3118">
        <v>15</v>
      </c>
    </row>
    <row r="132" spans="1:6" ht="13.5">
      <c r="A132" s="3118">
        <v>60</v>
      </c>
      <c r="B132" s="3757" t="s">
        <v>2785</v>
      </c>
      <c r="C132" s="3118" t="s">
        <v>2786</v>
      </c>
      <c r="D132" s="3092" t="s">
        <v>2787</v>
      </c>
      <c r="E132" s="3118">
        <v>0.1</v>
      </c>
      <c r="F132" s="3118">
        <v>15</v>
      </c>
    </row>
    <row r="133" spans="1:6" ht="13.5">
      <c r="A133" s="3118">
        <v>61</v>
      </c>
      <c r="B133" s="375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6" t="s">
        <v>2793</v>
      </c>
      <c r="C135" s="3118" t="s">
        <v>2794</v>
      </c>
      <c r="D135" s="3092" t="s">
        <v>2795</v>
      </c>
      <c r="E135" s="3118">
        <v>0.1</v>
      </c>
      <c r="F135" s="3118">
        <v>15</v>
      </c>
    </row>
    <row r="136" spans="1:6" ht="13.5">
      <c r="A136" s="3118">
        <v>64</v>
      </c>
      <c r="B136" s="375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1.2158</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1.1565000000000001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42452</v>
      </c>
      <c r="C2" s="2" t="s">
        <v>106</v>
      </c>
      <c r="D2" s="199"/>
      <c r="E2" s="199"/>
      <c r="F2" s="199"/>
      <c r="G2" s="199"/>
    </row>
    <row r="3" spans="1:7" s="200" customFormat="1" ht="18" customHeight="1" thickBot="1">
      <c r="A3" s="203" t="s">
        <v>58</v>
      </c>
      <c r="B3" s="204">
        <f ca="1">ROUND(B2*10000/'数据-汇总表'!E3,0)</f>
        <v>15230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557</v>
      </c>
      <c r="D10" s="845">
        <f>'数据-汇总表'!E6</f>
        <v>27874.52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557</v>
      </c>
      <c r="D19" s="849">
        <f>'数据-汇总表'!E3</f>
        <v>27874.52</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39</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3239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3239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11819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10777</v>
      </c>
      <c r="D34" s="217"/>
      <c r="E34" s="220"/>
      <c r="F34" s="257">
        <f>IF('数据-取费表'!B24=0,1,'数据-取费表'!N16)</f>
        <v>1</v>
      </c>
      <c r="G34" s="219" t="s">
        <v>89</v>
      </c>
    </row>
    <row r="35" spans="1:7" ht="13.5" customHeight="1">
      <c r="A35" s="780" t="s">
        <v>351</v>
      </c>
      <c r="B35" s="215" t="s">
        <v>33</v>
      </c>
      <c r="C35" s="220">
        <f>ROUND(C34*F35,0)</f>
        <v>323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557</v>
      </c>
      <c r="D37" s="217">
        <f>'数据-汇总表'!E3</f>
        <v>27874.52</v>
      </c>
      <c r="E37" s="249">
        <f>'数据-取费表'!B35</f>
        <v>200</v>
      </c>
      <c r="F37" s="259"/>
      <c r="G37" s="261" t="s">
        <v>92</v>
      </c>
    </row>
    <row r="38" spans="1:7" ht="13.5" customHeight="1">
      <c r="A38" s="780" t="s">
        <v>354</v>
      </c>
      <c r="B38" s="215" t="s">
        <v>36</v>
      </c>
      <c r="C38" s="220">
        <f>ROUND(C34*F38,0)</f>
        <v>162</v>
      </c>
      <c r="D38" s="220"/>
      <c r="E38" s="220"/>
      <c r="F38" s="259">
        <f>'数据-取费表'!B36</f>
        <v>1.4999999999999999E-2</v>
      </c>
      <c r="G38" s="219" t="s">
        <v>90</v>
      </c>
    </row>
    <row r="39" spans="1:7" s="214" customFormat="1" ht="13.5" customHeight="1">
      <c r="A39" s="777" t="s">
        <v>338</v>
      </c>
      <c r="B39" s="210" t="s">
        <v>77</v>
      </c>
      <c r="C39" s="232">
        <f>ROUND(C33*F20,0)</f>
        <v>236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416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408</v>
      </c>
      <c r="D42" s="238"/>
      <c r="E42" s="238"/>
      <c r="F42" s="239"/>
      <c r="G42" s="3632" t="s">
        <v>94</v>
      </c>
    </row>
    <row r="43" spans="1:7" ht="13.5" customHeight="1">
      <c r="A43" s="780" t="s">
        <v>347</v>
      </c>
      <c r="B43" s="215" t="s">
        <v>426</v>
      </c>
      <c r="C43" s="238">
        <f ca="1">ROUND(IF('数据-取费表'!B22&lt;=1,C39*F22*'数据-取费表'!B21/2,C39*(POWER((1+F22),'数据-取费表'!B21/2)-1)),0)</f>
        <v>8</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1808</v>
      </c>
      <c r="D45" s="235">
        <f>C47</f>
        <v>3.0000000000000001E-3</v>
      </c>
      <c r="E45" s="236" t="s">
        <v>102</v>
      </c>
      <c r="F45" s="246"/>
      <c r="G45" s="247" t="s">
        <v>434</v>
      </c>
    </row>
    <row r="46" spans="1:7" s="214" customFormat="1" ht="13.5" customHeight="1">
      <c r="A46" s="780" t="s">
        <v>349</v>
      </c>
      <c r="B46" s="248" t="s">
        <v>427</v>
      </c>
      <c r="C46" s="249">
        <f>ROUND((C33+C39)*F27,0)</f>
        <v>1808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15471</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13924</v>
      </c>
      <c r="D51" s="232"/>
      <c r="E51" s="232"/>
      <c r="F51" s="264"/>
      <c r="G51" s="234" t="s">
        <v>37</v>
      </c>
    </row>
    <row r="52" spans="1:7" s="208" customFormat="1" ht="16.5" thickBot="1">
      <c r="A52" s="265" t="s">
        <v>38</v>
      </c>
      <c r="B52" s="266"/>
      <c r="C52" s="267">
        <f ca="1">C31+C51</f>
        <v>42452</v>
      </c>
      <c r="D52" s="266"/>
      <c r="E52" s="266"/>
      <c r="F52" s="266"/>
      <c r="G52" s="268"/>
    </row>
    <row r="55" spans="1:7" ht="15">
      <c r="B55" s="270" t="s">
        <v>39</v>
      </c>
      <c r="C55" s="271"/>
    </row>
    <row r="56" spans="1:7">
      <c r="B56" s="273" t="s">
        <v>40</v>
      </c>
      <c r="C56" s="274">
        <f ca="1">ROUND(C51/C52,3)</f>
        <v>0.32800000000000001</v>
      </c>
    </row>
    <row r="57" spans="1:7">
      <c r="B57" s="273" t="s">
        <v>41</v>
      </c>
      <c r="C57" s="275">
        <f ca="1">1-C56</f>
        <v>0.67199999999999993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52566</v>
      </c>
      <c r="E5" s="1491"/>
    </row>
    <row r="6" spans="1:5" ht="15.75">
      <c r="A6" s="1491"/>
      <c r="B6" s="3451"/>
      <c r="C6" s="1494" t="s">
        <v>911</v>
      </c>
      <c r="D6" s="850" t="str">
        <f ca="1">NUMBERSTRING(INT(D5*10000),2)&amp;"元整"</f>
        <v>伍亿贰仟伍佰陆拾陆万元整</v>
      </c>
      <c r="E6" s="1491"/>
    </row>
    <row r="7" spans="1:5" ht="15.75">
      <c r="A7" s="1491"/>
      <c r="B7" s="3456"/>
      <c r="C7" s="1495" t="s">
        <v>912</v>
      </c>
      <c r="D7" s="851">
        <f ca="1">结果表!H102</f>
        <v>18858</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52566</v>
      </c>
      <c r="E13" s="1491"/>
    </row>
    <row r="14" spans="1:5" ht="15.75">
      <c r="A14" s="1491"/>
      <c r="B14" s="3451"/>
      <c r="C14" s="1494" t="s">
        <v>911</v>
      </c>
      <c r="D14" s="850" t="str">
        <f ca="1">NUMBERSTRING(INT(D13*10000),2)&amp;"元整"</f>
        <v>伍亿贰仟伍佰陆拾陆万元整</v>
      </c>
      <c r="E14" s="1491"/>
    </row>
    <row r="15" spans="1:5" ht="15">
      <c r="A15" s="1491"/>
      <c r="B15" s="3456"/>
      <c r="C15" s="1495" t="s">
        <v>921</v>
      </c>
      <c r="D15" s="859">
        <f ca="1">结果表!H108</f>
        <v>18858</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5" sqref="A15"/>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A15" sqref="A15"/>
    </sheetView>
  </sheetViews>
  <sheetFormatPr defaultRowHeight="13.5"/>
  <cols>
    <col min="1" max="1" width="13.875" customWidth="1"/>
    <col min="11" max="17" width="0" hidden="1" customWidth="1"/>
    <col min="25" max="30" width="0" hidden="1" customWidth="1"/>
  </cols>
  <sheetData>
    <row r="1" spans="1:30">
      <c r="A1" s="3221">
        <f>基准地价修正!G23</f>
        <v>45389</v>
      </c>
      <c r="B1" s="3210" t="s">
        <v>3375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A15" sqref="A15"/>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45389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1" sqref="L2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27874.52</v>
      </c>
      <c r="C4" s="854">
        <f>项目基本情况!C18</f>
        <v>24188.79</v>
      </c>
      <c r="D4" s="854">
        <f>结果表!D118</f>
        <v>0</v>
      </c>
      <c r="E4" s="854">
        <f>结果表!E118</f>
        <v>0</v>
      </c>
      <c r="F4" s="854">
        <f>结果表!F118</f>
        <v>0</v>
      </c>
      <c r="G4" s="854">
        <f>结果表!G118</f>
        <v>0</v>
      </c>
      <c r="H4" s="854">
        <f ca="1">结果表!H118</f>
        <v>52566</v>
      </c>
      <c r="I4" s="854">
        <f ca="1">结果表!I118</f>
        <v>18858</v>
      </c>
    </row>
    <row r="5" spans="1:9" ht="30" customHeight="1">
      <c r="A5" s="3463" t="s">
        <v>927</v>
      </c>
      <c r="B5" s="3463"/>
      <c r="C5" s="3463"/>
      <c r="D5" s="3463" t="str">
        <f>结果表!D119</f>
        <v>零元整</v>
      </c>
      <c r="E5" s="3463"/>
      <c r="F5" s="3463" t="str">
        <f>结果表!F119</f>
        <v>零元整</v>
      </c>
      <c r="G5" s="3463"/>
      <c r="H5" s="3463" t="str">
        <f ca="1">结果表!H119</f>
        <v>伍亿贰仟伍佰陆拾陆万元整</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f ca="1">结果表!D122</f>
        <v>52566</v>
      </c>
      <c r="E8" s="3462"/>
      <c r="F8" s="3462"/>
      <c r="G8" s="3462"/>
      <c r="H8" s="3462"/>
      <c r="I8" s="3462"/>
    </row>
    <row r="9" spans="1:9" ht="15">
      <c r="A9" s="3463" t="s">
        <v>927</v>
      </c>
      <c r="B9" s="3463"/>
      <c r="C9" s="3463"/>
      <c r="D9" s="3463" t="str">
        <f ca="1">结果表!D123</f>
        <v>伍亿贰仟伍佰陆拾陆万元整</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45389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2024-04-07T06:03:27Z</dcterms:modified>
</cp:coreProperties>
</file>