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基准地价（汇总）" sheetId="76" state="hidden" r:id="rId20"/>
    <sheet name="成本法" sheetId="68" state="hidden" r:id="rId21"/>
    <sheet name="成本法 (元)" sheetId="69" state="hidden" r:id="rId22"/>
    <sheet name="假设开发法" sheetId="12" state="hidden" r:id="rId23"/>
    <sheet name="比较法-工业" sheetId="37"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4" l="1"/>
  <c r="I41" i="37" l="1"/>
  <c r="G41" i="37"/>
  <c r="E41" i="37"/>
  <c r="Y6" i="1"/>
  <c r="C30" i="37"/>
  <c r="N6" i="1" l="1"/>
  <c r="F19" i="6" l="1"/>
  <c r="B7" i="4"/>
  <c r="D3" i="4"/>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8" i="76"/>
  <c r="B11" i="76"/>
  <c r="B12" i="76"/>
  <c r="E10" i="76"/>
  <c r="E7" i="76"/>
  <c r="E9" i="76"/>
  <c r="B10" i="76"/>
  <c r="B13" i="76"/>
  <c r="B9" i="76"/>
  <c r="E13" i="76"/>
  <c r="E8" i="76"/>
  <c r="E11" i="76"/>
  <c r="E12"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3" i="73"/>
  <c r="F5" i="73"/>
  <c r="D6" i="73"/>
  <c r="F6" i="73"/>
  <c r="F4" i="73"/>
  <c r="F3"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3" i="1"/>
  <c r="AO12"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13" i="39"/>
  <c r="J13" i="39"/>
  <c r="W13" i="39" s="1"/>
  <c r="H13" i="39"/>
  <c r="H14" i="40"/>
  <c r="AB14" i="40" s="1"/>
  <c r="J14" i="40"/>
  <c r="W14" i="40" s="1"/>
  <c r="F14" i="40"/>
  <c r="AA14" i="40" s="1"/>
  <c r="J14" i="37"/>
  <c r="AC14" i="37" s="1"/>
  <c r="AA44" i="33"/>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9"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A118" i="9" l="1"/>
  <c r="J35" i="37"/>
  <c r="W35" i="37" s="1"/>
  <c r="H99" i="37"/>
  <c r="I99" i="37" s="1"/>
  <c r="J99" i="37" s="1"/>
  <c r="K99" i="37" s="1"/>
  <c r="L99" i="37" s="1"/>
  <c r="M99" i="37" s="1"/>
  <c r="H33" i="37"/>
  <c r="J33" i="37"/>
  <c r="F33" i="37"/>
  <c r="AA33" i="37" s="1"/>
  <c r="G105" i="37"/>
  <c r="F36" i="37"/>
  <c r="AA36" i="37" s="1"/>
  <c r="W31" i="37"/>
  <c r="U27" i="37"/>
  <c r="AB27" i="37"/>
  <c r="AB26" i="37"/>
  <c r="U26" i="37"/>
  <c r="U25" i="37"/>
  <c r="AB25" i="37"/>
  <c r="W26" i="37"/>
  <c r="J27" i="37"/>
  <c r="AC27" i="37" s="1"/>
  <c r="F27" i="37"/>
  <c r="AA27" i="37" s="1"/>
  <c r="J25" i="37"/>
  <c r="S15" i="37"/>
  <c r="H75" i="43"/>
  <c r="G28" i="6"/>
  <c r="A15" i="62"/>
  <c r="B61" i="72" s="1"/>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N107" i="43"/>
  <c r="AR12" i="1"/>
  <c r="T12" i="1"/>
  <c r="AR10" i="1"/>
  <c r="T10"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4"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15"/>
  <c r="M24" i="15"/>
  <c r="F6" i="67"/>
  <c r="F26" i="15"/>
  <c r="F16" i="15"/>
  <c r="F7" i="67"/>
  <c r="F13" i="67"/>
  <c r="F9" i="15"/>
  <c r="F8" i="15"/>
  <c r="L48" i="67"/>
  <c r="F37" i="15"/>
  <c r="J15" i="67"/>
  <c r="F42" i="15"/>
  <c r="M29" i="67"/>
  <c r="C76" i="15"/>
  <c r="F16" i="67"/>
  <c r="J15" i="15"/>
  <c r="F6" i="15"/>
  <c r="L47" i="15"/>
  <c r="L47" i="67"/>
  <c r="M28" i="15"/>
  <c r="M26" i="67"/>
  <c r="F37" i="67"/>
  <c r="F36" i="15"/>
  <c r="F9" i="67"/>
  <c r="M9" i="67"/>
  <c r="F38" i="15"/>
  <c r="F40" i="67"/>
  <c r="M8" i="15"/>
  <c r="M23" i="15"/>
  <c r="M8" i="67"/>
  <c r="M29" i="15"/>
  <c r="F43" i="67"/>
  <c r="M6" i="67"/>
  <c r="F43" i="15"/>
  <c r="M6" i="15"/>
  <c r="F40" i="15"/>
  <c r="M22" i="67"/>
  <c r="F7" i="15"/>
  <c r="M22" i="15"/>
  <c r="F26" i="67"/>
  <c r="C76" i="67"/>
  <c r="G1" i="73"/>
  <c r="F13" i="15"/>
  <c r="M23" i="67"/>
  <c r="M24" i="67"/>
  <c r="F38" i="67"/>
  <c r="F42" i="67"/>
  <c r="F8" i="67"/>
  <c r="F36" i="67"/>
  <c r="M28" i="67"/>
  <c r="M9" i="15"/>
  <c r="L48" i="15"/>
  <c r="AB33" i="37" l="1"/>
  <c r="U33" i="37"/>
  <c r="AC33" i="37"/>
  <c r="W33" i="37"/>
  <c r="AA11" i="37"/>
  <c r="AC25" i="37"/>
  <c r="W25" i="37"/>
  <c r="H83" i="43"/>
  <c r="H82" i="43"/>
  <c r="H86" i="43"/>
  <c r="H87" i="43"/>
  <c r="H88" i="43"/>
  <c r="H81" i="43"/>
  <c r="E56" i="40"/>
  <c r="N109" i="43"/>
  <c r="K109" i="43"/>
  <c r="J109" i="43"/>
  <c r="N104" i="43"/>
  <c r="K106" i="43"/>
  <c r="G103" i="43"/>
  <c r="K104" i="43"/>
  <c r="K107" i="43"/>
  <c r="J103" i="43"/>
  <c r="N106" i="43"/>
  <c r="N103" i="43"/>
  <c r="G30" i="6"/>
  <c r="G31" i="6" s="1"/>
  <c r="E4" i="4"/>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C10" i="15"/>
  <c r="M19" i="6"/>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31" i="15"/>
  <c r="F59" i="15"/>
  <c r="F31" i="67"/>
  <c r="M17" i="67"/>
  <c r="F59" i="67"/>
  <c r="C16" i="15"/>
  <c r="C17" i="15"/>
  <c r="C16" i="67"/>
  <c r="B73" i="72" l="1"/>
  <c r="K4" i="4"/>
  <c r="B46" i="48" s="1"/>
  <c r="B4"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B71" i="72" l="1"/>
  <c r="B4" i="72"/>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C4" i="52"/>
  <c r="B45" i="72" s="1"/>
  <c r="A10" i="5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B9" i="72" l="1"/>
  <c r="B7" i="72"/>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B6" i="76"/>
  <c r="F35" i="67"/>
  <c r="M21"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M27"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AO7" i="1"/>
  <c r="E2" i="69"/>
  <c r="B3" i="15" l="1"/>
  <c r="B8" i="70"/>
  <c r="B7" i="70"/>
  <c r="B6" i="70"/>
  <c r="C46" i="15"/>
  <c r="B2" i="69"/>
  <c r="B3" i="69" s="1"/>
  <c r="B2" i="68"/>
  <c r="B3" i="67"/>
  <c r="D35" i="9"/>
  <c r="F20" i="31"/>
  <c r="D2" i="35"/>
  <c r="D2" i="21"/>
  <c r="D2" i="36"/>
  <c r="E2" i="68"/>
  <c r="D2" i="33"/>
  <c r="D2" i="37"/>
  <c r="D2" i="34"/>
  <c r="B20" i="31" l="1"/>
  <c r="B2" i="36"/>
  <c r="B3" i="36" s="1"/>
  <c r="B2" i="35"/>
  <c r="B3" i="35" s="1"/>
  <c r="B2" i="37"/>
  <c r="B2" i="34"/>
  <c r="B3" i="34" s="1"/>
  <c r="B2" i="21"/>
  <c r="B3" i="21" s="1"/>
  <c r="B2" i="70"/>
  <c r="B3" i="70" s="1"/>
  <c r="B3" i="68"/>
  <c r="C19" i="9"/>
  <c r="D20" i="9"/>
  <c r="D19" i="9"/>
  <c r="C102" i="9" l="1"/>
  <c r="C21" i="9"/>
  <c r="B3" i="37"/>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49" i="72" l="1"/>
  <c r="B52" i="72"/>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<sst xmlns="http://schemas.openxmlformats.org/spreadsheetml/2006/main" count="7373" uniqueCount="3115">
  <si>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</si>
  <si>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</si>
  <si>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</si>
  <si>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</si>
  <si>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</si>
  <si>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</si>
  <si>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</si>
  <si>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</si>
  <si>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</si>
  <si>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</si>
  <si>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</si>
  <si>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</si>
  <si>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</si>
  <si>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</si>
  <si>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</si>
  <si>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</si>
  <si>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</si>
  <si>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</si>
  <si>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</si>
  <si>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</si>
  <si>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</si>
  <si>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</si>
  <si>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</si>
  <si>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</si>
  <si>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</si>
  <si>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</si>
  <si>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</si>
  <si>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</si>
  <si>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</si>
  <si>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</si>
  <si>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</si>
  <si>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</si>
  <si>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</si>
  <si>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</si>
  <si>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</si>
  <si>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</si>
  <si>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</si>
  <si>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</si>
  <si>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</si>
  <si>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</si>
  <si>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</si>
  <si>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</si>
  <si>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</si>
  <si>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</si>
  <si>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</si>
  <si>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</si>
  <si>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</si>
  <si>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</si>
  <si>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</si>
  <si>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</si>
  <si>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</si>
  <si>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</si>
  <si>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</si>
  <si>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</si>
  <si>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</si>
  <si>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</si>
  <si>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</si>
  <si>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</si>
  <si>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</si>
  <si>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</si>
  <si>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</si>
  <si>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</si>
  <si>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</si>
  <si>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</si>
  <si>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</si>
  <si>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</si>
  <si>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</si>
  <si>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</si>
  <si>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</si>
  <si>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</si>
  <si>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</si>
  <si>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</si>
  <si>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</si>
  <si>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</si>
  <si>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</si>
  <si>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</si>
  <si>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</si>
  <si>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</si>
  <si>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</si>
  <si>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</si>
  <si>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</si>
  <si>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</si>
  <si>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</si>
  <si>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</si>
  <si>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</si>
  <si>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</si>
  <si>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</si>
  <si>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</si>
  <si>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</si>
  <si>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</si>
  <si>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</si>
  <si>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</si>
  <si>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</si>
  <si>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</si>
  <si>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</si>
  <si>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</si>
  <si>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</si>
  <si>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</si>
  <si>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</si>
  <si>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</si>
  <si>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</si>
  <si>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</si>
  <si>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</si>
  <si>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</si>
  <si>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</si>
  <si>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</si>
  <si>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</si>
  <si>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</si>
  <si>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</si>
  <si>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</si>
  <si>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</si>
  <si>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</si>
  <si>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</si>
  <si>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</si>
  <si>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</si>
  <si>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</si>
  <si>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</si>
  <si>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</si>
  <si>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</si>
  <si>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</si>
  <si>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</si>
  <si>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</si>
  <si>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</si>
  <si>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</si>
  <si>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</si>
  <si>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</si>
  <si>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</si>
  <si>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</si>
  <si>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</si>
  <si>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</si>
  <si>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</si>
  <si>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</si>
  <si>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</si>
  <si>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</si>
  <si>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</si>
  <si>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</si>
  <si>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</si>
  <si>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</si>
  <si>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</si>
  <si>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</si>
  <si>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</si>
  <si>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</si>
  <si>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</si>
  <si>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</si>
  <si>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</si>
  <si>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</si>
  <si>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</si>
  <si>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</si>
  <si>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</si>
  <si>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</si>
  <si>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</si>
  <si>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</si>
  <si>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</si>
  <si>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</si>
  <si>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</si>
  <si>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</si>
  <si>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</si>
  <si>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</si>
  <si>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</si>
  <si>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</si>
  <si>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</si>
  <si>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</si>
  <si>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</si>
  <si>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</si>
  <si>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</si>
  <si>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</si>
  <si>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</si>
  <si>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</si>
  <si>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</si>
  <si>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</si>
  <si>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</si>
  <si>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</si>
  <si>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</si>
  <si>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</si>
  <si>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</si>
  <si>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</si>
  <si>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</si>
  <si>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</si>
  <si>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</si>
  <si>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</si>
  <si>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</si>
  <si>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</si>
  <si>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</si>
  <si>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</si>
  <si>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</si>
  <si>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</si>
  <si>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</si>
  <si>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</si>
  <si>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</si>
  <si>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</si>
  <si>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</si>
  <si>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</si>
  <si>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</si>
  <si>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</si>
  <si>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</si>
  <si>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</si>
  <si>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</si>
  <si>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</si>
  <si>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</si>
  <si>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</si>
  <si>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</si>
  <si>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</si>
  <si>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</si>
  <si>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</si>
  <si>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</si>
  <si>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</si>
  <si>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</si>
  <si>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</si>
  <si>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</si>
  <si>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</si>
  <si>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</si>
  <si>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</si>
  <si>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</si>
  <si>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</si>
  <si>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</si>
  <si>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</si>
  <si>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</si>
  <si>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</si>
  <si>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</si>
  <si>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</si>
  <si>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</si>
  <si>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</si>
  <si>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</si>
  <si>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</si>
  <si>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</si>
  <si>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</si>
  <si>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</si>
  <si>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</si>
  <si>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</si>
  <si>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</si>
  <si>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</si>
  <si>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</si>
  <si>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</si>
  <si>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</si>
  <si>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</si>
  <si>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</si>
  <si>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</si>
  <si>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</si>
  <si>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</si>
  <si>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</si>
  <si>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</si>
  <si>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</si>
  <si>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</si>
  <si>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</si>
  <si>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</si>
  <si>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</si>
  <si>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</si>
  <si>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</si>
  <si>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</si>
  <si>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</si>
  <si>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</si>
  <si>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</si>
  <si>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</si>
  <si>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</si>
  <si>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</si>
  <si>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</si>
  <si>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</si>
  <si>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</si>
  <si>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</si>
  <si>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</si>
  <si>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</si>
  <si>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</si>
  <si>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</si>
  <si>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</si>
  <si>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</si>
  <si>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</si>
  <si>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</si>
  <si>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</si>
  <si>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</si>
  <si>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</si>
  <si>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</si>
  <si>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</si>
  <si>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</si>
  <si>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</si>
  <si>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</si>
  <si>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</si>
  <si>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</si>
  <si>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</si>
  <si>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</si>
  <si>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</si>
  <si>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</si>
  <si>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</si>
  <si>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</si>
  <si>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</si>
  <si>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</si>
  <si>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</si>
  <si>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</si>
  <si>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</si>
  <si>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</si>
  <si>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</si>
  <si>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</si>
  <si>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</si>
  <si>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</si>
  <si>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</si>
  <si>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</si>
  <si>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</si>
  <si>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</si>
  <si>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</si>
  <si>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</si>
  <si>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</si>
  <si>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</si>
  <si>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</si>
  <si>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</si>
  <si>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</si>
  <si>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</si>
  <si>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</si>
  <si>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</si>
  <si>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</si>
  <si>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</si>
  <si>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</si>
  <si>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</si>
  <si>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</si>
  <si>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</si>
  <si>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</si>
  <si>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</si>
  <si>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</si>
  <si>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</si>
  <si>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</si>
  <si>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</si>
  <si>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</si>
  <si>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</si>
  <si>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</si>
  <si>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</si>
  <si>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</si>
  <si>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</si>
  <si>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</si>
  <si>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</si>
  <si>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</si>
  <si>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</si>
  <si>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</si>
  <si>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</si>
  <si>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</si>
  <si>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</si>
  <si>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</si>
  <si>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</si>
  <si>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</si>
  <si>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</si>
  <si>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</si>
  <si>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</si>
  <si>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</si>
  <si>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</si>
  <si>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</si>
  <si>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</si>
  <si>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</si>
  <si>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</si>
  <si>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</si>
  <si>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</si>
  <si>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</si>
  <si>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</si>
  <si>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</si>
  <si>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</si>
  <si>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</si>
  <si>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</si>
  <si>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</si>
  <si>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</si>
  <si>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</si>
  <si>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</si>
  <si>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</si>
  <si>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</si>
  <si>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</si>
  <si>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</si>
  <si>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</si>
  <si>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</si>
  <si>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</si>
  <si>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</si>
  <si>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</si>
  <si>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</si>
  <si>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</si>
  <si>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</si>
  <si>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</si>
  <si>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</si>
  <si>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</si>
  <si>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</si>
  <si>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</si>
  <si>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</si>
  <si>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</si>
  <si>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</si>
  <si>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</si>
  <si>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</si>
  <si>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</si>
  <si>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</si>
  <si>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</si>
  <si>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</si>
  <si>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</si>
  <si>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</si>
  <si>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</si>
  <si>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</si>
  <si>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</si>
  <si>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</si>
  <si>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</si>
  <si>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</si>
  <si>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</si>
  <si>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</si>
  <si>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</si>
  <si>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</si>
  <si>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</si>
  <si>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</si>
  <si>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</si>
  <si>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</si>
  <si>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</si>
  <si>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</si>
  <si>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</si>
  <si>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</si>
  <si>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</si>
  <si>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</si>
  <si>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</si>
  <si>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</si>
  <si>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</si>
  <si>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</si>
  <si>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</si>
  <si>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</si>
  <si>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</si>
  <si>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</si>
  <si>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</si>
  <si>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</si>
  <si>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</si>
  <si>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</si>
  <si>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</si>
  <si>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</si>
  <si>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</si>
  <si>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</si>
  <si>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</si>
  <si>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</si>
  <si>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</si>
  <si>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</si>
  <si>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</si>
  <si>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</si>
  <si>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</si>
  <si>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</si>
  <si>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</si>
  <si>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</si>
  <si>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</si>
  <si>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</si>
  <si>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</si>
  <si>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</si>
  <si>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</si>
  <si>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</si>
  <si>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</si>
  <si>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</si>
  <si>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</si>
  <si>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</si>
  <si>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</si>
  <si>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</si>
  <si>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</si>
  <si>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</si>
  <si>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</si>
  <si>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</si>
  <si>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</si>
  <si>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</si>
  <si>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</si>
  <si>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</si>
  <si>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</si>
  <si>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</si>
  <si>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</si>
  <si>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</si>
  <si>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</si>
  <si>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</si>
  <si>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</si>
  <si>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</si>
  <si>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</si>
  <si>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</si>
  <si>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</si>
  <si>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</si>
  <si>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</si>
  <si>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</si>
  <si>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</si>
  <si>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</si>
  <si>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</si>
  <si>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</si>
  <si>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</si>
  <si>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</si>
  <si>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</si>
  <si>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</si>
  <si>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</si>
  <si>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</si>
  <si>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</si>
  <si>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</si>
  <si>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</si>
  <si>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</si>
  <si>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</si>
  <si>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</si>
  <si>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</si>
  <si>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</si>
  <si>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</si>
  <si>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</si>
  <si>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</si>
  <si>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</si>
  <si>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</si>
  <si>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</si>
  <si>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</si>
  <si>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</si>
  <si>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</si>
  <si>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</si>
  <si>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</si>
  <si>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</si>
  <si>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</si>
  <si>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</si>
  <si>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</si>
  <si>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</si>
  <si>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</si>
  <si>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</si>
  <si>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</si>
  <si>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</si>
  <si>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</si>
  <si>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</si>
  <si>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</si>
  <si>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</si>
  <si>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</si>
  <si>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</si>
  <si>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</si>
  <si>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</si>
  <si>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</si>
  <si>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</si>
  <si>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</si>
  <si>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</si>
  <si>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</si>
  <si>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</si>
  <si>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</si>
  <si>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</si>
  <si>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</si>
  <si>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</si>
  <si>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</si>
  <si>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</si>
  <si>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</si>
  <si>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</si>
  <si>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</si>
  <si>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</si>
  <si>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</si>
  <si>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</si>
  <si>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</si>
  <si>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</si>
  <si>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</si>
  <si>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</si>
  <si>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</si>
  <si>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</si>
  <si>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</si>
  <si>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</si>
  <si>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</si>
  <si>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</si>
  <si>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</si>
  <si>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</si>
  <si>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</si>
  <si>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</si>
  <si>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</si>
  <si>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</si>
  <si>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</si>
  <si>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</si>
  <si>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</si>
  <si>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</si>
  <si>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</si>
  <si>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</si>
  <si>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</si>
  <si>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</si>
  <si>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</si>
  <si>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</si>
  <si>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</si>
  <si>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</si>
  <si>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</si>
  <si>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</si>
  <si>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</si>
  <si>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</si>
  <si>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</si>
  <si>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</si>
  <si>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</si>
  <si>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</si>
  <si>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</si>
  <si>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</si>
  <si>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</si>
  <si>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</si>
  <si>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</si>
  <si>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</si>
  <si>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</si>
  <si>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</si>
  <si>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</si>
  <si>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</si>
  <si>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</si>
  <si>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</si>
  <si>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</si>
  <si>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</si>
  <si>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</si>
  <si>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</si>
  <si>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</si>
  <si>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</si>
  <si>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</si>
  <si>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</si>
  <si>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</si>
  <si>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</si>
  <si>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</si>
  <si>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</si>
  <si>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</si>
  <si>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</si>
  <si>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</si>
  <si>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</si>
  <si>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</si>
  <si>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</si>
  <si>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</si>
  <si>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</si>
  <si>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</si>
  <si>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</si>
  <si>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</si>
  <si>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</si>
  <si>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</si>
  <si>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</si>
  <si>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</si>
  <si>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</si>
  <si>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</si>
  <si>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</si>
  <si>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</si>
  <si>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</si>
  <si>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</si>
  <si>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</si>
  <si>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</si>
  <si>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</si>
  <si>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</si>
  <si>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</si>
  <si>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</si>
  <si>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</si>
  <si>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</si>
  <si>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</si>
  <si>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</si>
  <si>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</si>
  <si>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</si>
  <si>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</si>
  <si>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</si>
  <si>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</si>
  <si>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</si>
  <si>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</si>
  <si>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</si>
  <si>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</si>
  <si>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</si>
  <si>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</si>
  <si>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</si>
  <si>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</si>
  <si>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</si>
  <si>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</si>
  <si>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</si>
  <si>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</si>
  <si>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</si>
  <si>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</si>
  <si>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</si>
  <si>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</si>
  <si>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</si>
  <si>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</si>
  <si>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</si>
  <si>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</si>
  <si>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</si>
  <si>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</si>
  <si>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</si>
  <si>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</si>
  <si>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</si>
  <si>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</si>
  <si>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</si>
  <si>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</si>
  <si>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</si>
  <si>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</si>
  <si>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</si>
  <si>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</si>
  <si>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</si>
  <si>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</si>
  <si>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</si>
  <si>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</si>
  <si>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</si>
  <si>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</si>
  <si>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</si>
  <si>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</si>
  <si>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</si>
  <si>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</si>
  <si>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</si>
  <si>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</si>
  <si>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</si>
  <si>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</si>
  <si>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</si>
  <si>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</si>
  <si>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</si>
  <si>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</si>
  <si>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</si>
  <si>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</si>
  <si>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</si>
  <si>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</si>
  <si>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</si>
  <si>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</si>
  <si>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</si>
  <si>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</si>
  <si>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</si>
  <si>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</si>
  <si>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</si>
  <si>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</si>
  <si>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</si>
  <si>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</si>
  <si>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</si>
  <si>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</si>
  <si>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</si>
  <si>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</si>
  <si>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</si>
  <si>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</si>
  <si>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</si>
  <si>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</si>
  <si>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</si>
  <si>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</si>
  <si>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</si>
  <si>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</si>
  <si>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</si>
  <si>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</si>
  <si>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</si>
  <si>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</si>
  <si>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</si>
  <si>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</si>
  <si>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</si>
  <si>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</si>
  <si>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</si>
  <si>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</si>
  <si>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</si>
  <si>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</si>
  <si>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</si>
  <si>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</si>
  <si>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</si>
  <si>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</si>
  <si>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</si>
  <si>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</si>
  <si>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</si>
  <si>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</si>
  <si>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</si>
  <si>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</si>
  <si>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</si>
  <si>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</si>
  <si>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</si>
  <si>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</si>
  <si>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</si>
  <si>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</si>
  <si>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</si>
  <si>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</si>
  <si>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</si>
  <si>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</si>
  <si>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</si>
  <si>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</si>
  <si>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</si>
  <si>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</si>
  <si>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</si>
  <si>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</si>
  <si>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</si>
  <si>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</si>
  <si>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</si>
  <si>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</si>
  <si>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</si>
  <si>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</si>
  <si>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</si>
  <si>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</si>
  <si>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</si>
  <si>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</si>
  <si>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</si>
  <si>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</si>
  <si>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</si>
  <si>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</si>
  <si>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</si>
  <si>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</si>
  <si>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</si>
  <si>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</si>
  <si>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</si>
  <si>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</si>
  <si>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</si>
  <si>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</si>
  <si>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</si>
  <si>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</si>
  <si>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</si>
  <si>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</si>
  <si>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</si>
  <si>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</si>
  <si>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</si>
  <si>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</si>
  <si>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</si>
  <si>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</si>
  <si>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</si>
  <si>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</si>
  <si>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</si>
  <si>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</si>
  <si>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</si>
  <si>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</si>
  <si>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</si>
  <si>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</si>
  <si>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</si>
  <si>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</si>
  <si>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</si>
  <si>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</si>
  <si>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</si>
  <si>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</si>
  <si>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</si>
  <si>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</si>
  <si>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</si>
  <si>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</si>
  <si>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</si>
  <si>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</si>
  <si>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</si>
  <si>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</si>
  <si>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</si>
  <si>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</si>
  <si>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</si>
  <si>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</si>
  <si>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</si>
  <si>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</si>
  <si>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</si>
  <si>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</si>
  <si>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</si>
  <si>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</si>
  <si>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</si>
  <si>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</si>
  <si>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</si>
  <si>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</si>
  <si>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</si>
  <si>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</si>
  <si>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</si>
  <si>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</si>
  <si>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</si>
  <si>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</si>
  <si>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</si>
  <si>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</si>
  <si>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</si>
  <si>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</si>
  <si>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</si>
  <si>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</si>
  <si>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</si>
  <si>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</si>
  <si>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</si>
  <si>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</si>
  <si>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</si>
  <si>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</si>
  <si>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</si>
  <si>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</si>
  <si>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</si>
  <si>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</si>
  <si>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</si>
  <si>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</si>
  <si>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</si>
  <si>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</si>
  <si>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</si>
  <si>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</si>
  <si>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</si>
  <si>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</si>
  <si>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</si>
  <si>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</si>
  <si>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</si>
  <si>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</si>
  <si>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</si>
  <si>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</si>
  <si>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</si>
  <si>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</si>
  <si>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</si>
  <si>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</si>
  <si>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</si>
  <si>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</si>
  <si>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</si>
  <si>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</si>
  <si>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</si>
  <si>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</si>
  <si>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</si>
  <si>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</si>
  <si>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</si>
  <si>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</si>
  <si>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</si>
  <si>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</si>
  <si>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</si>
  <si>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</si>
  <si>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</si>
  <si>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</si>
  <si>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</si>
  <si>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</si>
  <si>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</si>
  <si>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</si>
  <si>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</si>
  <si>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</si>
  <si>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</si>
  <si>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</si>
  <si>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</si>
  <si>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</si>
  <si>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</si>
  <si>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</si>
  <si>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</si>
  <si>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</si>
  <si>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</si>
  <si>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</si>
  <si>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</si>
  <si>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</si>
  <si>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</si>
  <si>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</si>
  <si>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</si>
  <si>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</si>
  <si>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</si>
  <si>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</si>
  <si>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</si>
  <si>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</si>
  <si>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</si>
  <si>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</si>
  <si>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</si>
  <si>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</si>
  <si>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</si>
  <si>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</si>
  <si>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</si>
  <si>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</si>
  <si>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</si>
  <si>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</si>
  <si>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</si>
  <si>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</si>
  <si>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</si>
  <si>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</si>
  <si>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</si>
  <si>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</si>
  <si>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</si>
  <si>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</si>
  <si>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</si>
  <si>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</si>
  <si>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</si>
  <si>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</si>
  <si>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</si>
  <si>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</si>
  <si>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</si>
  <si>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</si>
  <si>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</si>
  <si>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</si>
  <si>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</si>
  <si>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</si>
  <si>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</si>
  <si>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</si>
  <si>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</si>
  <si>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</si>
  <si>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</si>
  <si>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</si>
  <si>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</si>
  <si>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</si>
  <si>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</si>
  <si>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</si>
  <si>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</si>
  <si>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</si>
  <si>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</si>
  <si>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</si>
  <si>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</si>
  <si>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</si>
  <si>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</si>
  <si>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</si>
  <si>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</si>
  <si>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</si>
  <si>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</si>
  <si>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</si>
  <si>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</si>
  <si>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</si>
  <si>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</si>
  <si>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</si>
  <si>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</si>
  <si>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</si>
  <si>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</si>
  <si>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</si>
  <si>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</si>
  <si>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</si>
  <si>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</si>
  <si>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</si>
  <si>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</si>
  <si>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</si>
  <si>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</si>
  <si>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</si>
  <si>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</si>
  <si>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</si>
  <si>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</si>
  <si>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</si>
  <si>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</si>
  <si>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</si>
  <si>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</si>
  <si>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</si>
  <si>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</si>
  <si>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</si>
  <si>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</si>
  <si>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</si>
  <si>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</si>
  <si>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</si>
  <si>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</si>
  <si>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</si>
  <si>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</si>
  <si>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</si>
  <si>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</si>
  <si>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</si>
  <si>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</si>
  <si>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</si>
  <si>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</si>
  <si>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</si>
  <si>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</si>
  <si>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</si>
  <si>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</si>
  <si>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</si>
  <si>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</si>
  <si>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</si>
  <si>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</si>
  <si>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</si>
  <si>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</si>
  <si>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</si>
  <si>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</si>
  <si>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</si>
  <si>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</si>
  <si>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</si>
  <si>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</si>
  <si>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</si>
  <si>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</si>
  <si>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</si>
  <si>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</si>
  <si>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</si>
  <si>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</si>
  <si>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</si>
  <si>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</si>
  <si>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</si>
  <si>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</si>
  <si>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</si>
  <si>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</si>
  <si>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</si>
  <si>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</si>
  <si>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</si>
  <si>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</si>
  <si>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</si>
  <si>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</si>
  <si>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</si>
  <si>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</si>
  <si>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</si>
  <si>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</si>
  <si>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</si>
  <si>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</si>
  <si>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</si>
  <si>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</si>
  <si>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</si>
  <si>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</si>
  <si>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</si>
  <si>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</si>
  <si>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</si>
  <si>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</si>
  <si>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</si>
  <si>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</si>
  <si>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</si>
  <si>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</si>
  <si>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</si>
  <si>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</si>
  <si>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</si>
  <si>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</si>
  <si>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</si>
  <si>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</si>
  <si>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</si>
  <si>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</si>
  <si>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</si>
  <si>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</si>
  <si>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</si>
  <si>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</si>
  <si>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</si>
  <si>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</si>
  <si>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</si>
  <si>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</si>
  <si>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</si>
  <si>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</si>
  <si>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</si>
  <si>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</si>
  <si>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</si>
  <si>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</si>
  <si>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</si>
  <si>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</si>
  <si>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</si>
  <si>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</si>
  <si>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</si>
  <si>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</si>
  <si>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</si>
  <si>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</si>
  <si>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</si>
  <si>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</si>
  <si>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</si>
  <si>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</si>
  <si>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</si>
  <si>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</si>
  <si>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</si>
  <si>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</si>
  <si>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</si>
  <si>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</si>
  <si>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</si>
  <si>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</si>
  <si>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</si>
  <si>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</si>
  <si>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</si>
  <si>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</si>
  <si>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</si>
  <si>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</si>
  <si>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</si>
  <si>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</si>
  <si>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</si>
  <si>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</si>
  <si>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</si>
  <si>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</si>
  <si>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</si>
  <si>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</si>
  <si>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</si>
  <si>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</si>
  <si>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</si>
  <si>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</si>
  <si>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</si>
  <si>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</si>
  <si>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</si>
  <si>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</si>
  <si>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</si>
  <si>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</si>
  <si>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</si>
  <si>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</si>
  <si>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</si>
  <si>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</si>
  <si>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</si>
  <si>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</si>
  <si>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</si>
  <si>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</si>
  <si>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</si>
  <si>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</si>
  <si>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</si>
  <si>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</si>
  <si>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</si>
  <si>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</si>
  <si>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</si>
  <si>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</si>
  <si>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</si>
  <si>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</si>
  <si>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</si>
  <si>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</si>
  <si>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</si>
  <si>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</si>
  <si>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</si>
  <si>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</si>
  <si>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</si>
  <si>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</si>
  <si>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</si>
  <si>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</si>
  <si>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</si>
  <si>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</si>
  <si>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</si>
  <si>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</si>
  <si>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</si>
  <si>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</si>
  <si>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</si>
  <si>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</si>
  <si>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</si>
  <si>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</si>
  <si>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</si>
  <si>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</si>
  <si>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</si>
  <si>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</si>
  <si>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</si>
  <si>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</si>
  <si>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</si>
  <si>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</si>
  <si>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</si>
  <si>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</si>
  <si>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</si>
  <si>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</si>
  <si>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</si>
  <si>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</si>
  <si>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</si>
  <si>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</si>
  <si>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</si>
  <si>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</si>
  <si>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</si>
  <si>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</si>
  <si>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</si>
  <si>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</si>
  <si>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</si>
  <si>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</si>
  <si>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</si>
  <si>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</si>
  <si>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</si>
  <si>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</si>
  <si>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</si>
  <si>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</si>
  <si>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</si>
  <si>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</si>
  <si>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</si>
  <si>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</si>
  <si>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</si>
  <si>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</si>
  <si>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</si>
  <si>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</si>
  <si>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</si>
  <si>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</si>
  <si>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</si>
  <si>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</si>
  <si>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</si>
  <si>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</si>
  <si>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</si>
  <si>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</si>
  <si>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</si>
  <si>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</si>
  <si>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</si>
  <si>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</si>
  <si>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</si>
  <si>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</si>
  <si>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</si>
  <si>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</si>
  <si>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</si>
  <si>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</si>
  <si>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</si>
  <si>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</si>
  <si>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</si>
  <si>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</si>
  <si>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</si>
  <si>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</si>
  <si>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</si>
  <si>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</si>
  <si>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</si>
  <si>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</si>
  <si>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</si>
  <si>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</si>
  <si>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</si>
  <si>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</si>
  <si>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</si>
  <si>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</si>
  <si>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</si>
  <si>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</si>
  <si>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</si>
  <si>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</si>
  <si>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</si>
  <si>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</si>
  <si>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</si>
  <si>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</si>
  <si>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</si>
  <si>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</si>
  <si>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</si>
  <si>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</si>
  <si>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</si>
  <si>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</si>
  <si>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</si>
  <si>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</si>
  <si>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</si>
  <si>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</si>
  <si>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</si>
  <si>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</si>
  <si>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</si>
  <si>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</si>
  <si>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</si>
  <si>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</si>
  <si>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</si>
  <si>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</si>
  <si>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</si>
  <si>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</si>
  <si>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</si>
  <si>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</si>
  <si>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</si>
  <si>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</si>
  <si>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</si>
  <si>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</si>
  <si>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</si>
  <si>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</si>
  <si>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</si>
  <si>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</si>
  <si>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</si>
  <si>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</si>
  <si>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</si>
  <si>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</si>
  <si>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</si>
  <si>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</si>
  <si>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</si>
  <si>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</si>
  <si>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</si>
  <si>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</si>
  <si>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</si>
  <si>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</si>
  <si>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</si>
  <si>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</si>
  <si>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</si>
  <si>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</si>
  <si>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</si>
  <si>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</si>
  <si>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</si>
  <si>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</si>
  <si>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</si>
  <si>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</si>
  <si>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</si>
  <si>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</si>
  <si>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</si>
  <si>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</si>
  <si>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</si>
  <si>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</si>
  <si>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</si>
  <si>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</si>
  <si>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</si>
  <si>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</si>
  <si>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</si>
  <si>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</si>
  <si>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</si>
  <si>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</si>
  <si>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</si>
  <si>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</si>
  <si>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</si>
  <si>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</si>
  <si>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</si>
  <si>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</si>
  <si>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</si>
  <si>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</si>
  <si>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</si>
  <si>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</si>
  <si>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</si>
  <si>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</si>
  <si>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</si>
  <si>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</si>
  <si>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</si>
  <si>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</si>
  <si>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</si>
  <si>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</si>
  <si>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</si>
  <si>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</si>
  <si>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</si>
  <si>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</si>
  <si>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</si>
  <si>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</si>
  <si>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</si>
  <si>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</si>
  <si>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</si>
  <si>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</si>
  <si>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</si>
  <si>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</si>
  <si>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</si>
  <si>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</si>
  <si>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</si>
  <si>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</si>
  <si>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</si>
  <si>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</si>
  <si>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</si>
  <si>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</si>
  <si>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</si>
  <si>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</si>
  <si>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</si>
  <si>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</si>
  <si>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</si>
  <si>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</si>
  <si>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</si>
  <si>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</si>
  <si>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</si>
  <si>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</si>
  <si>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</si>
  <si>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</si>
  <si>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</si>
  <si>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</si>
  <si>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</si>
  <si>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</si>
  <si>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</si>
  <si>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</si>
  <si>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</si>
  <si>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</si>
  <si>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</si>
  <si>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</si>
  <si>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</si>
  <si>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</si>
  <si>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</si>
  <si>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</si>
  <si>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</si>
  <si>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</si>
  <si>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</si>
  <si>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</si>
  <si>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</si>
  <si>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</si>
  <si>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</si>
  <si>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</si>
  <si>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</si>
  <si>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</si>
  <si>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</si>
  <si>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</si>
  <si>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</si>
  <si>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</si>
  <si>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</si>
  <si>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</si>
  <si>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</si>
  <si>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</si>
  <si>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</si>
  <si>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</si>
  <si>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</si>
  <si>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</si>
  <si>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</si>
  <si>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</si>
  <si>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</si>
  <si>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</si>
  <si>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</si>
  <si>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</si>
  <si>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</si>
  <si>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</si>
  <si>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</si>
  <si>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</si>
  <si>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</si>
  <si>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</si>
  <si>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</si>
  <si>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</si>
  <si>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</si>
  <si>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</si>
  <si>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</si>
  <si>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</si>
  <si>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</si>
  <si>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</si>
  <si>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</si>
  <si>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</si>
  <si>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</si>
  <si>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</si>
  <si>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</si>
  <si>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</si>
  <si>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</si>
  <si>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</si>
  <si>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</si>
  <si>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</si>
  <si>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</si>
  <si>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</si>
  <si>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</si>
  <si>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</si>
  <si>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</si>
  <si>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</si>
  <si>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</si>
  <si>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</si>
  <si>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</si>
  <si>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</si>
  <si>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</si>
  <si>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</si>
  <si>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</si>
  <si>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</si>
  <si>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</si>
  <si>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</si>
  <si>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</si>
  <si>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</si>
  <si>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</si>
  <si>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</si>
  <si>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</si>
  <si>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</si>
  <si>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</si>
  <si>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</si>
  <si>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</si>
  <si>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</si>
  <si>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</si>
  <si>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</si>
  <si>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</si>
  <si>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</si>
  <si>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</si>
  <si>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</si>
  <si>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</si>
  <si>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</si>
  <si>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</si>
  <si>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</si>
  <si>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</si>
  <si>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</si>
  <si>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</si>
  <si>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</si>
  <si>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</si>
  <si>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</si>
  <si>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</si>
  <si>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</si>
  <si>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</si>
  <si>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</si>
  <si>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</si>
  <si>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</si>
  <si>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</si>
  <si>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</si>
  <si>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</si>
  <si>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</si>
  <si>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</si>
  <si>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</si>
  <si>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</si>
  <si>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</si>
  <si>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</si>
  <si>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</si>
  <si>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</si>
  <si>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</si>
  <si>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</si>
  <si>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</si>
  <si>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</si>
  <si>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</si>
  <si>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</si>
  <si>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</si>
  <si>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</si>
  <si>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</si>
  <si>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</si>
  <si>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</si>
  <si>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</si>
  <si>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</si>
  <si>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</si>
  <si>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</si>
  <si>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</si>
  <si>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</si>
  <si>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</si>
  <si>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</si>
  <si>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</si>
  <si>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</si>
  <si>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</si>
  <si>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</si>
  <si>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</si>
  <si>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</si>
  <si>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</si>
  <si>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</si>
  <si>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</si>
  <si>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</si>
  <si>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</si>
  <si>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</si>
  <si>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</si>
  <si>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</si>
  <si>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</si>
  <si>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</si>
  <si>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</si>
  <si>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</si>
  <si>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</si>
  <si>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</si>
  <si>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</si>
  <si>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</si>
  <si>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</si>
  <si>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</si>
  <si>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</si>
  <si>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</si>
  <si>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</si>
  <si>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</si>
  <si>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</si>
  <si>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</si>
  <si>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</si>
  <si>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</si>
  <si>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</si>
  <si>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</si>
  <si>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</si>
  <si>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</si>
  <si>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</si>
  <si>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</si>
  <si>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</si>
  <si>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</si>
  <si>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</si>
  <si>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</si>
  <si>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</si>
  <si>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</si>
  <si>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</si>
  <si>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</si>
  <si>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</si>
  <si>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</si>
  <si>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</si>
  <si>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</si>
  <si>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</si>
  <si>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</si>
  <si>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</si>
  <si>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</si>
  <si>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</si>
  <si>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</si>
  <si>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</si>
  <si>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</si>
  <si>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</si>
  <si>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</si>
  <si>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</si>
  <si>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</si>
  <si>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</si>
  <si>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</si>
  <si>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</si>
  <si>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</si>
  <si>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</si>
  <si>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</si>
  <si>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</si>
  <si>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</si>
  <si>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</si>
  <si>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</si>
  <si>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</si>
  <si>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</si>
  <si>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</si>
  <si>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</si>
  <si>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</si>
  <si>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</si>
  <si>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</si>
  <si>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</si>
  <si>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</si>
  <si>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</si>
  <si>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</si>
  <si>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</si>
  <si>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</si>
  <si>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</si>
  <si>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</si>
  <si>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</si>
  <si>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</si>
  <si>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</si>
  <si>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</si>
  <si>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</si>
  <si>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</si>
  <si>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</si>
  <si>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</si>
  <si>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</si>
  <si>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</si>
  <si>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</si>
  <si>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</si>
  <si>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</si>
  <si>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</si>
  <si>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</si>
  <si>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</si>
  <si>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</si>
  <si>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</si>
  <si>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</si>
  <si>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</si>
  <si>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</si>
  <si>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</si>
  <si>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</si>
  <si>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</si>
  <si>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</si>
  <si>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</si>
  <si>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</si>
  <si>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</si>
  <si>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</si>
  <si>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</si>
  <si>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</si>
  <si>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</si>
  <si>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</si>
  <si>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</si>
  <si>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</si>
  <si>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</si>
  <si>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</si>
  <si>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</si>
  <si>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</si>
  <si>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</si>
  <si>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</si>
  <si>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</si>
  <si>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</si>
  <si>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</si>
  <si>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</si>
  <si>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</si>
  <si>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</si>
  <si>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</si>
  <si>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</si>
  <si>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</si>
  <si>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</si>
  <si>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</si>
  <si>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</si>
  <si>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</si>
  <si>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</si>
  <si>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</si>
  <si>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</si>
  <si>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</si>
  <si>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</si>
  <si>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</si>
  <si>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</si>
  <si>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</si>
  <si>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</si>
  <si>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</si>
  <si>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</si>
  <si>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</si>
  <si>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</si>
  <si>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</si>
  <si>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</si>
  <si>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</si>
  <si>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</si>
  <si>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</si>
  <si>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</si>
  <si>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</si>
  <si>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</si>
  <si>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</si>
  <si>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</si>
  <si>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</si>
  <si>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</si>
  <si>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</si>
  <si>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</si>
  <si>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</si>
  <si>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</si>
  <si>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</si>
  <si>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</si>
  <si>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</si>
  <si>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</si>
  <si>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</si>
  <si>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</si>
  <si>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</si>
  <si>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</si>
  <si>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</si>
  <si>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</si>
  <si>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</si>
  <si>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</si>
  <si>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</si>
  <si>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</si>
  <si>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</si>
  <si>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</si>
  <si>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</si>
  <si>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</si>
  <si>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</si>
  <si>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</si>
  <si>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</si>
  <si>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</si>
  <si>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</si>
  <si>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</si>
  <si>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</si>
  <si>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</si>
  <si>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</si>
  <si>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</si>
  <si>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</si>
  <si>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</si>
  <si>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</si>
  <si>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</si>
  <si>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</si>
  <si>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</si>
  <si>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</si>
  <si>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</si>
  <si>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</si>
  <si>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</si>
  <si>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</si>
  <si>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</si>
  <si>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</si>
  <si>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</si>
  <si>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</si>
  <si>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</si>
  <si>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</si>
  <si>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</si>
  <si>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</si>
  <si>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</si>
  <si>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</si>
  <si>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</si>
  <si>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</si>
  <si>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</si>
  <si>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</si>
  <si>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</si>
  <si>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</si>
  <si>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</si>
  <si>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</si>
  <si>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</si>
  <si>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</si>
  <si>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</si>
  <si>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</si>
  <si>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</si>
  <si>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</si>
  <si>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</si>
  <si>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</si>
  <si>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</si>
  <si>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</si>
  <si>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</si>
  <si>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</si>
  <si>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</si>
  <si>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</si>
  <si>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</si>
  <si>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</si>
  <si>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</si>
  <si>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</si>
  <si>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</si>
  <si>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</si>
  <si>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</si>
  <si>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</si>
  <si>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</si>
  <si>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</si>
  <si>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</si>
  <si>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</si>
  <si>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</si>
  <si>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</si>
  <si>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</si>
  <si>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</si>
  <si>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</si>
  <si>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</si>
  <si>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</si>
  <si>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</si>
  <si>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</si>
  <si>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</si>
  <si>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</si>
  <si>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</si>
  <si>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</si>
  <si>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</si>
  <si>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</si>
  <si>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</si>
  <si>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</si>
  <si>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</si>
  <si>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</si>
  <si>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</si>
  <si>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</si>
  <si>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</si>
  <si>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</si>
  <si>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</si>
  <si>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</si>
  <si>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</si>
  <si>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</si>
  <si>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</si>
  <si>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</si>
  <si>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</si>
  <si>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</si>
  <si>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</si>
  <si>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</si>
  <si>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</si>
  <si>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</si>
  <si>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</si>
  <si>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</si>
  <si>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</si>
  <si>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</si>
  <si>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</si>
  <si>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</si>
  <si>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</si>
  <si>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</si>
  <si>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</si>
  <si>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</si>
  <si>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</si>
  <si>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</si>
  <si>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</si>
  <si>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</si>
  <si>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</si>
  <si>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</si>
  <si>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</si>
  <si>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</si>
  <si>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</si>
  <si>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</si>
  <si>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</si>
  <si>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</si>
  <si>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</si>
  <si>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</si>
  <si>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</si>
  <si>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</si>
  <si>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</si>
  <si>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</si>
  <si>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</si>
  <si>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</si>
  <si>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</si>
  <si>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</si>
  <si>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</si>
  <si>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</si>
  <si>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</si>
  <si>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</si>
  <si>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</si>
  <si>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</si>
  <si>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</si>
  <si>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</si>
  <si>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</si>
  <si>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</si>
  <si>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</si>
  <si>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</si>
  <si>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</si>
  <si>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</si>
  <si>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</si>
  <si>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</si>
  <si>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</si>
  <si>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</si>
  <si>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</si>
  <si>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</si>
  <si>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</si>
  <si>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</si>
  <si>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</si>
  <si>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</si>
  <si>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</si>
  <si>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</si>
  <si>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</si>
  <si>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</si>
  <si>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</si>
  <si>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</si>
  <si>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</si>
  <si>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</si>
  <si>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</si>
  <si>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</si>
  <si>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</si>
  <si>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</si>
  <si>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</si>
  <si>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</si>
  <si>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</si>
  <si>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</si>
  <si>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</si>
  <si>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</si>
  <si>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</si>
  <si>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</si>
  <si>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</si>
  <si>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</si>
  <si>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</si>
  <si>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</si>
  <si>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</si>
  <si>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</si>
  <si>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</si>
  <si>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</si>
  <si>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</si>
  <si>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</si>
  <si>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</si>
  <si>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</si>
  <si>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</si>
  <si>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</si>
  <si>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</si>
  <si>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</si>
  <si>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</si>
  <si>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</si>
  <si>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</si>
  <si>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</si>
  <si>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</si>
  <si>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</si>
  <si>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</si>
  <si>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</si>
  <si>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</si>
  <si>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</si>
  <si>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</si>
  <si>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</si>
  <si>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</si>
  <si>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</si>
  <si>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</si>
  <si>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</si>
  <si>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</si>
  <si>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</si>
  <si>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</si>
  <si>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</si>
  <si>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</si>
  <si>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</si>
  <si>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</si>
  <si>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</si>
  <si>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</si>
  <si>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</si>
  <si>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</si>
  <si>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</si>
  <si>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</si>
  <si>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</si>
  <si>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</si>
  <si>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</si>
  <si>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</si>
  <si>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</si>
  <si>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</si>
  <si>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</si>
  <si>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</si>
  <si>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</si>
  <si>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</si>
  <si>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</si>
  <si>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</si>
  <si>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</si>
  <si>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</si>
  <si>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</si>
  <si>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</si>
  <si>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</si>
  <si>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</si>
  <si>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</si>
  <si>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</si>
  <si>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</si>
  <si>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</si>
  <si>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</si>
  <si>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</si>
  <si>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</si>
  <si>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</si>
  <si>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</si>
  <si>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</si>
  <si>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</si>
  <si>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</si>
  <si>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</si>
  <si>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</si>
  <si>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</si>
  <si>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</si>
  <si>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</si>
  <si>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</si>
  <si>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</si>
  <si>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</si>
  <si>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</si>
  <si>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</si>
  <si>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</si>
  <si>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</si>
  <si>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</si>
  <si>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</si>
  <si>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</si>
  <si>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</si>
  <si>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</si>
  <si>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</si>
  <si>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</si>
  <si>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</si>
  <si>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</si>
  <si>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</si>
  <si>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</si>
  <si>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</si>
  <si>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</si>
  <si>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</si>
  <si>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</si>
  <si>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</si>
  <si>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</si>
  <si>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</si>
  <si>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</si>
  <si>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</si>
  <si>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</si>
  <si>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</si>
  <si>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</si>
  <si>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</si>
  <si>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</si>
  <si>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</si>
  <si>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</si>
  <si>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</si>
  <si>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</si>
  <si>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</si>
  <si>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</si>
  <si>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</si>
  <si>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</si>
  <si>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</si>
  <si>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</si>
  <si>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</si>
  <si>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</si>
  <si>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</si>
  <si>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</si>
  <si>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</si>
  <si>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</si>
  <si>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</si>
  <si>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</si>
  <si>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</si>
  <si>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</si>
  <si>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</si>
  <si>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</si>
  <si>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</si>
  <si>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</si>
  <si>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</si>
  <si>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</si>
  <si>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</si>
  <si>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</si>
  <si>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</si>
  <si>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</si>
  <si>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</si>
  <si>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</si>
  <si>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</si>
  <si>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</si>
  <si>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</si>
  <si>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</si>
  <si>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</si>
  <si>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</si>
  <si>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</si>
  <si>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</si>
  <si>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</si>
  <si>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</si>
  <si>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</si>
  <si>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</si>
  <si>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</si>
  <si>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</si>
  <si>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</si>
  <si>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</si>
  <si>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</si>
  <si>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</si>
  <si>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</si>
  <si>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</si>
  <si>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</si>
  <si>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</si>
  <si>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</si>
  <si>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</si>
  <si>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</si>
  <si>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</si>
  <si>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</si>
  <si>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</si>
  <si>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</si>
  <si>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</si>
  <si>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</si>
  <si>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</si>
  <si>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</si>
  <si>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</si>
  <si>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</si>
  <si>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</si>
  <si>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</si>
  <si>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</si>
  <si>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</si>
  <si>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</si>
  <si>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</si>
  <si>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</si>
  <si>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</si>
  <si>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</si>
  <si>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</si>
  <si>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</si>
  <si>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</si>
  <si>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</si>
  <si>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</si>
  <si>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</si>
  <si>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</si>
  <si>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</si>
  <si>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</si>
  <si>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</si>
  <si>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</si>
  <si>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</si>
  <si>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</si>
  <si>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</si>
  <si>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</si>
  <si>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</si>
  <si>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</si>
  <si>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</si>
  <si>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</si>
  <si>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</si>
  <si>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</si>
  <si>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</si>
  <si>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</si>
  <si>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</si>
  <si>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</si>
  <si>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</si>
  <si>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</si>
  <si>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</si>
  <si>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</si>
  <si>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</si>
  <si>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</si>
  <si>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</si>
  <si>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</si>
  <si>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</si>
  <si>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</si>
  <si>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</si>
  <si>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</si>
  <si>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</si>
  <si>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</si>
  <si>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</si>
  <si>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</si>
  <si>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</si>
  <si>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</si>
  <si>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</si>
  <si>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</si>
  <si>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</si>
  <si>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</si>
  <si>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</si>
  <si>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</si>
  <si>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</si>
  <si>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</si>
  <si>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</si>
  <si>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</si>
  <si>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</si>
  <si>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</si>
  <si>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</si>
  <si>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</si>
  <si>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</si>
  <si>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</si>
  <si>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</si>
  <si>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</si>
  <si>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</si>
  <si>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</si>
  <si>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</si>
  <si>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</si>
  <si>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</si>
  <si>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</si>
  <si>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</si>
  <si>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</si>
  <si>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</si>
  <si>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</si>
  <si>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</si>
  <si>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</si>
  <si>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</si>
  <si>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</si>
  <si>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</si>
  <si>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</si>
  <si>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</si>
  <si>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</si>
  <si>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</si>
  <si>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</si>
  <si>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</si>
  <si>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</si>
  <si>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</si>
  <si>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</si>
  <si>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</si>
  <si>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</si>
  <si>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</si>
  <si>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</si>
  <si>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</si>
  <si>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</si>
  <si>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</si>
  <si>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</si>
  <si>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</si>
  <si>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</si>
  <si>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</si>
  <si>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</si>
  <si>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</si>
  <si>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</si>
  <si>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</si>
  <si>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</si>
  <si>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</si>
  <si>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</si>
  <si>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</si>
  <si>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</si>
  <si>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</si>
  <si>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</si>
  <si>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</si>
  <si>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</si>
  <si>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</si>
  <si>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</si>
  <si>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</si>
  <si>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</si>
  <si>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</si>
  <si>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</si>
  <si>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</si>
  <si>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</si>
  <si>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</si>
  <si>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</si>
  <si>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</si>
  <si>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</si>
  <si>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</si>
  <si>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</si>
  <si>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</si>
  <si>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</si>
  <si>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</si>
  <si>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</si>
  <si>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</si>
  <si>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</si>
  <si>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</si>
  <si>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</si>
  <si>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</si>
  <si>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</si>
  <si>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</si>
  <si>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</si>
  <si>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</si>
  <si>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</si>
  <si>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</si>
  <si>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</si>
  <si>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</si>
  <si>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</si>
  <si>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</si>
  <si>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</si>
  <si>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</si>
  <si>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</si>
  <si>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</si>
  <si>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</si>
  <si>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</si>
  <si>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</si>
  <si>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</si>
  <si>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</si>
  <si>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</si>
  <si>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</si>
  <si>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</si>
  <si>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</si>
  <si>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</si>
  <si>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</si>
  <si>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</si>
  <si>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</si>
  <si>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</si>
  <si>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</si>
  <si>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</si>
  <si>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</si>
  <si>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</si>
  <si>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</si>
  <si>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</si>
  <si>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</si>
  <si>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</si>
  <si>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</si>
  <si>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</si>
  <si>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</si>
  <si>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</si>
  <si>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</si>
  <si>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</si>
  <si>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</si>
  <si>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</si>
  <si>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</si>
  <si>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</si>
  <si>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</si>
  <si>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</si>
  <si>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</si>
  <si>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</si>
  <si>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</si>
  <si>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</si>
  <si>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</si>
  <si>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</si>
  <si>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</si>
  <si>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</si>
  <si>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</si>
  <si>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</si>
  <si>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</si>
  <si>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</si>
  <si>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</si>
  <si>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</si>
  <si>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</si>
  <si>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</si>
  <si>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</si>
  <si>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</si>
  <si>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</si>
  <si>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</si>
  <si>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</si>
  <si>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</si>
  <si>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</si>
  <si>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</si>
  <si>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</si>
  <si>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</si>
  <si>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</si>
  <si>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</si>
  <si>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</si>
  <si>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</si>
  <si>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</si>
  <si>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</si>
  <si>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</si>
  <si>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</si>
  <si>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</si>
  <si>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</si>
  <si>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</si>
  <si>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</si>
  <si>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</si>
  <si>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</si>
  <si>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</si>
  <si>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</si>
  <si>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</si>
  <si>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</si>
  <si>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</si>
  <si>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</si>
  <si>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</si>
  <si>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</si>
  <si>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</si>
  <si>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</si>
  <si>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</si>
  <si>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</si>
  <si>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</si>
  <si>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</si>
  <si>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</si>
  <si>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</si>
  <si>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</si>
  <si>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</si>
  <si>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</si>
  <si>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</si>
  <si>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</si>
  <si>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</si>
  <si>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</si>
  <si>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</si>
  <si>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</si>
  <si>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</si>
  <si>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</si>
  <si>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</si>
  <si>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</si>
  <si>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</si>
  <si>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</si>
  <si>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</si>
  <si>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</si>
  <si>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</si>
  <si>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</si>
  <si>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</si>
  <si>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</si>
  <si>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</si>
  <si>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</si>
  <si>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</si>
  <si>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</si>
  <si>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</si>
  <si>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</si>
  <si>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</si>
  <si>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</si>
  <si>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</si>
  <si>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</si>
  <si>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</si>
  <si>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</si>
  <si>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</si>
  <si>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</si>
  <si>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</si>
  <si>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</si>
  <si>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</si>
  <si>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</si>
  <si>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</si>
  <si>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</si>
  <si>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</si>
  <si>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</si>
  <si>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</si>
  <si>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</si>
  <si>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</si>
  <si>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</si>
  <si>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</si>
  <si>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</si>
  <si>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</si>
  <si>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</si>
  <si>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</si>
  <si>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</si>
  <si>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</si>
  <si>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</si>
  <si>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</si>
  <si>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</si>
  <si>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</si>
  <si>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</si>
  <si>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</si>
  <si>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</si>
  <si>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</si>
  <si>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</si>
  <si>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</si>
  <si>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</si>
  <si>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</si>
  <si>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</si>
  <si>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</si>
  <si>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</si>
  <si>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</si>
  <si>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</si>
  <si>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</si>
  <si>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</si>
  <si>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</si>
  <si>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</si>
  <si>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</si>
  <si>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</si>
  <si>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</si>
  <si>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</si>
  <si>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</si>
  <si>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</si>
  <si>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</si>
  <si>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</si>
  <si>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</si>
  <si>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</si>
  <si>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</si>
  <si>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</si>
  <si>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</si>
  <si>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</si>
  <si>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</si>
  <si>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</si>
  <si>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</si>
  <si>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</si>
  <si>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</si>
  <si>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</si>
  <si>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</si>
  <si>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</si>
  <si>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</si>
  <si>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</si>
  <si>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</si>
  <si>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</si>
  <si>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</si>
  <si>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</si>
  <si>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</si>
  <si>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</si>
  <si>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</si>
  <si>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</si>
  <si>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</si>
  <si>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</si>
  <si>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</si>
  <si>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</si>
  <si>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</si>
  <si>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</si>
  <si>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</si>
  <si>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</si>
  <si>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</si>
  <si>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</si>
  <si>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</si>
  <si>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</si>
  <si>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</si>
  <si>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</si>
  <si>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</si>
  <si>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</si>
  <si>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</si>
  <si>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</si>
  <si>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</si>
  <si>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</si>
  <si>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</si>
  <si>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</si>
  <si>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</si>
  <si>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</si>
  <si>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</si>
  <si>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</si>
  <si>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</si>
  <si>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</si>
  <si>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</si>
  <si>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</si>
  <si>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</si>
  <si>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</si>
  <si>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</si>
  <si>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</si>
  <si>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</si>
  <si>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</si>
  <si>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</si>
  <si>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</si>
  <si>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</si>
  <si>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</si>
  <si>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</si>
  <si>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</si>
  <si>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</si>
  <si>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</si>
  <si>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</si>
  <si>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</si>
  <si>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</si>
  <si>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</si>
  <si>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</si>
  <si>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</si>
  <si>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</si>
  <si>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</si>
  <si>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</si>
  <si>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</si>
  <si>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</si>
  <si>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</si>
  <si>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</si>
  <si>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</si>
  <si>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</si>
  <si>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</si>
  <si>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</si>
  <si>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</si>
  <si>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</si>
  <si>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</si>
  <si>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</si>
  <si>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</si>
  <si>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</si>
  <si>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</si>
  <si>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</si>
  <si>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</si>
  <si>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</si>
  <si>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</si>
  <si>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</si>
  <si>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</si>
  <si>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</si>
  <si>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</si>
  <si>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</si>
  <si>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</si>
  <si>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</si>
  <si>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</si>
  <si>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</si>
  <si>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</si>
  <si>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</si>
  <si>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</si>
  <si>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</si>
  <si>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</si>
  <si>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</si>
  <si>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</si>
  <si>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</si>
  <si>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</si>
  <si>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</si>
  <si>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</si>
  <si>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</si>
  <si>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</si>
  <si>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</si>
  <si>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</si>
  <si>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</si>
  <si>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</si>
  <si>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</si>
  <si>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</si>
  <si>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</si>
  <si>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</si>
  <si>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</si>
  <si>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</si>
  <si>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</si>
  <si>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</si>
  <si>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</si>
  <si>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</si>
  <si>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</si>
  <si>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</si>
  <si>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</si>
  <si>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</si>
  <si>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</si>
  <si>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</si>
  <si>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</si>
  <si>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</si>
  <si>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</si>
  <si>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</si>
  <si>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</si>
  <si>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</si>
  <si>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</si>
  <si>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</si>
  <si>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</si>
  <si>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</si>
  <si>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</si>
  <si>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</si>
  <si>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</si>
  <si>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</si>
  <si>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</si>
  <si>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</si>
  <si>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</si>
  <si>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</si>
  <si>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</si>
  <si>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</si>
  <si>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</si>
  <si>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</si>
  <si>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</si>
  <si>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</si>
  <si>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</si>
  <si>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</si>
  <si>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</si>
  <si>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</si>
  <si>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</si>
  <si>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</si>
  <si>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</si>
  <si>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</si>
  <si>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</si>
  <si>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</si>
  <si>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</si>
  <si>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</si>
  <si>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</si>
  <si>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</si>
  <si>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</si>
  <si>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</si>
  <si>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</si>
  <si>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</si>
  <si>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</si>
  <si>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</si>
  <si>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</si>
  <si>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</si>
  <si>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</si>
  <si>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</si>
  <si>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</si>
  <si>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</si>
  <si>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</si>
  <si>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</si>
  <si>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</si>
  <si>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</si>
  <si>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</si>
  <si>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</si>
  <si>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</si>
  <si>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</si>
  <si>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</si>
  <si>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</si>
  <si>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</si>
  <si>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</si>
  <si>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</si>
  <si>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</si>
  <si>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</si>
  <si>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</si>
  <si>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</si>
  <si>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</si>
  <si>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</si>
  <si>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</si>
  <si>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</si>
  <si>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</si>
  <si>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</si>
  <si>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</si>
  <si>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</si>
  <si>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</si>
  <si>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</si>
  <si>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</si>
  <si>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</si>
  <si>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</si>
  <si>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</si>
  <si>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</si>
  <si>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</si>
  <si>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</si>
  <si>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</si>
  <si>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</si>
  <si>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</si>
  <si>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</si>
  <si>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</si>
  <si>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</si>
  <si>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</si>
  <si>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</si>
  <si>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</si>
  <si>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</si>
  <si>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</si>
  <si>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</si>
  <si>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</si>
  <si>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</si>
  <si>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</si>
  <si>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</si>
  <si>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</si>
  <si>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</si>
  <si>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</si>
  <si>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</si>
  <si>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</si>
  <si>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</si>
  <si>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</si>
  <si>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</si>
  <si>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</si>
  <si>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</si>
  <si>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</si>
  <si>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</si>
  <si>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</si>
  <si>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</si>
  <si>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</si>
  <si>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</si>
  <si>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</si>
  <si>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</si>
  <si>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</si>
  <si>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</si>
  <si>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</si>
  <si>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</si>
  <si>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</si>
  <si>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</si>
  <si>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</si>
  <si>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</si>
  <si>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</si>
  <si>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</si>
  <si>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</si>
  <si>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</si>
  <si>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</si>
  <si>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</si>
  <si>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</si>
  <si>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</si>
  <si>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</si>
  <si>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</si>
  <si>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</si>
  <si>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</si>
  <si>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</si>
  <si>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</si>
  <si>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</si>
  <si>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</si>
  <si>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</si>
  <si>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</si>
  <si>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</si>
  <si>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</si>
  <si>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</si>
  <si>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</si>
  <si>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</si>
  <si>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</si>
  <si>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</si>
  <si>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</si>
  <si>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</si>
  <si>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</si>
  <si>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</si>
  <si>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</si>
  <si>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</si>
  <si>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</si>
  <si>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</si>
  <si>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</si>
  <si>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</si>
  <si>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</si>
  <si>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</si>
  <si>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</si>
  <si>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</si>
  <si>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</si>
  <si>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</si>
  <si>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</si>
  <si>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</si>
  <si>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</si>
  <si>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</si>
  <si>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</si>
  <si>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</si>
  <si>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</si>
  <si>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</si>
  <si>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</si>
  <si>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</si>
  <si>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</si>
  <si>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</si>
  <si>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</si>
  <si>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</si>
  <si>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</si>
  <si>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</si>
  <si>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</si>
  <si>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</si>
  <si>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</si>
  <si>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</si>
  <si>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</si>
  <si>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</si>
  <si>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</si>
  <si>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</si>
  <si>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</si>
  <si>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</si>
  <si>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</si>
  <si>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</si>
  <si>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</si>
  <si>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</si>
  <si>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</si>
  <si>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</si>
  <si>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</si>
  <si>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</si>
  <si>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</si>
  <si>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</si>
  <si>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</si>
  <si>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</si>
  <si>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</si>
  <si>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</si>
  <si>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</si>
  <si>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</si>
  <si>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</si>
  <si>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</si>
  <si>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</si>
  <si>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</si>
  <si>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</si>
  <si>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</si>
  <si>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</si>
  <si>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</si>
  <si>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</si>
  <si>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</si>
  <si>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</si>
  <si>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</si>
  <si>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</si>
  <si>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</si>
  <si>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</si>
  <si>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</si>
  <si>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</si>
  <si>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</si>
  <si>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</si>
  <si>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</si>
  <si>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</si>
  <si>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</si>
  <si>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</si>
  <si>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</si>
  <si>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</si>
  <si>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</si>
  <si>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</si>
  <si>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</si>
  <si>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</si>
  <si>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</si>
  <si>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</si>
  <si>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</si>
  <si>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</si>
  <si>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</si>
  <si>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</si>
  <si>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</si>
  <si>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</si>
  <si>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</si>
  <si>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</si>
  <si>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</si>
  <si>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</si>
  <si>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</si>
  <si>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</si>
  <si>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</si>
  <si>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</si>
  <si>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</si>
  <si>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</si>
  <si>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</si>
  <si>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</si>
  <si>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</si>
  <si>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</si>
  <si>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</si>
  <si>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</si>
  <si>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</si>
  <si>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</si>
  <si>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</si>
  <si>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</si>
  <si>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</si>
  <si>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</si>
  <si>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</si>
  <si>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</si>
  <si>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</si>
  <si>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</si>
  <si>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</si>
  <si>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</si>
  <si>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</si>
  <si>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</si>
  <si>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</si>
  <si>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</si>
  <si>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</si>
  <si>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</si>
  <si>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</si>
  <si>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</si>
  <si>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</si>
  <si>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</si>
  <si>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</si>
  <si>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</si>
  <si>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</si>
  <si>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</si>
  <si>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</si>
  <si>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</si>
  <si>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</si>
  <si>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</si>
  <si>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</si>
  <si>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</si>
  <si>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</si>
  <si>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</si>
  <si>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</si>
  <si>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</si>
  <si>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</si>
  <si>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</si>
  <si>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</si>
  <si>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</si>
  <si>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</si>
  <si>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</si>
  <si>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</si>
  <si>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</si>
  <si>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</si>
  <si>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</si>
  <si>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</si>
  <si>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</si>
  <si>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</si>
  <si>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</si>
  <si>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</si>
  <si>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</si>
  <si>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</si>
  <si>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</si>
  <si>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</si>
  <si>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</si>
  <si>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</si>
  <si>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</si>
  <si>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</si>
  <si>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</si>
  <si>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</si>
  <si>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</si>
  <si>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</si>
  <si>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</si>
  <si>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</si>
  <si>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</si>
  <si>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</si>
  <si>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</si>
  <si>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</si>
  <si>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</si>
  <si>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</si>
  <si>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</si>
  <si>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</si>
  <si>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</si>
  <si>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</si>
  <si>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</si>
  <si>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</si>
  <si>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</si>
  <si>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</si>
  <si>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</si>
  <si>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</si>
  <si>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</si>
  <si>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</si>
  <si>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</si>
  <si>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</si>
  <si>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</si>
  <si>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</si>
  <si>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</si>
  <si>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</si>
  <si>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</si>
  <si>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</si>
  <si>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</si>
  <si>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</si>
  <si>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</si>
  <si>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</si>
  <si>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</si>
  <si>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</si>
  <si>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</si>
  <si>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</si>
  <si>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</si>
  <si>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</si>
  <si>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</si>
  <si>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</si>
  <si>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</si>
  <si>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</si>
  <si>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</si>
  <si>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</si>
  <si>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</si>
  <si>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</si>
  <si>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</si>
  <si>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</si>
  <si>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</si>
  <si>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</si>
  <si>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</si>
  <si>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</si>
  <si>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</si>
  <si>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</si>
  <si>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</si>
  <si>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</si>
  <si>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</si>
  <si>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</si>
  <si>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</si>
  <si>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</si>
  <si>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</si>
  <si>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</si>
  <si>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</si>
  <si>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</si>
  <si>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</si>
  <si>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</si>
  <si>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</si>
  <si>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</si>
  <si>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</si>
  <si>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</si>
  <si>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</si>
  <si>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</si>
  <si>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</si>
  <si>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</si>
  <si>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</si>
  <si>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</si>
  <si>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</si>
  <si>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</si>
  <si>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</si>
  <si>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</si>
  <si>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</si>
  <si>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</si>
  <si>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</si>
  <si>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</si>
  <si>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</si>
  <si>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</si>
  <si>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</si>
  <si>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</si>
  <si>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</si>
  <si>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</si>
  <si>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</si>
  <si>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</si>
  <si>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</si>
  <si>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</si>
  <si>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</si>
  <si>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</si>
  <si>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</si>
  <si>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</si>
  <si>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</si>
  <si>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</si>
  <si>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</si>
  <si>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</si>
  <si>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</si>
  <si>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</si>
  <si>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</si>
  <si>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</si>
  <si>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</si>
  <si>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</si>
  <si>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</si>
  <si>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</si>
  <si>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</si>
  <si>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</si>
  <si>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</si>
  <si>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</si>
  <si>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</si>
  <si>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</si>
  <si>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</si>
  <si>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</si>
  <si>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</si>
  <si>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</si>
  <si>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</si>
  <si>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</si>
  <si>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</si>
  <si>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</si>
  <si>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</si>
  <si>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</si>
  <si>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</si>
  <si>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</si>
  <si>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</si>
  <si>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</si>
  <si>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</si>
  <si>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</si>
  <si>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</si>
  <si>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</si>
  <si>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</si>
  <si>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</si>
  <si>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</si>
  <si>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</si>
  <si>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</si>
  <si>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</si>
  <si>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</si>
  <si>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</si>
  <si>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</si>
  <si>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</si>
  <si>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</si>
  <si>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</si>
  <si>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</si>
  <si>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</si>
  <si>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</si>
  <si>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</si>
  <si>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</si>
  <si>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</si>
  <si>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</si>
  <si>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</si>
  <si>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</si>
  <si>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</si>
  <si>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</si>
  <si>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</si>
  <si>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</si>
  <si>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</si>
  <si>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</si>
  <si>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</si>
  <si>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</si>
  <si>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</si>
  <si>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</si>
  <si>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</si>
  <si>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</si>
  <si>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</si>
  <si>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</si>
  <si>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</si>
  <si>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</si>
  <si>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</si>
  <si>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</si>
  <si>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</si>
  <si>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</si>
  <si>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</si>
  <si>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</si>
  <si>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</si>
  <si>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</si>
  <si>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</si>
  <si>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</si>
  <si>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</si>
  <si>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</si>
  <si>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</si>
  <si>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</si>
  <si>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</si>
  <si>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</si>
  <si>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</si>
  <si>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</si>
  <si>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</si>
  <si>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</si>
  <si>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</si>
  <si>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</si>
  <si>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</si>
  <si>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</si>
  <si>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</si>
  <si>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</si>
  <si>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</si>
  <si>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</si>
  <si>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</si>
  <si>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</si>
  <si>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</si>
  <si>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</si>
  <si>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</si>
  <si>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</si>
  <si>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</si>
  <si>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</si>
  <si>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</si>
  <si>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</si>
  <si>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</si>
  <si>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</si>
  <si>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</si>
  <si>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</si>
  <si>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</si>
  <si>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</si>
  <si>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</si>
  <si>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</si>
  <si>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</si>
  <si>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</si>
  <si>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</si>
  <si>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</si>
  <si>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</si>
  <si>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</si>
  <si>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</si>
  <si>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</si>
  <si>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</si>
  <si>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</si>
  <si>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</si>
  <si>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</si>
  <si>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</si>
  <si>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</si>
  <si>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</si>
  <si>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</si>
  <si>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</si>
  <si>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</si>
  <si>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</si>
  <si>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</si>
  <si>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Ⅷ-通州环保园</t>
  </si>
  <si>
    <t>欧红伟</t>
  </si>
  <si>
    <t>梁津</t>
  </si>
  <si>
    <t>中国银行总行北京分行开发区支行</t>
    <phoneticPr fontId="6" type="noConversion"/>
  </si>
  <si>
    <t>北京宏强富瑞技术有限公司</t>
    <phoneticPr fontId="6" type="noConversion"/>
  </si>
  <si>
    <t>抵押</t>
  </si>
  <si>
    <t>房地产抵押价值</t>
  </si>
  <si>
    <t>出让</t>
  </si>
  <si>
    <t>北京市</t>
  </si>
  <si>
    <t>企业</t>
  </si>
  <si>
    <t>工业</t>
    <phoneticPr fontId="6" type="noConversion"/>
  </si>
  <si>
    <r>
      <rPr>
        <sz val="12"/>
        <color theme="9" tint="-0.249977111117893"/>
        <rFont val="宋体"/>
        <family val="3"/>
        <charset val="134"/>
      </rPr>
      <t>工业</t>
    </r>
    <r>
      <rPr>
        <sz val="12"/>
        <color theme="9" tint="-0.249977111117893"/>
        <rFont val="Arial"/>
        <family val="2"/>
      </rPr>
      <t>39.62</t>
    </r>
    <phoneticPr fontId="6" type="noConversion"/>
  </si>
  <si>
    <t>否</t>
  </si>
  <si>
    <t>工业项目</t>
  </si>
  <si>
    <t>通上水</t>
  </si>
  <si>
    <t>通下水</t>
  </si>
  <si>
    <t>通路</t>
  </si>
  <si>
    <t>通电</t>
  </si>
  <si>
    <t>通讯</t>
  </si>
  <si>
    <r>
      <t>38</t>
    </r>
    <r>
      <rPr>
        <sz val="10"/>
        <color indexed="8"/>
        <rFont val="宋体"/>
        <family val="3"/>
        <charset val="134"/>
      </rPr>
      <t>幢</t>
    </r>
    <phoneticPr fontId="3" type="noConversion"/>
  </si>
  <si>
    <t>是</t>
  </si>
  <si>
    <t>地上</t>
  </si>
  <si>
    <t>办公楼</t>
  </si>
  <si>
    <t>工业办公</t>
  </si>
  <si>
    <t>工业办公</t>
    <phoneticPr fontId="7" type="noConversion"/>
  </si>
  <si>
    <t>工业用地</t>
  </si>
  <si>
    <r>
      <rPr>
        <sz val="11"/>
        <color theme="9" tint="-0.249977111117893"/>
        <rFont val="宋体"/>
        <family val="3"/>
        <charset val="134"/>
      </rPr>
      <t>估价对象位于通州联东</t>
    </r>
    <r>
      <rPr>
        <sz val="11"/>
        <color theme="9" tint="-0.249977111117893"/>
        <rFont val="Arial"/>
        <family val="2"/>
      </rPr>
      <t>U</t>
    </r>
    <r>
      <rPr>
        <sz val="11"/>
        <color theme="9" tint="-0.249977111117893"/>
        <rFont val="宋体"/>
        <family val="3"/>
        <charset val="134"/>
      </rPr>
      <t>谷开发区，园区建设成熟度较好，产业集聚程度较好</t>
    </r>
    <phoneticPr fontId="41" type="noConversion"/>
  </si>
  <si>
    <t>估价对象周边道路状况、公共交通通达情况、停车便捷程度，综合评价交通便捷度一般</t>
    <phoneticPr fontId="41" type="noConversion"/>
  </si>
  <si>
    <t>估价对象所在区域公共配套设施齐备情况一般</t>
    <phoneticPr fontId="41" type="noConversion"/>
  </si>
  <si>
    <t>估价对象所在区域基础设施一般</t>
    <phoneticPr fontId="25" type="noConversion"/>
  </si>
  <si>
    <t>该园区内是否有污染型企业，绿化情况，卫生条件，整体环境状况一般</t>
    <phoneticPr fontId="41" type="noConversion"/>
  </si>
  <si>
    <t>售价</t>
  </si>
  <si>
    <t>较好</t>
  </si>
  <si>
    <t>一般</t>
  </si>
  <si>
    <t>五通</t>
  </si>
  <si>
    <t>工业办公</t>
    <phoneticPr fontId="32" type="noConversion"/>
  </si>
  <si>
    <t>钢混</t>
  </si>
  <si>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</si>
  <si>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</si>
  <si>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</si>
  <si>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</si>
  <si>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</si>
  <si>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</si>
  <si>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</si>
  <si>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</si>
  <si>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</si>
  <si>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</si>
  <si>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</si>
  <si>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</si>
  <si>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</si>
  <si>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</si>
  <si>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</si>
  <si>
    <t>专业</t>
  </si>
  <si>
    <t>普通装修</t>
  </si>
  <si>
    <t>毛坯</t>
  </si>
  <si>
    <t>30-40（含）</t>
  </si>
  <si>
    <t>工业</t>
    <phoneticPr fontId="32" type="noConversion"/>
  </si>
  <si>
    <t>简装</t>
  </si>
  <si>
    <t>联东U谷</t>
    <phoneticPr fontId="3" type="noConversion"/>
  </si>
  <si>
    <t>押一</t>
  </si>
  <si>
    <t>收益法</t>
  </si>
  <si>
    <t>生产用房</t>
  </si>
  <si>
    <t>现房</t>
  </si>
  <si>
    <t>比较法-工业</t>
  </si>
  <si>
    <t>收益比率</t>
  </si>
  <si>
    <t>2017-1-1039-P01DYGJ1</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</si>
  <si>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）通州区不动产权第</t>
    </r>
    <r>
      <rPr>
        <sz val="12"/>
        <color theme="9" tint="-0.249977111117893"/>
        <rFont val="Arial"/>
        <family val="2"/>
      </rPr>
      <t>0031964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</si>
  <si>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通州区环科中路16号38幢1至4层101工业用房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</si>
</sst>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58" fontId="64" fillId="0" borderId="0" xfId="0" applyNumberFormat="1"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4" zoomScale="80" zoomScaleNormal="80" workbookViewId="0">
      <selection activeCell="B44" sqref="B44"/>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北京市通州区环科中路16号38幢1至4层101工业用房预评估</v>
      </c>
    </row>
    <row r="3" spans="1:2" s="1595" customFormat="1">
      <c r="A3" s="1593" t="s">
        <v>1222</v>
      </c>
      <c r="B3" s="1594" t="str">
        <f>'预评函-封皮'!B40</f>
        <v>北京宏强富瑞技术有限公司</v>
      </c>
    </row>
    <row r="4" spans="1:2" s="1595" customFormat="1">
      <c r="A4" s="1593" t="s">
        <v>1223</v>
      </c>
      <c r="B4" s="1594" t="str">
        <f ca="1">'预评函-封皮'!B46</f>
        <v>欧红伟（注册号：1120000080)、梁津（注册号：1119970066)</v>
      </c>
    </row>
    <row r="5" spans="1:2" s="1589" customFormat="1" ht="15" thickBot="1">
      <c r="A5" s="1596" t="s">
        <v>1224</v>
      </c>
      <c r="B5" s="1597" t="str">
        <f>'预评函-封皮'!B49</f>
        <v>康正预评字2017-1-1039-P01DYGJ1号</v>
      </c>
    </row>
    <row r="6" spans="1:2" s="1592" customFormat="1" ht="15" thickTop="1">
      <c r="A6" s="1590" t="s">
        <v>1225</v>
      </c>
      <c r="B6" s="1591" t="str">
        <f>'预评函-1'!A4</f>
        <v>受贵公司委托，我公司对北京市通州区环科中路16号38幢1至4层101工业用房进行了预评估。</v>
      </c>
    </row>
    <row r="7" spans="1:2" s="1595" customFormat="1">
      <c r="A7" s="1593" t="s">
        <v>1265</v>
      </c>
      <c r="B7" s="1594" t="str">
        <f>'预评函-1'!A7</f>
        <v>估价对象为北京市通州区环科中路16号38幢1至4层101工业用房房地产，为北京宏强富瑞技术有限公司所有。根据，估价对象（分摊）出让国有建设用地使用权面积为0平方米，建筑面积为4799.08平方米。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通州区环科中路16号38幢1至4层101工业用房房地产,属北京宏强富瑞技术有限公司开发建设的工业项目，该项目尚在开发建设中。根据，估价对象（分摊）出让国有建设用地使用权面积为0平方米，规划建筑面积为4799.08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为估价委托人在向中国银行总行北京分行开发区支行办理贷款手续过程中，确定房地产抵押贷款额度提供参考依据而评估房地产抵押价值。</v>
      </c>
    </row>
    <row r="12" spans="1:2" s="1595" customFormat="1">
      <c r="A12" s="1593" t="s">
        <v>1227</v>
      </c>
      <c r="B12" s="1594" t="str">
        <f>'预评函-1'!A15</f>
        <v>2017年11月22日（评估专业人员实地查勘之日）</v>
      </c>
    </row>
    <row r="13" spans="1:2" s="1595" customFormat="1">
      <c r="A13" s="1593" t="s">
        <v>1228</v>
      </c>
      <c r="B13" s="1594" t="str">
        <f>'预评函-1'!A18</f>
        <v>本次估价的“房地产价值”是指在正常市场情况下，在价值时点2017年11月22日，估价对象规划用途为工业，土地取得方式为出让，出让国有建设用地使用权剩余土地使用年限为工业39.62，假定未设立法定优先受偿款下的房地产市场价值。</v>
      </c>
    </row>
    <row r="14" spans="1:2" s="1595" customFormat="1">
      <c r="A14" s="1593" t="s">
        <v>1229</v>
      </c>
      <c r="B14" s="1594" t="str">
        <f>'预评函-1'!A19</f>
        <v>其中，“出让国有建设用地使用权价值”是指估价对象用途为工业，实际开发程度为宗地红线外“七通”（即通上水、通下水、通路、通电、通讯、、）、红线内场地平整条件下，剩余土地使用年限为工业39.62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1233</v>
      </c>
      <c r="B18" s="1597" t="str">
        <f>'预评函-1'!A24</f>
        <v>本次评估采用的主估价方法为比较法和收益法。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3961</v>
      </c>
    </row>
    <row r="21" spans="1:2" s="1595" customFormat="1">
      <c r="A21" s="1593" t="s">
        <v>1236</v>
      </c>
      <c r="B21" s="1594">
        <f ca="1">'预评函-2'!D7</f>
        <v>8254</v>
      </c>
    </row>
    <row r="22" spans="1:2" s="1595" customFormat="1">
      <c r="A22" s="1593" t="s">
        <v>1237</v>
      </c>
      <c r="B22" s="1594" t="str">
        <f ca="1">'预评函-2'!D6</f>
        <v>叁仟玖佰陆拾壹万元整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3961</v>
      </c>
    </row>
    <row r="31" spans="1:2" s="1595" customFormat="1">
      <c r="A31" s="1593" t="s">
        <v>1275</v>
      </c>
      <c r="B31" s="1594">
        <f ca="1">'预评函-2'!D15</f>
        <v>8254</v>
      </c>
    </row>
    <row r="32" spans="1:2" s="1595" customFormat="1">
      <c r="A32" s="1593" t="s">
        <v>1242</v>
      </c>
      <c r="B32" s="1594" t="str">
        <f ca="1">'预评函-2'!D14</f>
        <v>叁仟玖佰陆拾壹万元整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北京市通州区环科中路16号38幢1至4层101工业用房房地产</v>
      </c>
    </row>
    <row r="42" spans="1:2" s="1595" customFormat="1">
      <c r="A42" s="1593" t="s">
        <v>1289</v>
      </c>
      <c r="B42" s="1594" t="str">
        <f>'预评函-3'!B2</f>
        <v>建筑面积</v>
      </c>
    </row>
    <row r="43" spans="1:2" s="1595" customFormat="1">
      <c r="A43" s="1593" t="s">
        <v>1290</v>
      </c>
      <c r="B43" s="1594">
        <f>'预评函-3'!B4</f>
        <v>4799.08</v>
      </c>
    </row>
    <row r="44" spans="1:2" s="1595" customFormat="1">
      <c r="A44" s="1593" t="s">
        <v>1274</v>
      </c>
      <c r="B44" s="1594" t="str">
        <f>'预评函-3'!C2</f>
        <v>(分摊)土地面积</v>
      </c>
    </row>
    <row r="45" spans="1:2" s="1595" customFormat="1">
      <c r="A45" s="1593" t="s">
        <v>1246</v>
      </c>
      <c r="B45" s="1594">
        <f>'预评函-3'!C4</f>
        <v>0</v>
      </c>
    </row>
    <row r="46" spans="1:2" s="1595" customFormat="1">
      <c r="A46" s="1593" t="s">
        <v>1272</v>
      </c>
      <c r="B46" s="1594" t="str">
        <f>'预评函-3'!D2</f>
        <v>出让国有建设用地使用权价值</v>
      </c>
    </row>
    <row r="47" spans="1:2" s="1595" customFormat="1">
      <c r="A47" s="1593" t="s">
        <v>1247</v>
      </c>
      <c r="B47" s="1594">
        <f ca="1">'预评函-3'!D4</f>
        <v>1145</v>
      </c>
    </row>
    <row r="48" spans="1:2" s="1595" customFormat="1">
      <c r="A48" s="1593" t="s">
        <v>1248</v>
      </c>
      <c r="B48" s="1594">
        <f ca="1">'预评函-3'!E4</f>
        <v>2386</v>
      </c>
    </row>
    <row r="49" spans="1:2" s="1595" customFormat="1">
      <c r="A49" s="1593" t="s">
        <v>1249</v>
      </c>
      <c r="B49" s="1594" t="str">
        <f ca="1">'预评函-3'!D5</f>
        <v>壹仟壹佰肆拾伍万元整</v>
      </c>
    </row>
    <row r="50" spans="1:2" s="1595" customFormat="1">
      <c r="A50" s="1593" t="s">
        <v>1273</v>
      </c>
      <c r="B50" s="1594" t="str">
        <f>'预评函-3'!F2</f>
        <v>在建建筑物价值</v>
      </c>
    </row>
    <row r="51" spans="1:2" s="1595" customFormat="1">
      <c r="A51" s="1593" t="s">
        <v>1250</v>
      </c>
      <c r="B51" s="1594">
        <f ca="1">'预评函-3'!F4</f>
        <v>2816</v>
      </c>
    </row>
    <row r="52" spans="1:2" s="1595" customFormat="1">
      <c r="A52" s="1593" t="s">
        <v>1251</v>
      </c>
      <c r="B52" s="1594">
        <f ca="1">'预评函-3'!G4</f>
        <v>5868</v>
      </c>
    </row>
    <row r="53" spans="1:2" s="1595" customFormat="1">
      <c r="A53" s="1593" t="s">
        <v>1279</v>
      </c>
      <c r="B53" s="1594" t="str">
        <f ca="1">'预评函-3'!F5</f>
        <v>贰仟捌佰壹拾陆万元整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（1）根据估价对象《房屋所有权证》原件、《国有土地使用权》——，截至价值时点，估价对象抵押权未见登记。</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欧红伟</v>
      </c>
    </row>
    <row r="71" spans="1:2">
      <c r="A71" s="1593" t="s">
        <v>1262</v>
      </c>
      <c r="B71" s="1594">
        <f ca="1">'预评函-4'!B4</f>
        <v>1120000080</v>
      </c>
    </row>
    <row r="72" spans="1:2">
      <c r="A72" s="1593" t="s">
        <v>1263</v>
      </c>
      <c r="B72" s="1602" t="str">
        <f>'预评函-4'!A5</f>
        <v>梁津</v>
      </c>
    </row>
    <row r="73" spans="1:2" s="1589" customFormat="1" ht="15" thickBot="1">
      <c r="A73" s="1596" t="s">
        <v>1264</v>
      </c>
      <c r="B73" s="1597">
        <f ca="1">'预评函-4'!B5</f>
        <v>1119970066</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6" t="s">
        <v>1734</v>
      </c>
      <c r="C5" s="2017" t="s">
        <v>763</v>
      </c>
      <c r="F5" s="2018" t="s">
        <v>1735</v>
      </c>
      <c r="H5" s="2018" t="s">
        <v>1736</v>
      </c>
      <c r="I5" s="2018" t="s">
        <v>1737</v>
      </c>
      <c r="K5" s="2018" t="s">
        <v>1738</v>
      </c>
      <c r="L5" s="2018" t="s">
        <v>1738</v>
      </c>
      <c r="M5" s="2018" t="s">
        <v>1738</v>
      </c>
      <c r="N5" s="2018" t="s">
        <v>1738</v>
      </c>
      <c r="O5" s="2018" t="s">
        <v>1738</v>
      </c>
      <c r="P5" s="2018" t="s">
        <v>1738</v>
      </c>
      <c r="Q5" s="2018" t="s">
        <v>1738</v>
      </c>
      <c r="R5" s="2018" t="s">
        <v>1142</v>
      </c>
      <c r="S5" s="2018" t="s">
        <v>1738</v>
      </c>
      <c r="T5" s="2018" t="s">
        <v>1739</v>
      </c>
      <c r="U5" s="2018" t="s">
        <v>1738</v>
      </c>
      <c r="W5" s="2018" t="s">
        <v>1738</v>
      </c>
    </row>
    <row r="6" spans="1:23">
      <c r="A6" s="2016" t="s">
        <v>1740</v>
      </c>
      <c r="B6" s="2019" t="s">
        <v>1146</v>
      </c>
      <c r="C6" s="2022" t="s">
        <v>30</v>
      </c>
      <c r="F6" s="2018" t="s">
        <v>1736</v>
      </c>
      <c r="H6" s="2018" t="s">
        <v>1741</v>
      </c>
      <c r="I6" s="2018" t="s">
        <v>1742</v>
      </c>
      <c r="K6" s="2018" t="s">
        <v>1743</v>
      </c>
      <c r="L6" s="2018" t="s">
        <v>1743</v>
      </c>
      <c r="M6" s="2018" t="s">
        <v>1743</v>
      </c>
      <c r="N6" s="2018" t="s">
        <v>1743</v>
      </c>
      <c r="O6" s="2018" t="s">
        <v>1743</v>
      </c>
      <c r="P6" s="2018" t="s">
        <v>1743</v>
      </c>
      <c r="Q6" s="2018" t="s">
        <v>1743</v>
      </c>
      <c r="R6" s="2018" t="s">
        <v>1143</v>
      </c>
      <c r="S6" s="2018" t="s">
        <v>1743</v>
      </c>
      <c r="T6" s="2018"/>
      <c r="U6" s="2018" t="s">
        <v>1743</v>
      </c>
      <c r="W6" s="2018" t="s">
        <v>1743</v>
      </c>
    </row>
    <row r="7" spans="1:23">
      <c r="A7" s="2016" t="s">
        <v>1744</v>
      </c>
      <c r="B7" s="2019" t="s">
        <v>1147</v>
      </c>
      <c r="C7" s="2017" t="s">
        <v>31</v>
      </c>
      <c r="F7" s="2018" t="s">
        <v>1745</v>
      </c>
      <c r="H7" s="2018" t="s">
        <v>1746</v>
      </c>
      <c r="I7" s="2018" t="s">
        <v>1747</v>
      </c>
    </row>
    <row r="8" spans="1:23">
      <c r="A8" s="2016" t="s">
        <v>1748</v>
      </c>
      <c r="B8" s="2016" t="s">
        <v>1749</v>
      </c>
      <c r="C8" s="2017" t="s">
        <v>764</v>
      </c>
      <c r="F8" s="2018" t="s">
        <v>1750</v>
      </c>
      <c r="H8" s="2018"/>
      <c r="I8" s="2018" t="s">
        <v>1751</v>
      </c>
    </row>
    <row r="9" spans="1:23">
      <c r="A9" s="2016" t="s">
        <v>1752</v>
      </c>
      <c r="B9" s="2016" t="s">
        <v>1753</v>
      </c>
      <c r="C9" s="2017" t="s">
        <v>765</v>
      </c>
      <c r="F9" s="2018" t="s">
        <v>1754</v>
      </c>
      <c r="H9" s="2018"/>
    </row>
    <row r="10" spans="1:23">
      <c r="A10" s="2016" t="s">
        <v>1755</v>
      </c>
      <c r="B10" s="2016" t="s">
        <v>1756</v>
      </c>
      <c r="C10" s="2017" t="s">
        <v>766</v>
      </c>
      <c r="F10" s="2018" t="s">
        <v>16</v>
      </c>
    </row>
    <row r="11" spans="1:23">
      <c r="A11" s="2016" t="s">
        <v>1757</v>
      </c>
      <c r="B11" s="2016" t="s">
        <v>1758</v>
      </c>
      <c r="C11" s="2017" t="s">
        <v>767</v>
      </c>
    </row>
    <row r="12" spans="1:23">
      <c r="A12" s="2016" t="s">
        <v>1759</v>
      </c>
      <c r="B12" s="2016" t="s">
        <v>1760</v>
      </c>
      <c r="C12" s="2017" t="s">
        <v>768</v>
      </c>
    </row>
    <row r="13" spans="1:23">
      <c r="A13" s="2016" t="s">
        <v>1761</v>
      </c>
      <c r="B13" s="2016" t="s">
        <v>1762</v>
      </c>
      <c r="C13" s="2017" t="s">
        <v>769</v>
      </c>
    </row>
    <row r="14" spans="1:23">
      <c r="A14" s="2016" t="s">
        <v>1763</v>
      </c>
      <c r="B14" s="2016" t="s">
        <v>1764</v>
      </c>
      <c r="C14" s="2018" t="s">
        <v>16</v>
      </c>
    </row>
    <row r="15" spans="1:23">
      <c r="A15" s="2016" t="s">
        <v>1765</v>
      </c>
      <c r="B15" s="2016" t="s">
        <v>1766</v>
      </c>
      <c r="C15" s="2017"/>
    </row>
    <row r="16" spans="1:23">
      <c r="A16" s="2016" t="s">
        <v>1767</v>
      </c>
      <c r="B16" s="2016" t="s">
        <v>756</v>
      </c>
      <c r="C16" s="2017"/>
    </row>
    <row r="17" spans="1:3">
      <c r="A17" s="2016" t="s">
        <v>1768</v>
      </c>
      <c r="B17" s="2016" t="s">
        <v>757</v>
      </c>
      <c r="C17" s="2017"/>
    </row>
    <row r="18" spans="1:3">
      <c r="A18" s="2016" t="s">
        <v>1769</v>
      </c>
      <c r="B18" s="2016" t="s">
        <v>757</v>
      </c>
      <c r="C18" s="2017"/>
    </row>
    <row r="19" spans="1:3">
      <c r="A19" s="2016" t="s">
        <v>1770</v>
      </c>
      <c r="B19" s="2016" t="s">
        <v>757</v>
      </c>
      <c r="C19" s="2017"/>
    </row>
    <row r="20" spans="1:3">
      <c r="A20" s="2016" t="s">
        <v>1771</v>
      </c>
      <c r="B20" s="2016" t="s">
        <v>757</v>
      </c>
      <c r="C20" s="2017"/>
    </row>
    <row r="21" spans="1:3">
      <c r="A21" s="2016" t="s">
        <v>1772</v>
      </c>
      <c r="B21" s="2016" t="s">
        <v>757</v>
      </c>
      <c r="C21" s="2017"/>
    </row>
    <row r="22" spans="1:3">
      <c r="A22" s="2016" t="s">
        <v>1773</v>
      </c>
      <c r="B22" s="2016" t="s">
        <v>757</v>
      </c>
      <c r="C22" s="2017"/>
    </row>
    <row r="23" spans="1:3">
      <c r="A23" s="2016" t="s">
        <v>1774</v>
      </c>
      <c r="B23" s="2016" t="s">
        <v>757</v>
      </c>
      <c r="C23" s="2017"/>
    </row>
    <row r="24" spans="1:3">
      <c r="A24" s="2016" t="s">
        <v>1775</v>
      </c>
      <c r="B24" s="2016" t="s">
        <v>757</v>
      </c>
      <c r="C24" s="2017"/>
    </row>
    <row r="25" spans="1:3">
      <c r="A25" s="2016" t="s">
        <v>1776</v>
      </c>
      <c r="B25" s="2016" t="s">
        <v>757</v>
      </c>
      <c r="C25" s="2017"/>
    </row>
    <row r="26" spans="1:3">
      <c r="A26" s="2016" t="s">
        <v>1777</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为估价委托人在向中国银行总行北京分行开发区支行办理贷款手续过程中，确定房地产抵押贷款额度提供参考依据而评估房地产抵押价值。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宏强富瑞技术有限公司拟使用北京市通州区环科中路16号38幢1至4层101工业用房房地产作为抵押担保物，向中国银行总行北京分行开发区支行办理贷款手续。中国银行总行北京分行开发区支行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298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82"/>
      <c r="B54" s="2024" t="s">
        <v>864</v>
      </c>
      <c r="C54" s="2021" t="s">
        <v>1282</v>
      </c>
    </row>
    <row r="55" spans="1:4">
      <c r="A55" s="2982"/>
      <c r="B55" s="2024" t="s">
        <v>865</v>
      </c>
      <c r="C55" s="2021" t="s">
        <v>1283</v>
      </c>
    </row>
    <row r="56" spans="1:4">
      <c r="A56" s="2982"/>
      <c r="B56" s="2024" t="s">
        <v>866</v>
      </c>
      <c r="C56" s="2021" t="s">
        <v>1287</v>
      </c>
    </row>
    <row r="57" spans="1:4">
      <c r="A57" s="2982"/>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4" sqref="L24"/>
    </sheetView>
  </sheetViews>
  <sheetFormatPr defaultColWidth="10" defaultRowHeight="18" customHeight="1"/>
  <cols>
    <col min="1" max="1" width="14.875" style="2034" customWidth="1"/>
    <col min="2" max="2" width="13.25" style="2034" customWidth="1"/>
    <col min="3" max="3" width="11.5" style="2034" customWidth="1"/>
    <col min="4" max="4" width="13.375" style="2034" customWidth="1"/>
    <col min="5"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1778</v>
      </c>
      <c r="B1" s="2991" t="str">
        <f>IF(B10="北京市","北京市",C10)&amp;F10&amp;IF(结果表!G1="在建","出让国有建设用地使用权及在建建筑物",IF(结果表!G1="土地","出让国有建设用地使用权",))&amp;B9&amp;"预评估"</f>
        <v>北京市通州区环科中路16号38幢1至4层101工业用房预评估</v>
      </c>
      <c r="C1" s="2992"/>
      <c r="D1" s="2992"/>
      <c r="E1" s="2992"/>
      <c r="F1" s="2992"/>
      <c r="G1" s="2992"/>
      <c r="H1" s="2992"/>
      <c r="I1" s="299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北京市通州区环科中路16号38幢1至4层101工业用房</v>
      </c>
    </row>
    <row r="2" spans="1:19" ht="18" customHeight="1">
      <c r="A2" s="2028" t="s">
        <v>1779</v>
      </c>
      <c r="B2" s="2929" t="s">
        <v>3112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北京市通州区环科中路16号38幢1至4层101工业用房房地产</v>
      </c>
    </row>
    <row r="3" spans="1:19" ht="18" customHeight="1">
      <c r="A3" s="2037" t="s">
        <v>1780</v>
      </c>
      <c r="B3" s="2038">
        <v>43061</v>
      </c>
      <c r="C3" s="2039" t="s">
        <v>1781</v>
      </c>
      <c r="D3" s="2038">
        <f>B3</f>
        <v>43061</v>
      </c>
      <c r="E3" s="2028"/>
      <c r="F3" s="2028"/>
      <c r="G3" s="2028"/>
      <c r="H3" s="2028"/>
      <c r="I3" s="2028"/>
      <c r="J3" s="2028"/>
      <c r="K3" s="2029"/>
      <c r="L3" s="2030"/>
      <c r="M3" s="2030"/>
      <c r="N3" s="2031"/>
      <c r="O3" s="2032"/>
      <c r="P3" s="2031"/>
      <c r="Q3" s="2031"/>
      <c r="R3" s="2031"/>
      <c r="S3" s="2033"/>
    </row>
    <row r="4" spans="1:19" ht="18" customHeight="1" thickBot="1">
      <c r="A4" s="2040" t="s">
        <v>1782</v>
      </c>
      <c r="B4" s="2041" t="s">
        <v>3048</v>
      </c>
      <c r="C4" s="1039">
        <f ca="1">SUMIF(注册房地产估价师,B4,估价师及机构信息!B3:B24)</f>
        <v>1120000080</v>
      </c>
      <c r="D4" s="2041" t="s">
        <v>3049</v>
      </c>
      <c r="E4" s="1040">
        <f ca="1">SUMIF(注册房地产估价师,D4,估价师及机构信息!B3:B24)</f>
        <v>1119970066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欧红伟（注册号：1120000080)、梁津（注册号：1119970066)</v>
      </c>
      <c r="L4" s="2030"/>
      <c r="M4" s="2030"/>
      <c r="N4" s="2031"/>
      <c r="O4" s="2032"/>
      <c r="P4" s="2031"/>
      <c r="Q4" s="2031"/>
      <c r="R4" s="2031"/>
      <c r="S4" s="2033"/>
    </row>
    <row r="5" spans="1:19" ht="18" customHeight="1" thickTop="1">
      <c r="A5" s="2046" t="s">
        <v>1783</v>
      </c>
      <c r="B5" s="2930" t="s">
        <v>3051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1784</v>
      </c>
      <c r="B6" s="2930" t="s">
        <v>3050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1785</v>
      </c>
      <c r="B7" s="2053" t="str">
        <f>B5</f>
        <v>北京宏强富瑞技术有限公司</v>
      </c>
      <c r="C7" s="2050"/>
      <c r="D7" s="2051"/>
      <c r="E7" s="2036"/>
      <c r="F7" s="2044"/>
      <c r="G7" s="2044"/>
      <c r="H7" s="2044"/>
      <c r="I7" s="2044"/>
      <c r="J7" s="2044"/>
      <c r="K7" s="2054"/>
      <c r="L7" s="2030"/>
      <c r="M7" s="2030"/>
      <c r="N7" s="2031"/>
      <c r="O7" s="2032"/>
      <c r="P7" s="2031"/>
      <c r="Q7" s="2031"/>
      <c r="R7" s="2031"/>
    </row>
    <row r="8" spans="1:19" ht="18" customHeight="1">
      <c r="A8" s="2049" t="s">
        <v>1786</v>
      </c>
      <c r="B8" s="2055" t="s">
        <v>3052</v>
      </c>
      <c r="C8" s="2056"/>
      <c r="D8" s="2994" t="s">
        <v>1787</v>
      </c>
      <c r="E8" s="2057" t="s">
        <v>3053</v>
      </c>
      <c r="F8" s="2058"/>
      <c r="G8" s="2028"/>
      <c r="H8" s="2028"/>
      <c r="I8" s="2028"/>
      <c r="J8" s="2044"/>
      <c r="K8" s="2045"/>
      <c r="L8" s="2030"/>
      <c r="M8" s="2030"/>
      <c r="N8" s="2031"/>
      <c r="O8" s="2032"/>
      <c r="P8" s="2031"/>
      <c r="Q8" s="2031"/>
      <c r="R8" s="2031"/>
    </row>
    <row r="9" spans="1:19" ht="18" customHeight="1" thickBot="1">
      <c r="A9" s="2042" t="s">
        <v>1788</v>
      </c>
      <c r="B9" s="2059"/>
      <c r="C9" s="2060"/>
      <c r="D9" s="2995"/>
      <c r="E9" s="2059"/>
      <c r="F9" s="2061"/>
      <c r="G9" s="2062"/>
      <c r="H9" s="2062"/>
      <c r="I9" s="2062"/>
      <c r="J9" s="2044"/>
      <c r="K9" s="2054"/>
      <c r="L9" s="2030"/>
      <c r="M9" s="2030"/>
      <c r="N9" s="2031"/>
      <c r="O9" s="2032"/>
      <c r="P9" s="2031"/>
      <c r="Q9" s="2031"/>
      <c r="R9" s="2031"/>
    </row>
    <row r="10" spans="1:19" ht="18" customHeight="1" thickTop="1">
      <c r="A10" s="2063" t="s">
        <v>1789</v>
      </c>
      <c r="B10" s="2064" t="s">
        <v>3055</v>
      </c>
      <c r="C10" s="2065"/>
      <c r="D10" s="2048"/>
      <c r="E10" s="2066" t="s">
        <v>1790</v>
      </c>
      <c r="F10" s="2931" t="s">
        <v>3114</v>
      </c>
      <c r="G10" s="2067"/>
      <c r="H10" s="2068"/>
      <c r="I10" s="2048"/>
      <c r="J10" s="2044"/>
      <c r="K10" s="2054"/>
      <c r="L10" s="2030"/>
      <c r="M10" s="2030"/>
      <c r="N10" s="2031"/>
      <c r="O10" s="2032"/>
      <c r="P10" s="2031"/>
      <c r="Q10" s="2031"/>
      <c r="R10" s="2031"/>
    </row>
    <row r="11" spans="1:19" ht="18" customHeight="1">
      <c r="A11" s="2069" t="s">
        <v>1791</v>
      </c>
      <c r="B11" s="2070" t="s">
        <v>3056</v>
      </c>
      <c r="C11" s="2071" t="str">
        <f>B7</f>
        <v>北京宏强富瑞技术有限公司</v>
      </c>
      <c r="D11" s="2072"/>
      <c r="E11" s="2044"/>
      <c r="F11" s="2044"/>
      <c r="G11" s="2044"/>
      <c r="H11" s="2044"/>
      <c r="I11" s="2044"/>
      <c r="J11" s="2044"/>
      <c r="K11" s="2054"/>
      <c r="L11" s="2030"/>
      <c r="M11" s="2030"/>
      <c r="N11" s="2031"/>
      <c r="O11" s="2032"/>
      <c r="P11" s="2031"/>
      <c r="Q11" s="2031"/>
      <c r="R11" s="2031"/>
    </row>
    <row r="12" spans="1:19" ht="18" customHeight="1">
      <c r="A12" s="2073" t="s">
        <v>1792</v>
      </c>
      <c r="B12" s="2070" t="s">
        <v>3054</v>
      </c>
      <c r="C12" s="2074" t="s">
        <v>1793</v>
      </c>
      <c r="D12" s="2075" t="s">
        <v>1794</v>
      </c>
      <c r="E12" s="2075" t="s">
        <v>1795</v>
      </c>
      <c r="F12" s="2075" t="s">
        <v>1796</v>
      </c>
      <c r="G12" s="2075" t="s">
        <v>1797</v>
      </c>
      <c r="H12" s="2075" t="s">
        <v>1798</v>
      </c>
      <c r="I12" s="2075" t="s">
        <v>1799</v>
      </c>
      <c r="J12" s="2044"/>
      <c r="K12" s="2054"/>
      <c r="L12" s="2030"/>
      <c r="M12" s="2030"/>
      <c r="N12" s="2031"/>
      <c r="O12" s="2032"/>
      <c r="P12" s="2031"/>
      <c r="Q12" s="2031"/>
      <c r="R12" s="2031"/>
    </row>
    <row r="13" spans="1:19" ht="18" customHeight="1">
      <c r="A13" s="2076"/>
      <c r="B13" s="2077"/>
      <c r="C13" s="2078" t="s">
        <v>1800</v>
      </c>
      <c r="D13" s="2079"/>
      <c r="E13" s="2079"/>
      <c r="F13" s="2079"/>
      <c r="G13" s="2079"/>
      <c r="H13" s="2079"/>
      <c r="I13" s="1048">
        <v>57525</v>
      </c>
      <c r="J13" s="2044"/>
      <c r="K13" s="2054"/>
      <c r="L13" s="2030"/>
      <c r="M13" s="2030"/>
      <c r="N13" s="2031"/>
      <c r="O13" s="2032"/>
      <c r="P13" s="2031"/>
      <c r="Q13" s="2031"/>
      <c r="R13" s="2031"/>
    </row>
    <row r="14" spans="1:19" ht="18" customHeight="1">
      <c r="A14" s="2076"/>
      <c r="B14" s="2077"/>
      <c r="C14" s="2078" t="s">
        <v>1801</v>
      </c>
      <c r="D14" s="1051"/>
      <c r="E14" s="1051"/>
      <c r="F14" s="1051"/>
      <c r="G14" s="1051"/>
      <c r="H14" s="1051"/>
      <c r="I14" s="1051">
        <v>50</v>
      </c>
      <c r="J14" s="2044"/>
      <c r="K14" s="2080"/>
      <c r="L14" s="2030"/>
      <c r="M14" s="2030"/>
      <c r="N14" s="2031"/>
      <c r="O14" s="2032"/>
      <c r="P14" s="2031"/>
      <c r="Q14" s="2031"/>
      <c r="R14" s="2031"/>
    </row>
    <row r="15" spans="1:19" ht="18" customHeight="1">
      <c r="A15" s="2063"/>
      <c r="B15" s="2081"/>
      <c r="C15" s="2078" t="s">
        <v>1802</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39.619999999999997</v>
      </c>
      <c r="J15" s="2044"/>
      <c r="K15" s="2082"/>
      <c r="L15" s="2083"/>
      <c r="M15" s="2083"/>
      <c r="N15" s="2084"/>
      <c r="O15" s="2083"/>
      <c r="P15" s="2084"/>
      <c r="Q15" s="2031"/>
      <c r="R15" s="2031"/>
    </row>
    <row r="16" spans="1:19" ht="30.75" customHeight="1">
      <c r="A16" s="2066" t="s">
        <v>1803</v>
      </c>
      <c r="B16" s="3001" t="s">
        <v>3057</v>
      </c>
      <c r="C16" s="3002"/>
      <c r="D16" s="3003"/>
      <c r="E16" s="2085" t="s">
        <v>1804</v>
      </c>
      <c r="F16" s="3004" t="s">
        <v>3058</v>
      </c>
      <c r="G16" s="3005"/>
      <c r="H16" s="3005"/>
      <c r="I16" s="3006"/>
      <c r="J16" s="2031"/>
      <c r="K16" s="2082"/>
      <c r="L16" s="2083"/>
      <c r="M16" s="2083"/>
      <c r="N16" s="2084"/>
      <c r="O16" s="2083"/>
      <c r="P16" s="2084"/>
      <c r="Q16" s="2031"/>
      <c r="R16" s="2031"/>
    </row>
    <row r="17" spans="1:22" ht="18" customHeight="1">
      <c r="A17" s="2086" t="s">
        <v>1805</v>
      </c>
      <c r="B17" s="2037" t="s">
        <v>1806</v>
      </c>
      <c r="C17" s="1055">
        <f>'数据-汇总表'!E3</f>
        <v>4799.08</v>
      </c>
      <c r="D17" s="2087" t="s">
        <v>1807</v>
      </c>
      <c r="E17" s="3007" t="s">
        <v>3113</v>
      </c>
      <c r="F17" s="3008"/>
      <c r="G17" s="3008"/>
      <c r="H17" s="3008"/>
      <c r="I17" s="3009"/>
      <c r="J17" s="2031"/>
      <c r="K17" s="2088"/>
      <c r="L17" s="2083"/>
      <c r="M17" s="2083"/>
      <c r="N17" s="2084"/>
      <c r="O17" s="2083"/>
      <c r="P17" s="2084"/>
      <c r="Q17" s="2031"/>
      <c r="R17" s="2031"/>
      <c r="S17" s="2031"/>
      <c r="T17" s="2031"/>
      <c r="U17" s="2031"/>
      <c r="V17" s="2031"/>
    </row>
    <row r="18" spans="1:22" ht="36" customHeight="1" thickBot="1">
      <c r="A18" s="2089" t="s">
        <v>1808</v>
      </c>
      <c r="B18" s="2040" t="s">
        <v>1809</v>
      </c>
      <c r="C18" s="1445">
        <f>'数据-汇总表'!D3</f>
        <v>0</v>
      </c>
      <c r="D18" s="2090" t="s">
        <v>1807</v>
      </c>
      <c r="E18" s="3010"/>
      <c r="F18" s="3011"/>
      <c r="G18" s="3011"/>
      <c r="H18" s="3011"/>
      <c r="I18" s="3012"/>
      <c r="J18" s="2031"/>
      <c r="K18" s="2088"/>
      <c r="L18" s="2083"/>
      <c r="M18" s="2083"/>
      <c r="N18" s="2084"/>
      <c r="O18" s="2083"/>
      <c r="P18" s="2084"/>
      <c r="Q18" s="2031"/>
      <c r="R18" s="2031"/>
      <c r="S18" s="2031"/>
      <c r="T18" s="2031"/>
      <c r="U18" s="2031"/>
      <c r="V18" s="2031"/>
    </row>
    <row r="19" spans="1:22" ht="37.5" customHeight="1" thickTop="1" thickBot="1">
      <c r="A19" s="372" t="s">
        <v>1810</v>
      </c>
      <c r="B19" s="351" t="s">
        <v>1811</v>
      </c>
      <c r="C19" s="2091" t="s">
        <v>3059</v>
      </c>
      <c r="D19" s="2092" t="s">
        <v>1812</v>
      </c>
      <c r="E19" s="2093" t="s">
        <v>3059</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1813</v>
      </c>
      <c r="B20" s="2997" t="s">
        <v>1814</v>
      </c>
      <c r="C20" s="2998"/>
      <c r="D20" s="2999" t="s">
        <v>1815</v>
      </c>
      <c r="E20" s="3000"/>
      <c r="F20" s="2097" t="s">
        <v>1816</v>
      </c>
      <c r="G20" s="2044"/>
      <c r="H20" s="2044"/>
      <c r="I20" s="2044"/>
      <c r="J20" s="2044"/>
      <c r="K20" s="2996" t="s">
        <v>1817</v>
      </c>
      <c r="L20" s="747"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030"/>
      <c r="N20" s="2084"/>
      <c r="O20" s="2083"/>
      <c r="P20" s="2084"/>
      <c r="Q20" s="2031"/>
      <c r="R20" s="2031"/>
      <c r="S20" s="2031"/>
      <c r="T20" s="2031"/>
      <c r="U20" s="2031"/>
      <c r="V20" s="2031"/>
    </row>
    <row r="21" spans="1:22" ht="24.75" customHeight="1">
      <c r="A21" s="2096"/>
      <c r="B21" s="2098" t="s">
        <v>1818</v>
      </c>
      <c r="C21" s="2099" t="s">
        <v>1819</v>
      </c>
      <c r="D21" s="2100" t="s">
        <v>1820</v>
      </c>
      <c r="E21" s="2101" t="s">
        <v>1819</v>
      </c>
      <c r="F21" s="2102"/>
      <c r="G21" s="2044"/>
      <c r="H21" s="2044"/>
      <c r="I21" s="2044"/>
      <c r="J21" s="2044"/>
      <c r="K21" s="299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1821</v>
      </c>
      <c r="C22" s="2099" t="s">
        <v>70</v>
      </c>
      <c r="D22" s="2028"/>
      <c r="E22" s="2028"/>
      <c r="F22" s="2104"/>
      <c r="G22" s="2044"/>
      <c r="H22" s="2044"/>
      <c r="I22" s="2044"/>
      <c r="J22" s="2044"/>
      <c r="K22" s="299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1822</v>
      </c>
      <c r="B23" s="182" t="s">
        <v>1823</v>
      </c>
      <c r="C23" s="2106"/>
      <c r="D23" s="2107" t="s">
        <v>1823</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1824</v>
      </c>
      <c r="C24" s="2111"/>
      <c r="D24" s="2105" t="s">
        <v>1824</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1825</v>
      </c>
      <c r="C25" s="2111"/>
      <c r="D25" s="2105" t="s">
        <v>1825</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1826</v>
      </c>
      <c r="C26" s="2115"/>
      <c r="D26" s="2116" t="s">
        <v>1827</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2984" t="s">
        <v>1828</v>
      </c>
      <c r="B27" s="2063" t="s">
        <v>1829</v>
      </c>
      <c r="C27" s="2119" t="s">
        <v>3060</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2984"/>
      <c r="B28" s="2037" t="s">
        <v>1830</v>
      </c>
      <c r="C28" s="2121"/>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2984"/>
      <c r="B29" s="2037" t="s">
        <v>1831</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2985"/>
      <c r="B30" s="2037" t="s">
        <v>1832</v>
      </c>
      <c r="C30" s="2986"/>
      <c r="D30" s="2987"/>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2988" t="s">
        <v>1833</v>
      </c>
      <c r="B31" s="2126" t="s">
        <v>3109</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2989"/>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2989"/>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1834</v>
      </c>
      <c r="B34" s="2133" t="s">
        <v>3061</v>
      </c>
      <c r="C34" s="2133" t="s">
        <v>3062</v>
      </c>
      <c r="D34" s="2133" t="s">
        <v>3063</v>
      </c>
      <c r="E34" s="2133" t="s">
        <v>3064</v>
      </c>
      <c r="F34" s="2133" t="s">
        <v>3065</v>
      </c>
      <c r="G34" s="2133"/>
      <c r="H34" s="2133"/>
      <c r="I34" s="2044"/>
      <c r="J34" s="2044"/>
      <c r="K34" s="1797">
        <f>COUNTIF(B34:H34,"——")</f>
        <v>0</v>
      </c>
      <c r="L34" s="2074" t="s">
        <v>1835</v>
      </c>
      <c r="M34" s="2074" t="s">
        <v>1836</v>
      </c>
      <c r="N34" s="2074" t="s">
        <v>1837</v>
      </c>
      <c r="O34" s="2074" t="s">
        <v>1838</v>
      </c>
      <c r="P34" s="2074" t="s">
        <v>1839</v>
      </c>
      <c r="Q34" s="2074" t="s">
        <v>1840</v>
      </c>
      <c r="R34" s="2074" t="s">
        <v>1841</v>
      </c>
      <c r="S34" s="2983" t="s">
        <v>1842</v>
      </c>
      <c r="T34" s="2134" t="str">
        <f>NUMBERSTRING(7-K34,1)&amp;"通"</f>
        <v>七通</v>
      </c>
      <c r="U34" s="2031"/>
      <c r="V34" s="2031"/>
    </row>
    <row r="35" spans="1:22" ht="18" customHeight="1">
      <c r="A35" s="2135"/>
      <c r="B35" s="2990" t="s">
        <v>1843</v>
      </c>
      <c r="C35" s="2990"/>
      <c r="D35" s="2990"/>
      <c r="E35" s="2990"/>
      <c r="F35" s="2136">
        <f>C10</f>
        <v>0</v>
      </c>
      <c r="G35" s="2044"/>
      <c r="H35" s="2044"/>
      <c r="I35" s="2044"/>
      <c r="J35" s="2044"/>
      <c r="K35" s="2074"/>
      <c r="L35" s="2074" t="str">
        <f>B34</f>
        <v>通上水</v>
      </c>
      <c r="M35" s="48" t="str">
        <f>B34&amp;"、"&amp;C34</f>
        <v>通上水、通下水</v>
      </c>
      <c r="N35" s="48" t="str">
        <f>B34&amp;"、"&amp;C34&amp;"、"&amp;D34</f>
        <v>通上水、通下水、通路</v>
      </c>
      <c r="O35" s="48" t="str">
        <f>B34&amp;"、"&amp;C34&amp;"、"&amp;D34&amp;"、"&amp;E34</f>
        <v>通上水、通下水、通路、通电</v>
      </c>
      <c r="P35" s="48" t="str">
        <f>B34&amp;"、"&amp;C34&amp;"、"&amp;D34&amp;"、"&amp;E34&amp;"、"&amp;F34</f>
        <v>通上水、通下水、通路、通电、通讯</v>
      </c>
      <c r="Q35" s="48" t="str">
        <f>B34&amp;"、"&amp;C34&amp;"、"&amp;D34&amp;"、"&amp;E34&amp;"、"&amp;F34&amp;"、"&amp;G34</f>
        <v>通上水、通下水、通路、通电、通讯、</v>
      </c>
      <c r="R35" s="48" t="str">
        <f>B34&amp;"、"&amp;C34&amp;"、"&amp;D34&amp;"、"&amp;E34&amp;"、"&amp;F34&amp;"、"&amp;G34&amp;"、"&amp;H34</f>
        <v>通上水、通下水、通路、通电、通讯、、</v>
      </c>
      <c r="S35" s="2983"/>
      <c r="T35" s="48" t="str">
        <f>IF(T34="一通",L35,IF(T34="二通",M35,IF(T34="三通",N35,IF(T34="四通",O35,IF(T34="五通",P35,IF(T34="六通",Q35,R35))))))</f>
        <v>通上水、通下水、通路、通电、通讯、、</v>
      </c>
      <c r="U35" s="2031"/>
      <c r="V35" s="2031"/>
    </row>
    <row r="36" spans="1:22" ht="18" customHeight="1">
      <c r="A36" s="2137"/>
      <c r="B36" s="2136" t="s">
        <v>1844</v>
      </c>
      <c r="C36" s="2136" t="s">
        <v>1845</v>
      </c>
      <c r="D36" s="2136" t="s">
        <v>1846</v>
      </c>
      <c r="E36" s="2136" t="s">
        <v>1847</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1848</v>
      </c>
      <c r="B37" s="2140"/>
      <c r="C37" s="2140"/>
      <c r="D37" s="2140"/>
      <c r="E37" s="2140" t="s">
        <v>528</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1849</v>
      </c>
      <c r="B38" s="2142"/>
      <c r="C38" s="2142"/>
      <c r="D38" s="2142"/>
      <c r="E38" s="2142" t="s">
        <v>3047</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1850</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1851</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1852</v>
      </c>
      <c r="B42" s="1797" t="s">
        <v>1853</v>
      </c>
      <c r="C42" s="1797" t="s">
        <v>1854</v>
      </c>
      <c r="D42" s="1797" t="s">
        <v>1855</v>
      </c>
      <c r="E42" s="1797" t="s">
        <v>1856</v>
      </c>
      <c r="F42" s="1797" t="s">
        <v>1857</v>
      </c>
      <c r="G42" s="1797" t="s">
        <v>1858</v>
      </c>
      <c r="H42" s="1797" t="s">
        <v>1859</v>
      </c>
      <c r="I42" s="1797" t="s">
        <v>1860</v>
      </c>
      <c r="J42" s="2152" t="s">
        <v>1861</v>
      </c>
      <c r="K42" s="2075" t="s">
        <v>1862</v>
      </c>
      <c r="L42" s="2075" t="s">
        <v>1863</v>
      </c>
      <c r="M42" s="2075" t="s">
        <v>1864</v>
      </c>
      <c r="N42" s="1797" t="s">
        <v>1865</v>
      </c>
      <c r="O42" s="1797" t="s">
        <v>1866</v>
      </c>
      <c r="P42" s="1797" t="s">
        <v>1867</v>
      </c>
      <c r="Q42" s="2074" t="s">
        <v>1868</v>
      </c>
      <c r="R42" s="2074" t="s">
        <v>1869</v>
      </c>
      <c r="S42" s="2031"/>
      <c r="T42" s="2031"/>
      <c r="U42" s="2031"/>
      <c r="V42" s="2031"/>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1872</v>
      </c>
      <c r="B2" s="11" t="s">
        <v>1873</v>
      </c>
      <c r="C2" s="11" t="s">
        <v>1874</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1875</v>
      </c>
      <c r="AZ2" s="1271" t="s">
        <v>1876</v>
      </c>
      <c r="BA2" s="11" t="s">
        <v>1877</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4799.08</v>
      </c>
      <c r="C3" s="2168" t="s">
        <v>1878</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5"/>
      <c r="C5" s="1805"/>
      <c r="D5" s="1808"/>
      <c r="E5" s="16" t="s">
        <v>1</v>
      </c>
      <c r="F5" s="16">
        <f>SUM(F13:F587)</f>
        <v>0</v>
      </c>
      <c r="G5" s="16">
        <f>SUM(G13:G587)</f>
        <v>4799.08</v>
      </c>
      <c r="H5" s="16">
        <f t="shared" ref="H5:AT5" si="0">SUM(H13:H656)</f>
        <v>4799.08</v>
      </c>
      <c r="I5" s="16">
        <f t="shared" si="0"/>
        <v>4799.08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1879</v>
      </c>
      <c r="AW5" s="1805"/>
      <c r="AX5" s="1805"/>
      <c r="AY5" s="17" t="s">
        <v>3</v>
      </c>
      <c r="AZ5" s="18">
        <f t="shared" ref="AZ5:BT5" si="1">SUM(AZ13:AZ656)</f>
        <v>4799.08</v>
      </c>
      <c r="BA5" s="18">
        <f t="shared" si="1"/>
        <v>4799.08</v>
      </c>
      <c r="BB5" s="18">
        <f t="shared" si="1"/>
        <v>4799.08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1880</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1880</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1881</v>
      </c>
      <c r="B7" s="2109" t="s">
        <v>1882</v>
      </c>
      <c r="C7" s="2109" t="s">
        <v>1883</v>
      </c>
      <c r="D7" s="2109" t="s">
        <v>1884</v>
      </c>
      <c r="E7" s="2109" t="s">
        <v>1885</v>
      </c>
      <c r="F7" s="2109" t="s">
        <v>1886</v>
      </c>
      <c r="G7" s="2178" t="s">
        <v>1887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1888</v>
      </c>
      <c r="AV7" s="23" t="s">
        <v>1889</v>
      </c>
      <c r="AW7" s="2166" t="s">
        <v>1890</v>
      </c>
      <c r="AX7" s="23" t="s">
        <v>1883</v>
      </c>
      <c r="AY7" s="1805" t="s">
        <v>1891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1892</v>
      </c>
      <c r="H8" s="2184" t="s">
        <v>1893</v>
      </c>
      <c r="I8" s="2185"/>
      <c r="J8" s="1820"/>
      <c r="K8" s="1820"/>
      <c r="L8" s="1820"/>
      <c r="M8" s="1820"/>
      <c r="N8" s="1820"/>
      <c r="O8" s="1820"/>
      <c r="P8" s="1820"/>
      <c r="Q8" s="1820"/>
      <c r="R8" s="1820"/>
      <c r="S8" s="1820"/>
      <c r="T8" s="1820"/>
      <c r="U8" s="1820"/>
      <c r="V8" s="2186"/>
      <c r="W8" s="1820"/>
      <c r="X8" s="1820"/>
      <c r="Y8" s="1820"/>
      <c r="Z8" s="1820"/>
      <c r="AA8" s="2186"/>
      <c r="AB8" s="2187"/>
      <c r="AC8" s="983" t="s">
        <v>1894</v>
      </c>
      <c r="AD8" s="2188"/>
      <c r="AE8" s="2180"/>
      <c r="AF8" s="1820"/>
      <c r="AG8" s="1820"/>
      <c r="AH8" s="1820"/>
      <c r="AI8" s="1820"/>
      <c r="AJ8" s="1820"/>
      <c r="AK8" s="1820"/>
      <c r="AL8" s="1820"/>
      <c r="AM8" s="1820"/>
      <c r="AN8" s="1820"/>
      <c r="AO8" s="1820"/>
      <c r="AP8" s="1820"/>
      <c r="AQ8" s="1820"/>
      <c r="AR8" s="1820"/>
      <c r="AS8" s="1820"/>
      <c r="AT8" s="1293" t="s">
        <v>1895</v>
      </c>
      <c r="AU8" s="2182" t="s">
        <v>1896</v>
      </c>
      <c r="AV8" s="1293"/>
      <c r="AW8" s="2165"/>
      <c r="AX8" s="1293"/>
      <c r="AY8" s="2166" t="s">
        <v>1897</v>
      </c>
      <c r="AZ8" s="1819" t="s">
        <v>1898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3"/>
      <c r="H9" s="2190" t="s">
        <v>1899</v>
      </c>
      <c r="I9" s="2191" t="s">
        <v>3068</v>
      </c>
      <c r="J9" s="983"/>
      <c r="K9" s="2191"/>
      <c r="L9" s="983"/>
      <c r="M9" s="2191"/>
      <c r="N9" s="983"/>
      <c r="O9" s="2191"/>
      <c r="P9" s="983"/>
      <c r="Q9" s="2191"/>
      <c r="R9" s="983"/>
      <c r="S9" s="2191"/>
      <c r="T9" s="983"/>
      <c r="U9" s="2191"/>
      <c r="V9" s="983"/>
      <c r="W9" s="2191"/>
      <c r="X9" s="2192"/>
      <c r="Y9" s="2191"/>
      <c r="Z9" s="983"/>
      <c r="AA9" s="2191"/>
      <c r="AB9" s="983"/>
      <c r="AC9" s="2183" t="s">
        <v>1899</v>
      </c>
      <c r="AD9" s="15" t="s">
        <v>1900</v>
      </c>
      <c r="AE9" s="1299"/>
      <c r="AF9" s="15" t="s">
        <v>1901</v>
      </c>
      <c r="AG9" s="1299"/>
      <c r="AH9" s="15" t="s">
        <v>1900</v>
      </c>
      <c r="AI9" s="1299"/>
      <c r="AJ9" s="15" t="s">
        <v>1901</v>
      </c>
      <c r="AK9" s="1299"/>
      <c r="AL9" s="15" t="s">
        <v>1900</v>
      </c>
      <c r="AM9" s="1299"/>
      <c r="AN9" s="15" t="s">
        <v>1901</v>
      </c>
      <c r="AO9" s="1299"/>
      <c r="AP9" s="15" t="s">
        <v>1900</v>
      </c>
      <c r="AQ9" s="1299"/>
      <c r="AR9" s="15" t="s">
        <v>1901</v>
      </c>
      <c r="AS9" s="2193"/>
      <c r="AT9" s="2182"/>
      <c r="AU9" s="2182" t="s">
        <v>1902</v>
      </c>
      <c r="AV9" s="1293"/>
      <c r="AW9" s="2165"/>
      <c r="AX9" s="1293"/>
      <c r="AY9" s="28"/>
      <c r="AZ9" s="28" t="s">
        <v>1892</v>
      </c>
      <c r="BA9" s="2194" t="s">
        <v>1903</v>
      </c>
      <c r="BB9" s="2195"/>
      <c r="BC9" s="1339"/>
      <c r="BD9" s="1339"/>
      <c r="BE9" s="1339"/>
      <c r="BF9" s="1339"/>
      <c r="BG9" s="1339"/>
      <c r="BH9" s="1339"/>
      <c r="BI9" s="1339"/>
      <c r="BJ9" s="1339"/>
      <c r="BK9" s="2196"/>
      <c r="BL9" s="15" t="s">
        <v>1904</v>
      </c>
      <c r="BM9" s="1820"/>
      <c r="BN9" s="2185"/>
      <c r="BO9" s="1820"/>
      <c r="BP9" s="1820"/>
      <c r="BQ9" s="1820"/>
      <c r="BR9" s="1820"/>
      <c r="BS9" s="1820"/>
      <c r="BT9" s="26"/>
    </row>
    <row r="10" spans="1:72" s="2189" customFormat="1" ht="12.75">
      <c r="A10" s="2182"/>
      <c r="B10" s="2182"/>
      <c r="C10" s="2182"/>
      <c r="D10" s="2182"/>
      <c r="E10" s="2182"/>
      <c r="F10" s="2182"/>
      <c r="G10" s="1293"/>
      <c r="H10" s="28"/>
      <c r="I10" s="2191" t="s">
        <v>6</v>
      </c>
      <c r="J10" s="983"/>
      <c r="K10" s="2197"/>
      <c r="L10" s="983"/>
      <c r="M10" s="2197"/>
      <c r="N10" s="983"/>
      <c r="O10" s="2197"/>
      <c r="P10" s="983"/>
      <c r="Q10" s="2197"/>
      <c r="R10" s="983"/>
      <c r="S10" s="2197"/>
      <c r="T10" s="983"/>
      <c r="U10" s="2197"/>
      <c r="V10" s="983"/>
      <c r="W10" s="2197"/>
      <c r="X10" s="983"/>
      <c r="Y10" s="2197"/>
      <c r="Z10" s="983"/>
      <c r="AA10" s="2197"/>
      <c r="AB10" s="983"/>
      <c r="AC10" s="1293"/>
      <c r="AD10" s="15" t="s">
        <v>1905</v>
      </c>
      <c r="AE10" s="2198"/>
      <c r="AF10" s="15" t="s">
        <v>1905</v>
      </c>
      <c r="AG10" s="2198"/>
      <c r="AH10" s="15" t="s">
        <v>1906</v>
      </c>
      <c r="AI10" s="2198"/>
      <c r="AJ10" s="15" t="s">
        <v>1906</v>
      </c>
      <c r="AK10" s="2198"/>
      <c r="AL10" s="15" t="s">
        <v>1907</v>
      </c>
      <c r="AM10" s="1299"/>
      <c r="AN10" s="15" t="s">
        <v>1907</v>
      </c>
      <c r="AO10" s="1299"/>
      <c r="AP10" s="15" t="s">
        <v>1908</v>
      </c>
      <c r="AQ10" s="1299"/>
      <c r="AR10" s="15" t="s">
        <v>1908</v>
      </c>
      <c r="AS10" s="1299"/>
      <c r="AT10" s="2182"/>
      <c r="AU10" s="2182"/>
      <c r="AV10" s="1293"/>
      <c r="AW10" s="2165"/>
      <c r="AX10" s="1293"/>
      <c r="AY10" s="28"/>
      <c r="AZ10" s="28"/>
      <c r="BA10" s="2199" t="s">
        <v>1899</v>
      </c>
      <c r="BB10" s="2200" t="str">
        <f>I9</f>
        <v>地上</v>
      </c>
      <c r="BC10" s="29">
        <f>K9</f>
        <v>0</v>
      </c>
      <c r="BD10" s="29">
        <f>M9</f>
        <v>0</v>
      </c>
      <c r="BE10" s="29">
        <f>O9</f>
        <v>0</v>
      </c>
      <c r="BF10" s="29">
        <f>Q9</f>
        <v>0</v>
      </c>
      <c r="BG10" s="29">
        <f>S9</f>
        <v>0</v>
      </c>
      <c r="BH10" s="29">
        <f>U9</f>
        <v>0</v>
      </c>
      <c r="BI10" s="29">
        <f>W9</f>
        <v>0</v>
      </c>
      <c r="BJ10" s="29">
        <f>Y9</f>
        <v>0</v>
      </c>
      <c r="BK10" s="29">
        <f>AA9</f>
        <v>0</v>
      </c>
      <c r="BL10" s="25" t="s">
        <v>1899</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3"/>
      <c r="H11" s="2199"/>
      <c r="I11" s="2202" t="s">
        <v>3069</v>
      </c>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1909</v>
      </c>
      <c r="AE11" s="1821"/>
      <c r="AF11" s="2204" t="s">
        <v>1909</v>
      </c>
      <c r="AG11" s="1821"/>
      <c r="AH11" s="2204" t="s">
        <v>1910</v>
      </c>
      <c r="AI11" s="2205"/>
      <c r="AJ11" s="2204" t="s">
        <v>1910</v>
      </c>
      <c r="AK11" s="1821"/>
      <c r="AL11" s="1819"/>
      <c r="AM11" s="1821"/>
      <c r="AN11" s="1819"/>
      <c r="AO11" s="1821"/>
      <c r="AP11" s="1819"/>
      <c r="AQ11" s="1821"/>
      <c r="AR11" s="1819"/>
      <c r="AS11" s="1821"/>
      <c r="AT11" s="2165"/>
      <c r="AU11" s="2182"/>
      <c r="AV11" s="1293"/>
      <c r="AW11" s="2165"/>
      <c r="AX11" s="1293"/>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4" t="s">
        <v>1912</v>
      </c>
      <c r="W12" s="11" t="s">
        <v>1911</v>
      </c>
      <c r="X12" s="11" t="s">
        <v>1912</v>
      </c>
      <c r="Y12" s="11" t="s">
        <v>1911</v>
      </c>
      <c r="Z12" s="11" t="s">
        <v>1912</v>
      </c>
      <c r="AA12" s="11" t="s">
        <v>1911</v>
      </c>
      <c r="AB12" s="11" t="s">
        <v>1912</v>
      </c>
      <c r="AC12" s="2209"/>
      <c r="AD12" s="1808"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7" t="s">
        <v>1912</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3"/>
      <c r="B13" s="1273"/>
      <c r="C13" s="1273" t="s">
        <v>3066</v>
      </c>
      <c r="D13" s="2213" t="s">
        <v>3067</v>
      </c>
      <c r="E13" s="16">
        <f>IF($C$3="是",ROUND($A$3*G13/$B$3,2),ROUND($A$3*(G13-AT13)/$B$3,2))</f>
        <v>0</v>
      </c>
      <c r="F13" s="32"/>
      <c r="G13" s="33">
        <f>H13+AC13+AT13</f>
        <v>4799.08</v>
      </c>
      <c r="H13" s="20">
        <f>SUMIF(I$12:AB$12,"总值",I13:AB13)</f>
        <v>4799.08</v>
      </c>
      <c r="I13" s="2214">
        <v>4799.08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38幢</v>
      </c>
      <c r="AY13" s="1808">
        <f>ROUND($AY$6*AZ13/$AZ$5,2)</f>
        <v>0</v>
      </c>
      <c r="AZ13" s="16">
        <f>BA13+BL13</f>
        <v>4799.08</v>
      </c>
      <c r="BA13" s="16">
        <f>SUM(BB13:BK13)</f>
        <v>4799.08</v>
      </c>
      <c r="BB13" s="16">
        <f>IF($D13="是",I13-J13,0)</f>
        <v>4799.08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3"/>
      <c r="B14" s="1273"/>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3"/>
      <c r="B15" s="1273"/>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3" t="s">
        <v>0</v>
      </c>
      <c r="B1" s="3013" t="s">
        <v>4</v>
      </c>
      <c r="C1" s="3013" t="s">
        <v>5</v>
      </c>
      <c r="D1" s="3014" t="s">
        <v>53</v>
      </c>
      <c r="E1" s="3014" t="s">
        <v>54</v>
      </c>
      <c r="F1" s="3014"/>
      <c r="G1" s="3014"/>
      <c r="H1" s="3014"/>
      <c r="I1" s="3014"/>
      <c r="J1" s="3014"/>
      <c r="K1" s="3014"/>
      <c r="L1" s="3014"/>
      <c r="M1" s="3014"/>
    </row>
    <row r="2" spans="1:13" ht="27" customHeight="1">
      <c r="A2" s="3013"/>
      <c r="B2" s="3013"/>
      <c r="C2" s="3013"/>
      <c r="D2" s="3014"/>
      <c r="E2" s="3014" t="s">
        <v>37</v>
      </c>
      <c r="F2" s="3014" t="s">
        <v>38</v>
      </c>
      <c r="G2" s="3014"/>
      <c r="H2" s="3014"/>
      <c r="I2" s="3014"/>
      <c r="J2" s="3014" t="s">
        <v>39</v>
      </c>
      <c r="K2" s="3014"/>
      <c r="L2" s="3014"/>
      <c r="M2" s="3014"/>
    </row>
    <row r="3" spans="1:13" ht="28.5">
      <c r="A3" s="3013"/>
      <c r="B3" s="3013"/>
      <c r="C3" s="3013"/>
      <c r="D3" s="3014"/>
      <c r="E3" s="30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4" t="s">
        <v>55</v>
      </c>
      <c r="B9" s="3014"/>
      <c r="C9" s="30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2" sqref="H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1938</v>
      </c>
      <c r="B1" s="1393"/>
      <c r="C1" s="1393"/>
      <c r="D1" s="1393"/>
      <c r="E1" s="1393"/>
      <c r="F1" s="1393"/>
      <c r="G1" s="1393"/>
      <c r="H1" s="1393"/>
      <c r="I1" s="1393"/>
      <c r="J1" s="1393"/>
      <c r="K1" s="1393"/>
      <c r="L1" s="1393"/>
      <c r="M1" s="1393"/>
      <c r="N1" s="1393"/>
      <c r="O1" s="1393"/>
      <c r="P1" s="1393"/>
    </row>
    <row r="2" spans="1:16" ht="15">
      <c r="A2" s="3024" t="s">
        <v>1939</v>
      </c>
      <c r="B2" s="3024"/>
      <c r="C2" s="3024"/>
      <c r="D2" s="969" t="s">
        <v>1915</v>
      </c>
      <c r="E2" s="2227" t="s">
        <v>1916</v>
      </c>
      <c r="F2" s="1393"/>
      <c r="G2" s="2228"/>
      <c r="H2" s="2229"/>
      <c r="I2" s="2230" t="s">
        <v>1940</v>
      </c>
      <c r="J2" s="1393"/>
      <c r="K2" s="1393"/>
      <c r="L2" s="1393"/>
      <c r="M2" s="1393"/>
      <c r="N2" s="1428"/>
      <c r="O2" s="1393"/>
      <c r="P2" s="1393"/>
    </row>
    <row r="3" spans="1:16" ht="15.75" thickBot="1">
      <c r="A3" s="3025" t="s">
        <v>1913</v>
      </c>
      <c r="B3" s="3025"/>
      <c r="C3" s="3025"/>
      <c r="D3" s="46">
        <f>'数据-基础表'!AY6</f>
        <v>0</v>
      </c>
      <c r="E3" s="46">
        <f>'数据-基础表'!AZ5</f>
        <v>4799.08</v>
      </c>
      <c r="F3" s="1393"/>
      <c r="G3" s="1400"/>
      <c r="H3" s="1248" t="s">
        <v>1914</v>
      </c>
      <c r="I3" s="55" t="e">
        <f>ROUND('数据-基础表'!B3/'数据-基础表'!A3,2)</f>
        <v>#DIV/0!</v>
      </c>
      <c r="J3" s="1393"/>
      <c r="K3" s="1393"/>
      <c r="L3" s="1393"/>
      <c r="M3" s="1393"/>
      <c r="N3" s="1428"/>
      <c r="O3" s="1393"/>
      <c r="P3" s="1393"/>
    </row>
    <row r="4" spans="1:16" ht="15">
      <c r="A4" s="3026"/>
      <c r="B4" s="3027"/>
      <c r="C4" s="3028"/>
      <c r="D4" s="2231" t="s">
        <v>1915</v>
      </c>
      <c r="E4" s="2232" t="s">
        <v>1916</v>
      </c>
      <c r="F4" s="1393"/>
      <c r="G4" s="2233" t="s">
        <v>1941</v>
      </c>
      <c r="H4" s="1248" t="s">
        <v>1921</v>
      </c>
      <c r="I4" s="55" t="e">
        <f>ROUND(SUMIF('数据-基础表'!I9:AS9,"地上",'数据-基础表'!I5:AS5)/'数据-基础表'!A3,2)</f>
        <v>#DIV/0!</v>
      </c>
      <c r="J4" s="1393"/>
      <c r="K4" s="1393"/>
      <c r="L4" s="1393"/>
      <c r="M4" s="1393"/>
      <c r="N4" s="1428"/>
      <c r="O4" s="1393"/>
      <c r="P4" s="1393"/>
    </row>
    <row r="5" spans="1:16">
      <c r="A5" s="47" t="s">
        <v>1917</v>
      </c>
      <c r="B5" s="3029" t="s">
        <v>1918</v>
      </c>
      <c r="C5" s="3029"/>
      <c r="D5" s="48">
        <f>ROUND($D$3*E5/$E$3,2)</f>
        <v>0</v>
      </c>
      <c r="E5" s="49">
        <f>SUMIF('数据-基础表'!$11:$11,"住宅",'数据-基础表'!$5:$5)</f>
        <v>0</v>
      </c>
      <c r="F5" s="1393"/>
      <c r="G5" s="1400"/>
      <c r="H5" s="1248" t="s">
        <v>1914</v>
      </c>
      <c r="I5" s="55" t="e">
        <f>ROUND(E31/D31,2)</f>
        <v>#DIV/0!</v>
      </c>
      <c r="J5" s="1393"/>
      <c r="K5" s="1393"/>
      <c r="L5" s="1393"/>
      <c r="M5" s="1393"/>
      <c r="N5" s="1393"/>
      <c r="O5" s="1393"/>
      <c r="P5" s="1393"/>
    </row>
    <row r="6" spans="1:16" ht="15" thickBot="1">
      <c r="A6" s="2234"/>
      <c r="B6" s="3029" t="s">
        <v>1919</v>
      </c>
      <c r="C6" s="3029"/>
      <c r="D6" s="48">
        <f>ROUND($D$3*E6/$E$3,2)</f>
        <v>0</v>
      </c>
      <c r="E6" s="49">
        <f>E3-E5</f>
        <v>4799.08</v>
      </c>
      <c r="F6" s="1393"/>
      <c r="G6" s="2235" t="s">
        <v>1920</v>
      </c>
      <c r="H6" s="1400" t="s">
        <v>1921</v>
      </c>
      <c r="I6" s="941" t="e">
        <f>ROUND(F31/D31,2)</f>
        <v>#DIV/0!</v>
      </c>
      <c r="J6" s="1393"/>
      <c r="K6" s="1393"/>
      <c r="L6" s="1393"/>
      <c r="M6" s="1393"/>
      <c r="N6" s="1393"/>
      <c r="O6" s="1393"/>
      <c r="P6" s="1393"/>
    </row>
    <row r="7" spans="1:16" ht="15">
      <c r="A7" s="3021"/>
      <c r="B7" s="3022"/>
      <c r="C7" s="3023"/>
      <c r="D7" s="2231" t="s">
        <v>1915</v>
      </c>
      <c r="E7" s="2236" t="s">
        <v>1922</v>
      </c>
      <c r="F7" s="1393"/>
      <c r="G7" s="2228" t="s">
        <v>1923</v>
      </c>
      <c r="H7" s="64"/>
      <c r="I7" s="419"/>
      <c r="J7" s="1393"/>
      <c r="K7" s="1393"/>
      <c r="L7" s="1393"/>
      <c r="M7" s="1393"/>
      <c r="N7" s="1393"/>
      <c r="O7" s="1393"/>
      <c r="P7" s="1393"/>
    </row>
    <row r="8" spans="1:16">
      <c r="A8" s="47" t="s">
        <v>1924</v>
      </c>
      <c r="B8" s="50" t="s">
        <v>1925</v>
      </c>
      <c r="C8" s="48" t="s">
        <v>1926</v>
      </c>
      <c r="D8" s="48">
        <f t="shared" ref="D8:D15" si="0">ROUND($D$3*E8/$E$3,2)</f>
        <v>0</v>
      </c>
      <c r="E8" s="51">
        <f>SUMIF('数据-基础表'!BB10:BK10,"地上",'数据-基础表'!BB5:BK5)</f>
        <v>4799.08</v>
      </c>
      <c r="F8" s="1393"/>
      <c r="G8" s="2237"/>
      <c r="H8" s="2237"/>
      <c r="I8" s="1393"/>
      <c r="J8" s="1393"/>
      <c r="K8" s="1393"/>
      <c r="L8" s="1393"/>
      <c r="M8" s="1393"/>
      <c r="N8" s="1393"/>
      <c r="O8" s="1393"/>
      <c r="P8" s="1393"/>
    </row>
    <row r="9" spans="1:16">
      <c r="A9" s="2238"/>
      <c r="B9" s="2239"/>
      <c r="C9" s="48" t="s">
        <v>1927</v>
      </c>
      <c r="D9" s="48">
        <f t="shared" si="0"/>
        <v>0</v>
      </c>
      <c r="E9" s="52">
        <v>0</v>
      </c>
      <c r="F9" s="1393"/>
      <c r="G9" s="2237"/>
      <c r="H9" s="2237"/>
      <c r="I9" s="1393"/>
      <c r="J9" s="1393"/>
      <c r="K9" s="1393"/>
      <c r="L9" s="1393"/>
      <c r="M9" s="1393"/>
      <c r="N9" s="1393"/>
      <c r="O9" s="1393"/>
      <c r="P9" s="1393"/>
    </row>
    <row r="10" spans="1:16">
      <c r="A10" s="2238"/>
      <c r="B10" s="2239"/>
      <c r="C10" s="48" t="s">
        <v>1936</v>
      </c>
      <c r="D10" s="48">
        <f t="shared" si="0"/>
        <v>0</v>
      </c>
      <c r="E10" s="51">
        <f>SUMPRODUCT(('数据-基础表'!BB10:BK10="地下")*('数据-基础表'!BB11:BK11="商业")*('数据-基础表'!BB5:BK5))</f>
        <v>0</v>
      </c>
      <c r="F10" s="1393"/>
      <c r="G10" s="2237"/>
      <c r="H10" s="2237"/>
      <c r="I10" s="1393"/>
      <c r="J10" s="1393"/>
      <c r="K10" s="1393"/>
      <c r="L10" s="1393"/>
      <c r="M10" s="1393"/>
      <c r="N10" s="1393"/>
      <c r="O10" s="1393"/>
      <c r="P10" s="1393"/>
    </row>
    <row r="11" spans="1:16">
      <c r="A11" s="2238"/>
      <c r="B11" s="2239"/>
      <c r="C11" s="48" t="s">
        <v>1928</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8" t="s">
        <v>1929</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1930</v>
      </c>
      <c r="D13" s="48">
        <f t="shared" si="0"/>
        <v>0</v>
      </c>
      <c r="E13" s="51">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8" t="s">
        <v>1942</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1937</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1931</v>
      </c>
      <c r="D16" s="50">
        <f>SUM(D8:D15)</f>
        <v>0</v>
      </c>
      <c r="E16" s="53">
        <f>SUM(E8:E15)</f>
        <v>4799.08</v>
      </c>
      <c r="F16" s="1393"/>
      <c r="G16" s="2237"/>
      <c r="H16" s="2240" t="s">
        <v>1943</v>
      </c>
      <c r="I16" s="2241"/>
      <c r="J16" s="1393"/>
      <c r="K16" s="3018" t="s">
        <v>1943</v>
      </c>
      <c r="L16" s="3019"/>
      <c r="M16" s="3019"/>
      <c r="N16" s="3019"/>
      <c r="O16" s="3019"/>
      <c r="P16" s="3020"/>
    </row>
    <row r="17" spans="1:19" ht="15">
      <c r="A17" s="2242" t="s">
        <v>1944</v>
      </c>
      <c r="B17" s="2243" t="s">
        <v>1945</v>
      </c>
      <c r="C17" s="2244" t="s">
        <v>1946</v>
      </c>
      <c r="D17" s="2245" t="s">
        <v>1934</v>
      </c>
      <c r="E17" s="2246" t="s">
        <v>1935</v>
      </c>
      <c r="F17" s="2247"/>
      <c r="G17" s="2248"/>
      <c r="H17" s="2249" t="s">
        <v>1947</v>
      </c>
      <c r="I17" s="2250" t="s">
        <v>1932</v>
      </c>
      <c r="J17" s="1393"/>
      <c r="K17" s="3015" t="s">
        <v>1948</v>
      </c>
      <c r="L17" s="3016"/>
      <c r="M17" s="3017"/>
      <c r="N17" s="3015" t="s">
        <v>1949</v>
      </c>
      <c r="O17" s="3016"/>
      <c r="P17" s="3017"/>
      <c r="R17" s="2228" t="s">
        <v>1950</v>
      </c>
      <c r="S17" s="64"/>
    </row>
    <row r="18" spans="1:19" ht="15">
      <c r="A18" s="2238"/>
      <c r="B18" s="2251"/>
      <c r="C18" s="2252"/>
      <c r="D18" s="2253"/>
      <c r="E18" s="2254" t="s">
        <v>1951</v>
      </c>
      <c r="F18" s="2255" t="s">
        <v>1952</v>
      </c>
      <c r="G18" s="2256" t="s">
        <v>1953</v>
      </c>
      <c r="H18" s="1263" t="s">
        <v>1954</v>
      </c>
      <c r="I18" s="2257" t="s">
        <v>1955</v>
      </c>
      <c r="J18" s="1393"/>
      <c r="K18" s="1263" t="s">
        <v>1956</v>
      </c>
      <c r="L18" s="2258" t="s">
        <v>1957</v>
      </c>
      <c r="M18" s="1047" t="s">
        <v>1958</v>
      </c>
      <c r="N18" s="1263" t="s">
        <v>1956</v>
      </c>
      <c r="O18" s="2258" t="s">
        <v>1957</v>
      </c>
      <c r="P18" s="1047" t="s">
        <v>1958</v>
      </c>
      <c r="R18" s="1248" t="s">
        <v>1959</v>
      </c>
      <c r="S18" s="1248" t="s">
        <v>1960</v>
      </c>
    </row>
    <row r="19" spans="1:19">
      <c r="A19" s="2259"/>
      <c r="B19" s="50" t="s">
        <v>1933</v>
      </c>
      <c r="C19" s="2932" t="s">
        <v>3071</v>
      </c>
      <c r="D19" s="48">
        <f>ROUND($D$3*E19/$E$3,2)</f>
        <v>0</v>
      </c>
      <c r="E19" s="56">
        <f t="shared" ref="E19:E26" si="1">SUM(F19:G19)</f>
        <v>4799.08</v>
      </c>
      <c r="F19" s="57">
        <f>'数据-基础表'!I13</f>
        <v>4799.08</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0</v>
      </c>
      <c r="S19" s="1249">
        <f t="shared" si="5"/>
        <v>4799.08</v>
      </c>
    </row>
    <row r="20" spans="1:19">
      <c r="A20" s="2263"/>
      <c r="B20" s="50" t="s">
        <v>1961</v>
      </c>
      <c r="C20" s="2260"/>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50" t="s">
        <v>1961</v>
      </c>
      <c r="C21" s="2260"/>
      <c r="D21" s="48">
        <f t="shared" si="6"/>
        <v>0</v>
      </c>
      <c r="E21" s="56">
        <f t="shared" si="1"/>
        <v>0</v>
      </c>
      <c r="F21" s="57"/>
      <c r="G21" s="58"/>
      <c r="H21" s="722">
        <f t="shared" si="7"/>
        <v>0</v>
      </c>
      <c r="I21" s="51">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50" t="s">
        <v>1961</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50" t="s">
        <v>1961</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50" t="s">
        <v>1961</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50" t="s">
        <v>1961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50" t="s">
        <v>1961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8">
        <f t="shared" si="5"/>
        <v>0</v>
      </c>
      <c r="S26" s="1249">
        <f t="shared" si="5"/>
        <v>0</v>
      </c>
    </row>
    <row r="27" spans="1:19" ht="15.75" thickBot="1">
      <c r="A27" s="2263"/>
      <c r="B27" s="48"/>
      <c r="C27" s="2266" t="s">
        <v>1962</v>
      </c>
      <c r="D27" s="1394">
        <f>SUM(D19:D26)</f>
        <v>0</v>
      </c>
      <c r="E27" s="1395">
        <f>IF(SUM(E19:E26)='数据-基础表'!BA5,SUM(E19:E26),IF(F27="地上面积有误","面积有误","地下面积有误"))</f>
        <v>4799.08</v>
      </c>
      <c r="F27" s="1394">
        <f>IF(SUM(F19:F26)=E8,SUM(F19:F26),"地上面积有误")</f>
        <v>4799.08</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4799.08</v>
      </c>
    </row>
    <row r="28" spans="1:19">
      <c r="A28" s="2263"/>
      <c r="B28" s="50" t="s">
        <v>1963</v>
      </c>
      <c r="C28" s="1260" t="s">
        <v>1964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3"/>
      <c r="B29" s="50" t="s">
        <v>1963</v>
      </c>
      <c r="C29" s="2267" t="s">
        <v>1965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3"/>
      <c r="B30" s="50"/>
      <c r="C30" s="2268" t="s">
        <v>1962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9" t="s">
        <v>1966</v>
      </c>
      <c r="D31" s="728">
        <f>D27+D30</f>
        <v>0</v>
      </c>
      <c r="E31" s="728">
        <f>E27+E30</f>
        <v>4799.08</v>
      </c>
      <c r="F31" s="729">
        <f>F27+F30</f>
        <v>4799.08</v>
      </c>
      <c r="G31" s="730">
        <f>G27+G30</f>
        <v>0</v>
      </c>
      <c r="H31" s="1393"/>
      <c r="I31" s="1393"/>
      <c r="J31" s="1393"/>
      <c r="K31" s="1393"/>
      <c r="L31" s="1393"/>
      <c r="M31" s="1393"/>
      <c r="N31" s="1393"/>
      <c r="O31" s="1393"/>
      <c r="P31" s="1393"/>
    </row>
    <row r="32" spans="1:19">
      <c r="A32" s="2233"/>
      <c r="B32" s="2233" t="s">
        <v>1967</v>
      </c>
      <c r="C32" s="2233"/>
      <c r="D32" s="2233"/>
      <c r="E32" s="1275">
        <f>SUMIF(C19:C26,"*住宅*",E19:E26)</f>
        <v>0</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1"/>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1969</v>
      </c>
      <c r="B2" s="1267">
        <f>项目基本情况!D3</f>
        <v>43061</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4" t="s">
        <v>1974</v>
      </c>
      <c r="AA4" s="2244"/>
      <c r="AB4" s="2244"/>
      <c r="AC4" s="2244"/>
      <c r="AD4" s="2244"/>
      <c r="AE4" s="2242" t="s">
        <v>1975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1976</v>
      </c>
      <c r="B5" s="2290" t="s">
        <v>1977</v>
      </c>
      <c r="C5" s="2291" t="s">
        <v>1978</v>
      </c>
      <c r="D5" s="2292" t="s">
        <v>1979</v>
      </c>
      <c r="E5" s="1269" t="s">
        <v>1980</v>
      </c>
      <c r="F5" s="2293" t="s">
        <v>1981</v>
      </c>
      <c r="G5" s="1269" t="s">
        <v>1982</v>
      </c>
      <c r="H5" s="1269" t="s">
        <v>1983</v>
      </c>
      <c r="I5" s="1269"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68" t="s">
        <v>1996</v>
      </c>
      <c r="V5" s="1269" t="s">
        <v>1997</v>
      </c>
      <c r="W5" s="1269" t="s">
        <v>1998</v>
      </c>
      <c r="X5" s="71"/>
      <c r="Y5" s="70" t="s">
        <v>1999</v>
      </c>
      <c r="Z5" s="2303" t="s">
        <v>1996</v>
      </c>
      <c r="AA5" s="1269" t="s">
        <v>1997</v>
      </c>
      <c r="AB5" s="1269" t="s">
        <v>1998</v>
      </c>
      <c r="AC5" s="71"/>
      <c r="AD5" s="71" t="s">
        <v>1999</v>
      </c>
      <c r="AE5" s="1268" t="s">
        <v>2000</v>
      </c>
      <c r="AF5" s="1269" t="s">
        <v>2001</v>
      </c>
      <c r="AG5" s="70" t="s">
        <v>2002</v>
      </c>
      <c r="AH5" s="1268" t="s">
        <v>2003</v>
      </c>
      <c r="AI5" s="2303" t="s">
        <v>2004</v>
      </c>
      <c r="AJ5" s="2303" t="s">
        <v>2005</v>
      </c>
      <c r="AK5" s="1269" t="s">
        <v>2006</v>
      </c>
      <c r="AL5" s="1269" t="s">
        <v>2007</v>
      </c>
      <c r="AM5" s="70" t="s">
        <v>2008</v>
      </c>
      <c r="AN5" s="2304" t="s">
        <v>2009</v>
      </c>
      <c r="AO5" s="2074" t="s">
        <v>2010</v>
      </c>
      <c r="AP5" s="1250"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工业办公</v>
      </c>
      <c r="B6" s="2307" t="str">
        <f>IF(A6=0,"","经营性")</f>
        <v>经营性</v>
      </c>
      <c r="C6" s="2308" t="s">
        <v>6</v>
      </c>
      <c r="D6" s="1052">
        <f>SUMIF(项目基本情况!D$12:I$12,C6,项目基本情况!D$14:I$14)</f>
        <v>50</v>
      </c>
      <c r="E6" s="1049">
        <f>IF(B6="","",SUMIF(项目基本情况!D$12:I$12,C6,项目基本情况!D$13:I$13))</f>
        <v>57525</v>
      </c>
      <c r="F6" s="72">
        <f>SUMIF(项目基本情况!D$12:I$12,C6,项目基本情况!D$15:I$15)</f>
        <v>39.619999999999997</v>
      </c>
      <c r="G6" s="73">
        <f>IF(ISERROR(ROUND(POWER(1+H6,D6-F6)*(POWER(1+H6,F6)-1)/(POWER(1+H6,D6)-1),3)),0,ROUND(POWER(1+H6,D6-F6)*(POWER(1+H6,F6)-1)/(POWER(1+H6,D6)-1),3))</f>
        <v>0.93700000000000006</v>
      </c>
      <c r="H6" s="801">
        <v>0.05</v>
      </c>
      <c r="I6" s="801">
        <v>5.5E-2</v>
      </c>
      <c r="J6" s="74">
        <v>0.08</v>
      </c>
      <c r="K6" s="1252">
        <f>SUMIF('数据-汇总表'!C$19:C$33,A6,'数据-汇总表'!E$19:E$33)</f>
        <v>4799.08</v>
      </c>
      <c r="L6" s="802">
        <v>2500</v>
      </c>
      <c r="M6" s="75">
        <f t="shared" ref="M6:M14" si="0">ROUND(K6*L6/10000,0)</f>
        <v>1200</v>
      </c>
      <c r="N6" s="800">
        <f>ROUND(1-(1-0%)*(2017-2013)/60,2)</f>
        <v>0.93</v>
      </c>
      <c r="O6" s="75">
        <f>IF($N$5="成新度","——",ROUND(M6*N6,0))</f>
        <v>1116</v>
      </c>
      <c r="P6" s="76">
        <f>IF($N$5="成新度","——",M6-O6)</f>
        <v>84</v>
      </c>
      <c r="Q6" s="803">
        <v>0.1</v>
      </c>
      <c r="R6" s="77">
        <f ca="1">SUMIF('数据-汇总表'!C$19:C$33,A6,'数据-汇总表'!R$19:R$27)</f>
        <v>0</v>
      </c>
      <c r="S6" s="54">
        <f>IF('数据-汇总表'!$I$17="按面积比例",SUMIF('数据-汇总表'!C$19:C$33,A6,'数据-汇总表'!K$19:K$33),SUMIF('数据-汇总表'!C$19:C$33,A6,'数据-汇总表'!N$19:N$33))</f>
        <v>0</v>
      </c>
      <c r="T6" s="1444">
        <f>ROUND($L$14*S6/10000,0)</f>
        <v>0</v>
      </c>
      <c r="U6" s="81">
        <v>1.6</v>
      </c>
      <c r="V6" s="74">
        <v>0.02</v>
      </c>
      <c r="W6" s="74">
        <v>0.15</v>
      </c>
      <c r="X6" s="1262"/>
      <c r="Y6" s="80">
        <f>N6</f>
        <v>0.93</v>
      </c>
      <c r="Z6" s="87">
        <v>1.4999999999999999E-2</v>
      </c>
      <c r="AA6" s="88">
        <v>1.5E-3</v>
      </c>
      <c r="AB6" s="89">
        <v>0.01</v>
      </c>
      <c r="AC6" s="1262"/>
      <c r="AD6" s="82"/>
      <c r="AE6" s="1263">
        <f ca="1">IF(AN6="",0,SUMIF(INDIRECT("'"&amp;AN6&amp;"'"&amp;"!E:E"),$AE$5,INDIRECT("'"&amp;AN6&amp;"'"&amp;"!F:F")))</f>
        <v>39.619999999999997</v>
      </c>
      <c r="AF6" s="1806"/>
      <c r="AG6" s="146">
        <f>IF(AF6="",0,AE6-AF6)</f>
        <v>0</v>
      </c>
      <c r="AH6" s="83"/>
      <c r="AI6" s="85">
        <v>365</v>
      </c>
      <c r="AJ6" s="86"/>
      <c r="AK6" s="87">
        <v>1.4999999999999999E-2</v>
      </c>
      <c r="AL6" s="87">
        <v>1.5E-3</v>
      </c>
      <c r="AM6" s="88">
        <v>0.01</v>
      </c>
      <c r="AN6" s="2309" t="s">
        <v>3107</v>
      </c>
      <c r="AO6" s="55">
        <f ca="1">SUMIF(INDIRECT("'"&amp;AN6&amp;"'"&amp;"!A:A"),"总价",INDIRECT("'"&amp;AN6&amp;"'"&amp;"!B:B"))</f>
        <v>3792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6"/>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6"/>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2014</v>
      </c>
      <c r="B14" s="2307" t="s">
        <v>2015</v>
      </c>
      <c r="C14" s="2312" t="s">
        <v>2014</v>
      </c>
      <c r="D14" s="1052"/>
      <c r="E14" s="1049"/>
      <c r="F14" s="72"/>
      <c r="G14" s="73"/>
      <c r="H14" s="1251"/>
      <c r="I14" s="1251"/>
      <c r="J14" s="1251"/>
      <c r="K14" s="1252">
        <f>SUMIF('数据-汇总表'!C$19:C$33,A14,'数据-汇总表'!E$19:E$33)</f>
        <v>0</v>
      </c>
      <c r="L14" s="91"/>
      <c r="M14" s="75">
        <f t="shared" si="0"/>
        <v>0</v>
      </c>
      <c r="N14" s="92"/>
      <c r="O14" s="75">
        <f t="shared" si="3"/>
        <v>0</v>
      </c>
      <c r="P14" s="76">
        <f t="shared" si="4"/>
        <v>0</v>
      </c>
      <c r="Q14" s="1255"/>
      <c r="R14" s="77"/>
      <c r="S14" s="54"/>
      <c r="T14" s="1444"/>
      <c r="U14" s="722"/>
      <c r="V14" s="1257"/>
      <c r="W14" s="1257"/>
      <c r="X14" s="1258"/>
      <c r="Y14" s="1259"/>
      <c r="Z14" s="1260"/>
      <c r="AA14" s="1261"/>
      <c r="AB14" s="1261"/>
      <c r="AC14" s="1262"/>
      <c r="AD14" s="1258"/>
      <c r="AE14" s="1263"/>
      <c r="AF14" s="55"/>
      <c r="AG14" s="146"/>
      <c r="AH14" s="1263"/>
      <c r="AI14" s="1817"/>
      <c r="AJ14" s="772"/>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2016</v>
      </c>
      <c r="B15" s="2307" t="s">
        <v>2015</v>
      </c>
      <c r="C15" s="2312" t="s">
        <v>2017</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7"/>
      <c r="AJ15" s="772"/>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2018</v>
      </c>
      <c r="B16" s="97"/>
      <c r="C16" s="1007"/>
      <c r="D16" s="2314"/>
      <c r="E16" s="97"/>
      <c r="F16" s="97"/>
      <c r="G16" s="98">
        <f>ROUND(SUMPRODUCT(G6:G13,K6:K13)/SUMPRODUCT((G6:G13&gt;0)*(K6:K13)),3)</f>
        <v>0.93700000000000006</v>
      </c>
      <c r="H16" s="99">
        <f>ROUND(SUMPRODUCT(H6:H13,K6:K13)/SUMPRODUCT((H6:H13&gt;0)*(K6:K13)),3)</f>
        <v>0.05</v>
      </c>
      <c r="I16" s="100"/>
      <c r="J16" s="100"/>
      <c r="K16" s="101">
        <f>SUM(K6:K15)</f>
        <v>4799.08</v>
      </c>
      <c r="L16" s="102">
        <f>ROUND(M16*10000/SUM(K6:K14),0)</f>
        <v>2500</v>
      </c>
      <c r="M16" s="102">
        <f>SUM(M6:M14)</f>
        <v>1200</v>
      </c>
      <c r="N16" s="103">
        <f>ROUND(SUMPRODUCT(M6:M14,N6:N14)/M16,3)</f>
        <v>0.93</v>
      </c>
      <c r="O16" s="102">
        <f>SUM(O6:O14)</f>
        <v>1116</v>
      </c>
      <c r="P16" s="102">
        <f>SUM(P6:P14)</f>
        <v>84</v>
      </c>
      <c r="Q16" s="104">
        <f>ROUND(SUMPRODUCT(Q6:Q13,K6:K13)/SUMPRODUCT((Q6:Q13&gt;0)*(K6:K13)),2)</f>
        <v>0.1</v>
      </c>
      <c r="R16" s="1256">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2020</v>
      </c>
      <c r="B19" s="112">
        <v>0</v>
      </c>
      <c r="C19" s="2277" t="s">
        <v>2021</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2022</v>
      </c>
      <c r="B20" s="113">
        <v>1.5</v>
      </c>
      <c r="C20" s="2277" t="s">
        <v>2023</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2024</v>
      </c>
      <c r="B21" s="113">
        <v>1.5</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2025</v>
      </c>
      <c r="B22" s="114">
        <f>B19+B20</f>
        <v>1.5</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2026</v>
      </c>
      <c r="B23" s="114">
        <f>B19+B21</f>
        <v>1.5</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2027</v>
      </c>
      <c r="B24" s="115">
        <f>B20-B21</f>
        <v>0</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2028</v>
      </c>
      <c r="B26" s="2320" t="s">
        <v>2029</v>
      </c>
      <c r="C26" s="2321" t="s">
        <v>2030</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2031</v>
      </c>
      <c r="B27" s="116"/>
      <c r="C27" s="1766" t="s">
        <v>2032</v>
      </c>
      <c r="D27" s="2323"/>
      <c r="E27" s="1428"/>
      <c r="F27" s="1428"/>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2033</v>
      </c>
      <c r="B28" s="119"/>
      <c r="C28" s="2326"/>
      <c r="D28" s="2323"/>
      <c r="E28" s="1428"/>
      <c r="F28" s="1428"/>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2034</v>
      </c>
      <c r="B29" s="121"/>
      <c r="C29" s="1766" t="s">
        <v>2035</v>
      </c>
      <c r="D29" s="2323"/>
      <c r="E29" s="1428"/>
      <c r="F29" s="1428"/>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2036</v>
      </c>
      <c r="B30" s="723">
        <v>150</v>
      </c>
      <c r="C30" s="2326"/>
      <c r="D30" s="2323"/>
      <c r="E30" s="1428"/>
      <c r="F30" s="1428"/>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2037</v>
      </c>
      <c r="B31" s="120">
        <f>B30-B32</f>
        <v>150</v>
      </c>
      <c r="C31" s="1766"/>
      <c r="D31" s="2323"/>
      <c r="E31" s="1428"/>
      <c r="F31" s="1428"/>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2038</v>
      </c>
      <c r="B32" s="724"/>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2039</v>
      </c>
      <c r="B33" s="725">
        <v>0.05</v>
      </c>
      <c r="C33" s="1765" t="s">
        <v>2040</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2041</v>
      </c>
      <c r="B34" s="122"/>
      <c r="C34" s="1765" t="s">
        <v>2042</v>
      </c>
      <c r="D34" s="2278" t="s">
        <v>2043</v>
      </c>
      <c r="E34" s="731"/>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2044</v>
      </c>
      <c r="B35" s="119">
        <v>200</v>
      </c>
      <c r="C35" s="1765" t="s">
        <v>2045</v>
      </c>
      <c r="D35" s="2323"/>
      <c r="E35" s="1428"/>
      <c r="F35" s="1428"/>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2046</v>
      </c>
      <c r="B36" s="123">
        <v>1.4999999999999999E-2</v>
      </c>
      <c r="C36" s="1765" t="s">
        <v>2047</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2048</v>
      </c>
      <c r="B37" s="124">
        <v>0.02</v>
      </c>
      <c r="C37" s="1765" t="s">
        <v>2049</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2050</v>
      </c>
      <c r="B38" s="122">
        <v>0.02</v>
      </c>
      <c r="C38" s="1765" t="s">
        <v>2049</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2051</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2052</v>
      </c>
      <c r="B40" s="1301">
        <f ca="1">存贷款利率!G1</f>
        <v>4.7500000000000001E-2</v>
      </c>
      <c r="C40" s="1765" t="s">
        <v>2053</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2054</v>
      </c>
      <c r="B41" s="125">
        <f>B42+B43</f>
        <v>5.5000000000000007E-2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2055</v>
      </c>
      <c r="B42" s="126">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2056</v>
      </c>
      <c r="B43" s="127">
        <f>B42*(B44+B45+B46)+B47</f>
        <v>5.000000000000001E-3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2057</v>
      </c>
      <c r="B44" s="128">
        <v>0.05</v>
      </c>
      <c r="C44" s="1765" t="s">
        <v>2058</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2059</v>
      </c>
      <c r="B45" s="126">
        <v>0.03</v>
      </c>
      <c r="C45" s="1766" t="s">
        <v>2060</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2061</v>
      </c>
      <c r="B46" s="126">
        <v>0.02</v>
      </c>
      <c r="C46" s="1766" t="s">
        <v>2062</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2063</v>
      </c>
      <c r="B47" s="126"/>
      <c r="C47" s="1766" t="s">
        <v>2064</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2065</v>
      </c>
      <c r="B48" s="129">
        <v>0.03</v>
      </c>
      <c r="C48" s="1773" t="s">
        <v>2066</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2067</v>
      </c>
      <c r="B49" s="126">
        <v>5.0000000000000001E-4</v>
      </c>
      <c r="C49" s="1773" t="s">
        <v>2068</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2069</v>
      </c>
      <c r="B50" s="130">
        <v>1.2E-2</v>
      </c>
      <c r="C50" s="1428"/>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2070</v>
      </c>
      <c r="B51" s="131">
        <v>0.12</v>
      </c>
      <c r="C51" s="1428"/>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2071</v>
      </c>
      <c r="B52" s="132">
        <f>SUMIF(A54:A63,B53,B54:B63)</f>
        <v>1.5</v>
      </c>
      <c r="C52" s="1428"/>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2072</v>
      </c>
      <c r="B53" s="2336" t="s">
        <v>56</v>
      </c>
      <c r="C53" s="1428" t="s">
        <v>2073</v>
      </c>
      <c r="D53" s="2337" t="s">
        <v>2074</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2075</v>
      </c>
      <c r="B54" s="84"/>
      <c r="C54" s="1428">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2076</v>
      </c>
      <c r="B55" s="84"/>
      <c r="C55" s="1428">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2077</v>
      </c>
      <c r="B56" s="84"/>
      <c r="C56" s="1428">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2078</v>
      </c>
      <c r="B57" s="84"/>
      <c r="C57" s="1428">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2079</v>
      </c>
      <c r="B58" s="84"/>
      <c r="C58" s="1428">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2080</v>
      </c>
      <c r="B59" s="84">
        <v>1.5</v>
      </c>
      <c r="C59" s="1428">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2081</v>
      </c>
      <c r="B60" s="84"/>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2082</v>
      </c>
      <c r="B61" s="84"/>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2083</v>
      </c>
      <c r="B62" s="84"/>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2084</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30" t="s">
        <v>2085</v>
      </c>
      <c r="B1" s="3031"/>
      <c r="C1" s="3031"/>
      <c r="D1" s="3031"/>
      <c r="E1" s="3031"/>
      <c r="F1" s="3031"/>
      <c r="G1" s="303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4" t="s">
        <v>2088</v>
      </c>
      <c r="B3" s="1269" t="s">
        <v>2089</v>
      </c>
      <c r="C3" s="2370" t="s">
        <v>2090</v>
      </c>
      <c r="D3" s="2371"/>
      <c r="E3" s="430" t="s">
        <v>2088</v>
      </c>
      <c r="F3" s="2372" t="s">
        <v>2091</v>
      </c>
      <c r="G3" s="2373" t="s">
        <v>3073</v>
      </c>
      <c r="H3" s="2368"/>
      <c r="I3" s="2368"/>
      <c r="J3" s="2368"/>
      <c r="K3" s="2368"/>
      <c r="L3" s="2368"/>
      <c r="M3" s="2368"/>
      <c r="N3" s="2368"/>
      <c r="O3" s="2368"/>
      <c r="P3" s="2368"/>
      <c r="Q3" s="2368"/>
      <c r="R3" s="2368"/>
    </row>
    <row r="4" spans="1:29" ht="41.25">
      <c r="A4" s="430"/>
      <c r="B4" s="1797" t="s">
        <v>2092</v>
      </c>
      <c r="C4" s="2374" t="s">
        <v>2093</v>
      </c>
      <c r="D4" s="2371"/>
      <c r="E4" s="2375"/>
      <c r="F4" s="42" t="s">
        <v>2094</v>
      </c>
      <c r="G4" s="2933" t="s">
        <v>3074</v>
      </c>
      <c r="H4" s="2368"/>
      <c r="I4" s="2368"/>
      <c r="J4" s="2368"/>
      <c r="K4" s="2368"/>
      <c r="L4" s="2368"/>
      <c r="M4" s="2368"/>
      <c r="N4" s="2368"/>
      <c r="O4" s="2368"/>
      <c r="P4" s="2368"/>
      <c r="Q4" s="2368"/>
      <c r="R4" s="2368"/>
    </row>
    <row r="5" spans="1:29" ht="41.25">
      <c r="A5" s="430"/>
      <c r="B5" s="1797" t="s">
        <v>2096</v>
      </c>
      <c r="C5" s="2374" t="s">
        <v>2097</v>
      </c>
      <c r="D5" s="2371"/>
      <c r="E5" s="2375"/>
      <c r="F5" s="1797" t="s">
        <v>2098</v>
      </c>
      <c r="G5" s="2933" t="s">
        <v>3075</v>
      </c>
      <c r="H5" s="2368"/>
      <c r="I5" s="2368"/>
      <c r="J5" s="2368"/>
      <c r="K5" s="2368"/>
      <c r="L5" s="2368"/>
      <c r="M5" s="2368"/>
      <c r="N5" s="2368"/>
      <c r="O5" s="2368"/>
      <c r="P5" s="2368"/>
      <c r="Q5" s="2368"/>
      <c r="R5" s="2368"/>
    </row>
    <row r="6" spans="1:29" ht="54">
      <c r="A6" s="430"/>
      <c r="B6" s="1797" t="s">
        <v>2100</v>
      </c>
      <c r="C6" s="2376" t="s">
        <v>2095</v>
      </c>
      <c r="D6" s="2371"/>
      <c r="E6" s="2375"/>
      <c r="F6" s="1797" t="s">
        <v>2101</v>
      </c>
      <c r="G6" s="2933" t="s">
        <v>3076</v>
      </c>
      <c r="H6" s="2368"/>
      <c r="I6" s="2368"/>
      <c r="J6" s="2368"/>
      <c r="K6" s="2368"/>
      <c r="L6" s="2368"/>
      <c r="M6" s="2368"/>
      <c r="N6" s="2368"/>
      <c r="O6" s="2368"/>
      <c r="P6" s="2368"/>
      <c r="Q6" s="2368"/>
      <c r="R6" s="2368"/>
    </row>
    <row r="7" spans="1:29" ht="41.25" thickBot="1">
      <c r="A7" s="430"/>
      <c r="B7" s="1797" t="s">
        <v>2098</v>
      </c>
      <c r="C7" s="2376" t="s">
        <v>2099</v>
      </c>
      <c r="D7" s="2377"/>
      <c r="E7" s="2378"/>
      <c r="F7" s="2379" t="s">
        <v>2103</v>
      </c>
      <c r="G7" s="2934" t="s">
        <v>3077</v>
      </c>
      <c r="H7" s="2368"/>
      <c r="I7" s="2368"/>
      <c r="J7" s="2368"/>
      <c r="K7" s="2368"/>
      <c r="L7" s="2368"/>
      <c r="M7" s="2368"/>
      <c r="N7" s="2368"/>
      <c r="O7" s="2368"/>
      <c r="P7" s="2368"/>
      <c r="Q7" s="2368"/>
      <c r="R7" s="2368"/>
    </row>
    <row r="8" spans="1:29" ht="27">
      <c r="A8" s="430"/>
      <c r="B8" s="1797" t="s">
        <v>2101</v>
      </c>
      <c r="C8" s="2376" t="s">
        <v>2102</v>
      </c>
      <c r="D8" s="2377"/>
      <c r="E8" s="2377"/>
      <c r="F8" s="1134"/>
      <c r="G8" s="1134"/>
      <c r="H8" s="2368"/>
      <c r="I8" s="2368"/>
      <c r="J8" s="2368"/>
      <c r="K8" s="2368"/>
      <c r="L8" s="2368"/>
      <c r="M8" s="2368"/>
      <c r="N8" s="2368"/>
      <c r="O8" s="2368"/>
      <c r="P8" s="2368"/>
      <c r="Q8" s="2368"/>
      <c r="R8" s="2368"/>
    </row>
    <row r="9" spans="1:29" ht="27">
      <c r="A9" s="430"/>
      <c r="B9" s="1797" t="s">
        <v>2104</v>
      </c>
      <c r="C9" s="2374" t="s">
        <v>2105</v>
      </c>
      <c r="D9" s="2371"/>
      <c r="E9" s="2377"/>
      <c r="F9" s="1134"/>
      <c r="G9" s="1134"/>
      <c r="H9" s="2368"/>
      <c r="I9" s="2368"/>
      <c r="J9" s="2368"/>
      <c r="K9" s="2368"/>
      <c r="L9" s="2368"/>
      <c r="M9" s="2368"/>
      <c r="N9" s="2368"/>
      <c r="O9" s="2368"/>
      <c r="P9" s="2368"/>
      <c r="Q9" s="2368"/>
      <c r="R9" s="2368"/>
    </row>
    <row r="10" spans="1:29" s="117" customFormat="1" ht="15.75" thickBot="1">
      <c r="A10" s="2380"/>
      <c r="B10" s="2381" t="s">
        <v>2106</v>
      </c>
      <c r="C10" s="2382"/>
      <c r="D10" s="2371"/>
      <c r="E10" s="2371"/>
      <c r="F10" s="1134"/>
      <c r="G10" s="1134"/>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2"/>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2"/>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2107</v>
      </c>
      <c r="B13" s="2387"/>
      <c r="C13" s="2387"/>
      <c r="D13" s="2394"/>
      <c r="E13" s="2387"/>
      <c r="F13" s="2387"/>
      <c r="G13" s="2387"/>
    </row>
    <row r="14" spans="1:29" ht="15.75" thickBot="1">
      <c r="A14" s="2398"/>
      <c r="B14" s="2399"/>
      <c r="C14" s="2400" t="s">
        <v>2108</v>
      </c>
      <c r="D14" s="2371"/>
      <c r="E14" s="2401"/>
      <c r="F14" s="2401"/>
      <c r="G14" s="2365" t="s">
        <v>2109</v>
      </c>
    </row>
    <row r="15" spans="1:29" ht="57">
      <c r="A15" s="68" t="s">
        <v>2110</v>
      </c>
      <c r="B15" s="1268" t="s">
        <v>2089</v>
      </c>
      <c r="C15" s="2402" t="str">
        <f>C3</f>
        <v>估价对象周边居住用地比例、居住小区规模和社区发展完善程度，综合评价居住社区成熟度一般</v>
      </c>
      <c r="D15" s="2371"/>
      <c r="E15" s="2403" t="s">
        <v>2111</v>
      </c>
      <c r="F15" s="1268" t="s">
        <v>2112</v>
      </c>
      <c r="G15" s="134" t="str">
        <f>G3</f>
        <v>估价对象位于通州联东U谷开发区，园区建设成熟度较好，产业集聚程度较好</v>
      </c>
    </row>
    <row r="16" spans="1:29" ht="42.75">
      <c r="A16" s="644"/>
      <c r="B16" s="2404" t="s">
        <v>2092</v>
      </c>
      <c r="C16" s="2405" t="str">
        <f>C4</f>
        <v>估价对象位于XX商圈，周边商业氛围成熟，人流量大，商业繁华度好</v>
      </c>
      <c r="D16" s="2371"/>
      <c r="E16" s="2406"/>
      <c r="F16" s="2407" t="s">
        <v>2094</v>
      </c>
      <c r="G16" s="135" t="str">
        <f>G4</f>
        <v>估价对象周边道路状况、公共交通通达情况、停车便捷程度，综合评价交通便捷度一般</v>
      </c>
    </row>
    <row r="17" spans="1:18" ht="42.75">
      <c r="A17" s="644"/>
      <c r="B17" s="2404" t="s">
        <v>2096</v>
      </c>
      <c r="C17" s="2405" t="str">
        <f>C5</f>
        <v>估价对象位于XX商圈，周边办公楼项目较多，入驻率高，办公集聚程度较好</v>
      </c>
      <c r="D17" s="2377"/>
      <c r="E17" s="2406"/>
      <c r="F17" s="2407" t="s">
        <v>2113</v>
      </c>
      <c r="G17" s="1571"/>
    </row>
    <row r="18" spans="1:18" ht="57">
      <c r="A18" s="644"/>
      <c r="B18" s="2407" t="s">
        <v>2100</v>
      </c>
      <c r="C18" s="135" t="str">
        <f>C6</f>
        <v>估价对象周边道路状况、公共交通通达情况、停车便捷程度，综合评价交通便捷度较好</v>
      </c>
      <c r="D18" s="2377"/>
      <c r="E18" s="2406"/>
      <c r="F18" s="2407" t="s">
        <v>2103</v>
      </c>
      <c r="G18" s="135" t="str">
        <f>G7</f>
        <v>该园区内是否有污染型企业，绿化情况，卫生条件，整体环境状况一般</v>
      </c>
    </row>
    <row r="19" spans="1:18" ht="28.5">
      <c r="A19" s="644"/>
      <c r="B19" s="2407" t="s">
        <v>2114</v>
      </c>
      <c r="C19" s="1571"/>
      <c r="D19" s="2371"/>
      <c r="E19" s="2406"/>
      <c r="F19" s="1797" t="s">
        <v>2098</v>
      </c>
      <c r="G19" s="135" t="str">
        <f>G5</f>
        <v>估价对象所在区域公共配套设施齐备情况一般</v>
      </c>
    </row>
    <row r="20" spans="1:18" ht="28.5">
      <c r="A20" s="644"/>
      <c r="B20" s="2407" t="s">
        <v>2115</v>
      </c>
      <c r="C20" s="2405" t="str">
        <f>C9</f>
        <v>区域自然环境：；人文环境；综合评价环境状况一般</v>
      </c>
      <c r="D20" s="2377"/>
      <c r="E20" s="2406"/>
      <c r="F20" s="1797" t="s">
        <v>2116</v>
      </c>
      <c r="G20" s="135" t="str">
        <f>G6</f>
        <v>估价对象所在区域基础设施一般</v>
      </c>
    </row>
    <row r="21" spans="1:18" ht="28.5">
      <c r="A21" s="644"/>
      <c r="B21" s="1797" t="s">
        <v>2098</v>
      </c>
      <c r="C21" s="135" t="str">
        <f>C7</f>
        <v>估价对象所在区域公共配套设施齐备情况</v>
      </c>
      <c r="D21" s="2371"/>
      <c r="E21" s="2406"/>
      <c r="F21" s="2407" t="s">
        <v>2117</v>
      </c>
      <c r="G21" s="2408"/>
    </row>
    <row r="22" spans="1:18" ht="13.5" customHeight="1">
      <c r="A22" s="644"/>
      <c r="B22" s="1797" t="s">
        <v>2101</v>
      </c>
      <c r="C22" s="135" t="str">
        <f>C8</f>
        <v>估价对象所在区域基础设施水平</v>
      </c>
      <c r="D22" s="2371"/>
      <c r="E22" s="2406"/>
      <c r="F22" s="2407" t="s">
        <v>2106</v>
      </c>
      <c r="G22" s="1571"/>
    </row>
    <row r="23" spans="1:18" s="2368" customFormat="1" ht="15.75" thickBot="1">
      <c r="A23" s="644"/>
      <c r="B23" s="2407" t="s">
        <v>2117</v>
      </c>
      <c r="C23" s="2408"/>
      <c r="D23" s="2395"/>
      <c r="E23" s="2409"/>
      <c r="F23" s="2410" t="s">
        <v>2118</v>
      </c>
      <c r="G23" s="2411"/>
      <c r="H23" s="2395"/>
      <c r="I23" s="2396"/>
      <c r="J23" s="2395"/>
      <c r="K23" s="2395"/>
      <c r="L23" s="2396"/>
      <c r="M23" s="2395"/>
      <c r="N23" s="2395"/>
      <c r="O23" s="2396"/>
      <c r="P23" s="2395"/>
      <c r="Q23" s="2395"/>
      <c r="R23" s="2397"/>
    </row>
    <row r="24" spans="1:18" s="2368" customFormat="1" ht="15.75" thickBot="1">
      <c r="A24" s="2412"/>
      <c r="B24" s="2410" t="s">
        <v>2119</v>
      </c>
      <c r="C24" s="136">
        <f>C10</f>
        <v>0</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RowHeight="13.5"/>
  <cols>
    <col min="1" max="1" width="23.375" style="1740" customWidth="1"/>
    <col min="2" max="9" width="15.75" style="1740" customWidth="1"/>
    <col min="10" max="16384" width="9" style="1740"/>
  </cols>
  <sheetData>
    <row r="1" spans="1:10" ht="16.5">
      <c r="A1" s="1745" t="s">
        <v>1366</v>
      </c>
      <c r="B1" s="1745">
        <f>SUM(B14:B23)</f>
        <v>4799.08</v>
      </c>
      <c r="C1" s="1744"/>
      <c r="D1" s="1744"/>
      <c r="E1" s="1744"/>
      <c r="F1" s="1744"/>
      <c r="G1" s="1742"/>
    </row>
    <row r="2" spans="1:10" ht="16.5">
      <c r="A2" s="1745" t="s">
        <v>1354</v>
      </c>
      <c r="B2" s="1745">
        <f>SUM(C14:C23)</f>
        <v>0</v>
      </c>
      <c r="C2" s="1744"/>
      <c r="D2" s="1744"/>
      <c r="E2" s="1744"/>
      <c r="F2" s="1744"/>
      <c r="G2" s="1742"/>
    </row>
    <row r="3" spans="1:10" ht="16.5">
      <c r="A3" s="1745" t="s">
        <v>1363</v>
      </c>
      <c r="B3" s="1746">
        <f>项目基本情况!D3</f>
        <v>43061</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3961</v>
      </c>
      <c r="C5" s="1745">
        <f ca="1">ROUND(B5*10000/$B$1,0)</f>
        <v>8254</v>
      </c>
      <c r="D5" s="1745" t="e">
        <f ca="1">ROUND(B5*10000/$B$2,0)</f>
        <v>#DIV/0!</v>
      </c>
      <c r="E5" s="1744"/>
      <c r="F5" s="1742"/>
      <c r="G5" s="1742"/>
    </row>
    <row r="6" spans="1:10" ht="16.5">
      <c r="A6" s="1745" t="s">
        <v>1357</v>
      </c>
      <c r="B6" s="1745">
        <f ca="1">SUM(G14:G23)</f>
        <v>3961</v>
      </c>
      <c r="C6" s="1745">
        <f ca="1">ROUND(B6*10000/$B$1,0)</f>
        <v>8254</v>
      </c>
      <c r="D6" s="1745" t="e">
        <f ca="1">ROUND(B6*10000/$B$2,0)</f>
        <v>#DIV/0!</v>
      </c>
      <c r="E6" s="1744"/>
      <c r="F6" s="1742"/>
      <c r="G6" s="1742"/>
    </row>
    <row r="7" spans="1:10" ht="16.5">
      <c r="A7" s="1745" t="s">
        <v>1365</v>
      </c>
      <c r="B7" s="1745">
        <f>SUM(H14:H23)</f>
        <v>0</v>
      </c>
      <c r="C7" s="1745">
        <f>ROUND(B7*10000/$B$1,0)</f>
        <v>0</v>
      </c>
      <c r="D7" s="1745" t="e">
        <f>ROUND(B7*10000/$B$2,0)</f>
        <v>#DIV/0!</v>
      </c>
      <c r="E7" s="1744"/>
      <c r="F7" s="1742"/>
      <c r="G7" s="1742"/>
    </row>
    <row r="8" spans="1:10" ht="16.5">
      <c r="A8" s="1745" t="s">
        <v>1286</v>
      </c>
      <c r="B8" s="1745">
        <f>SUM(I14:I23)</f>
        <v>0</v>
      </c>
      <c r="C8" s="1745">
        <f>ROUND(B8*10000/$B$1,0)</f>
        <v>0</v>
      </c>
      <c r="D8" s="1745" t="e">
        <f>ROUND(B8*10000/$B$2,0)</f>
        <v>#DIV/0!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4799.08</v>
      </c>
      <c r="C14" s="1743">
        <f>结果表!C118</f>
        <v>0</v>
      </c>
      <c r="D14" s="1743">
        <f ca="1">结果表!H118</f>
        <v>3961</v>
      </c>
      <c r="E14" s="1743">
        <f ca="1">ROUND(D14*10000/B14,0)</f>
        <v>8254</v>
      </c>
      <c r="F14" s="1743" t="e">
        <f ca="1">ROUND(D14*10000/C14,0)</f>
        <v>#DIV/0!</v>
      </c>
      <c r="G14" s="1743">
        <f ca="1">结果表!D122</f>
        <v>3961</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119" sqref="H119:I119"/>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2120</v>
      </c>
      <c r="B1" s="2418"/>
      <c r="C1" s="2419" t="s">
        <v>3070</v>
      </c>
      <c r="D1" s="2418"/>
      <c r="E1" s="2418"/>
      <c r="F1" s="2420" t="s">
        <v>2121</v>
      </c>
      <c r="G1" s="2070" t="s">
        <v>3109</v>
      </c>
      <c r="H1" s="2421" t="str">
        <f>IF(G1="现房","——","估价对象范围")</f>
        <v>——</v>
      </c>
      <c r="I1" s="2422"/>
    </row>
    <row r="2" spans="1:12" ht="21.75" customHeight="1" thickBot="1">
      <c r="A2" s="3065" t="str">
        <f>项目基本情况!S2</f>
        <v>北京市通州区环科中路16号38幢1至4层101工业用房房地产</v>
      </c>
      <c r="B2" s="3066"/>
      <c r="C2" s="3066"/>
      <c r="D2" s="3066"/>
      <c r="E2" s="3066"/>
      <c r="F2" s="3066"/>
      <c r="G2" s="3066"/>
      <c r="H2" s="3066"/>
      <c r="I2" s="3067"/>
    </row>
    <row r="3" spans="1:12" ht="12.75">
      <c r="A3" s="3069" t="s">
        <v>2122</v>
      </c>
      <c r="B3" s="3070"/>
      <c r="C3" s="3070"/>
      <c r="D3" s="3070"/>
      <c r="E3" s="3070"/>
      <c r="F3" s="3070"/>
      <c r="G3" s="3070"/>
      <c r="H3" s="3070"/>
      <c r="I3" s="3070"/>
    </row>
    <row r="4" spans="1:12" ht="14.25">
      <c r="A4" s="2425" t="s">
        <v>2123</v>
      </c>
      <c r="B4" s="2426" t="s">
        <v>2124</v>
      </c>
      <c r="C4" s="2427" t="s">
        <v>3110</v>
      </c>
      <c r="D4" s="2427" t="s">
        <v>3107</v>
      </c>
      <c r="E4" s="3062" t="s">
        <v>2125</v>
      </c>
      <c r="F4" s="3063"/>
      <c r="G4" s="3063"/>
      <c r="H4" s="3063"/>
      <c r="I4" s="3071"/>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45" t="s">
        <v>2126</v>
      </c>
      <c r="B5" s="2983">
        <v>25</v>
      </c>
      <c r="C5" s="3048"/>
      <c r="D5" s="3068"/>
      <c r="E5" s="139" t="s">
        <v>2127</v>
      </c>
      <c r="F5" s="2429"/>
      <c r="G5" s="2429"/>
      <c r="H5" s="2429"/>
      <c r="I5" s="1833"/>
    </row>
    <row r="6" spans="1:12" ht="12.75">
      <c r="A6" s="3045"/>
      <c r="B6" s="2983"/>
      <c r="C6" s="3049"/>
      <c r="D6" s="3068"/>
      <c r="E6" s="139" t="s">
        <v>2128</v>
      </c>
      <c r="F6" s="2429"/>
      <c r="G6" s="2429"/>
      <c r="H6" s="2429"/>
      <c r="I6" s="1833"/>
    </row>
    <row r="7" spans="1:12" ht="12.75">
      <c r="A7" s="3045"/>
      <c r="B7" s="2983"/>
      <c r="C7" s="3050"/>
      <c r="D7" s="3068"/>
      <c r="E7" s="139" t="s">
        <v>2129</v>
      </c>
      <c r="F7" s="2429"/>
      <c r="G7" s="2429"/>
      <c r="H7" s="2429"/>
      <c r="I7" s="1833"/>
    </row>
    <row r="8" spans="1:12" ht="12.75">
      <c r="A8" s="3045" t="s">
        <v>2130</v>
      </c>
      <c r="B8" s="2983">
        <v>15</v>
      </c>
      <c r="C8" s="3048"/>
      <c r="D8" s="3068"/>
      <c r="E8" s="139" t="s">
        <v>2131</v>
      </c>
      <c r="F8" s="2429"/>
      <c r="G8" s="2429"/>
      <c r="H8" s="2429"/>
      <c r="I8" s="1833"/>
    </row>
    <row r="9" spans="1:12" ht="12.75">
      <c r="A9" s="3045"/>
      <c r="B9" s="2983"/>
      <c r="C9" s="3050"/>
      <c r="D9" s="3068"/>
      <c r="E9" s="139" t="s">
        <v>2132</v>
      </c>
      <c r="F9" s="2429"/>
      <c r="G9" s="2429"/>
      <c r="H9" s="2429"/>
      <c r="I9" s="1833"/>
    </row>
    <row r="10" spans="1:12" ht="12.75">
      <c r="A10" s="3045" t="s">
        <v>2133</v>
      </c>
      <c r="B10" s="2983">
        <v>15</v>
      </c>
      <c r="C10" s="3048"/>
      <c r="D10" s="3068"/>
      <c r="E10" s="139" t="s">
        <v>2134</v>
      </c>
      <c r="F10" s="2429"/>
      <c r="G10" s="2429"/>
      <c r="H10" s="2429"/>
      <c r="I10" s="1833"/>
    </row>
    <row r="11" spans="1:12" ht="12.75">
      <c r="A11" s="3045"/>
      <c r="B11" s="2983"/>
      <c r="C11" s="3050"/>
      <c r="D11" s="3068"/>
      <c r="E11" s="139" t="s">
        <v>2135</v>
      </c>
      <c r="F11" s="2429"/>
      <c r="G11" s="2429"/>
      <c r="H11" s="2429"/>
      <c r="I11" s="1833"/>
    </row>
    <row r="12" spans="1:12" ht="12.75">
      <c r="A12" s="3045" t="s">
        <v>2136</v>
      </c>
      <c r="B12" s="2983">
        <v>15</v>
      </c>
      <c r="C12" s="3048"/>
      <c r="D12" s="3068"/>
      <c r="E12" s="139" t="s">
        <v>2137</v>
      </c>
      <c r="F12" s="2429"/>
      <c r="G12" s="2429"/>
      <c r="H12" s="2429"/>
      <c r="I12" s="1833"/>
    </row>
    <row r="13" spans="1:12" ht="12.75">
      <c r="A13" s="3045"/>
      <c r="B13" s="2983"/>
      <c r="C13" s="3050"/>
      <c r="D13" s="3068"/>
      <c r="E13" s="139" t="s">
        <v>2138</v>
      </c>
      <c r="F13" s="2429"/>
      <c r="G13" s="2429"/>
      <c r="H13" s="2429"/>
      <c r="I13" s="1833"/>
    </row>
    <row r="14" spans="1:12" ht="12.75">
      <c r="A14" s="3045" t="s">
        <v>2139</v>
      </c>
      <c r="B14" s="2983">
        <v>30</v>
      </c>
      <c r="C14" s="3048">
        <v>5</v>
      </c>
      <c r="D14" s="3068">
        <v>5</v>
      </c>
      <c r="E14" s="139" t="s">
        <v>2140</v>
      </c>
      <c r="F14" s="2429"/>
      <c r="G14" s="2429"/>
      <c r="H14" s="2429"/>
      <c r="I14" s="1833"/>
    </row>
    <row r="15" spans="1:12" ht="12.75">
      <c r="A15" s="3045"/>
      <c r="B15" s="2983"/>
      <c r="C15" s="3049"/>
      <c r="D15" s="3068"/>
      <c r="E15" s="139" t="s">
        <v>2141</v>
      </c>
      <c r="F15" s="2429"/>
      <c r="G15" s="2429"/>
      <c r="H15" s="2429"/>
      <c r="I15" s="1833"/>
    </row>
    <row r="16" spans="1:12" ht="12.75">
      <c r="A16" s="3045"/>
      <c r="B16" s="2983"/>
      <c r="C16" s="3050"/>
      <c r="D16" s="3068"/>
      <c r="E16" s="139" t="s">
        <v>2142</v>
      </c>
      <c r="F16" s="2429"/>
      <c r="G16" s="2429"/>
      <c r="H16" s="2429"/>
      <c r="I16" s="1833"/>
    </row>
    <row r="17" spans="1:35" ht="15">
      <c r="A17" s="2430" t="s">
        <v>2143</v>
      </c>
      <c r="B17" s="64"/>
      <c r="C17" s="140">
        <f>SUM(C5:C16)</f>
        <v>5</v>
      </c>
      <c r="D17" s="140">
        <f>SUM(D5:D16)</f>
        <v>5</v>
      </c>
      <c r="E17" s="137"/>
      <c r="F17" s="137"/>
      <c r="G17" s="137"/>
      <c r="H17" s="137"/>
      <c r="I17" s="137"/>
      <c r="K17" s="2428"/>
      <c r="L17" s="2431" t="s">
        <v>2144</v>
      </c>
      <c r="M17" s="2431" t="s">
        <v>2145</v>
      </c>
    </row>
    <row r="18" spans="1:35" ht="15.75" thickBot="1">
      <c r="A18" s="2432" t="s">
        <v>2146</v>
      </c>
      <c r="B18" s="2433"/>
      <c r="C18" s="141">
        <f>ROUND(C17/SUM(C17:D17),2)</f>
        <v>0.5</v>
      </c>
      <c r="D18" s="141">
        <f>1-C18</f>
        <v>0.5</v>
      </c>
      <c r="E18" s="137"/>
      <c r="F18" s="137"/>
      <c r="G18" s="137"/>
      <c r="H18" s="137"/>
      <c r="I18" s="137"/>
      <c r="K18" s="2428" t="s">
        <v>2147</v>
      </c>
      <c r="L18" s="2428">
        <f>IF(C1="",'数据-汇总表'!E3,SUMIF(项目类型,C1,'数据-汇总表'!E17:E26)+SUMIF(项目类型,C1,'数据-汇总表'!I17:I26))</f>
        <v>4799.08</v>
      </c>
      <c r="M18" s="2428">
        <f>IF(C1="",'数据-汇总表'!E3,SUMIF(项目类型,C1,'数据-汇总表'!E17:E26))</f>
        <v>4799.08</v>
      </c>
    </row>
    <row r="19" spans="1:35" ht="15">
      <c r="A19" s="2434" t="s">
        <v>2148</v>
      </c>
      <c r="B19" s="2435" t="s">
        <v>2149</v>
      </c>
      <c r="C19" s="142">
        <f ca="1">SUMIF(INDIRECT("'"&amp;C4&amp;"'"&amp;"!A:A"),结果表!B19,INDIRECT("'"&amp;C4&amp;"'"&amp;"!B:B"))</f>
        <v>4129</v>
      </c>
      <c r="D19" s="143">
        <f ca="1">SUMIF(INDIRECT("'"&amp;D4&amp;"'"&amp;"!A:A"),结果表!B19,INDIRECT("'"&amp;D4&amp;"'"&amp;"!B:B"))</f>
        <v>3792</v>
      </c>
      <c r="E19" s="2434" t="s">
        <v>2150</v>
      </c>
      <c r="F19" s="2435" t="s">
        <v>2149</v>
      </c>
      <c r="G19" s="144">
        <f ca="1">ROUND(C19*$C$18+D19*$D$18,0)</f>
        <v>3961</v>
      </c>
      <c r="H19" s="2436" t="s">
        <v>2151</v>
      </c>
      <c r="I19" s="137"/>
      <c r="K19" s="2428" t="s">
        <v>2152</v>
      </c>
      <c r="L19" s="2428">
        <f>IF(C1="",'数据-汇总表'!D3,SUMIF(项目类型,C1,'数据-汇总表'!D17:D26)+SUMIF(项目类型,C1,'数据-汇总表'!H17:H27))</f>
        <v>0</v>
      </c>
      <c r="M19" s="2428">
        <f>IF(C1="",'数据-汇总表'!D3,SUMIF(项目类型,C1,'数据-汇总表'!D17:D26))</f>
        <v>0</v>
      </c>
    </row>
    <row r="20" spans="1:35" ht="15">
      <c r="A20" s="2437"/>
      <c r="B20" s="1248" t="s">
        <v>2153</v>
      </c>
      <c r="C20" s="145">
        <f ca="1">SUMIF(INDIRECT("'"&amp;C4&amp;"'"&amp;"!A:A"),结果表!B20,INDIRECT("'"&amp;C4&amp;"'"&amp;"!B:B"))</f>
        <v>8603</v>
      </c>
      <c r="D20" s="146">
        <f ca="1">SUMIF(INDIRECT("'"&amp;D4&amp;"'"&amp;"!A:A"),结果表!B20,INDIRECT("'"&amp;D4&amp;"'"&amp;"!B:B"))</f>
        <v>7902</v>
      </c>
      <c r="E20" s="2437"/>
      <c r="F20" s="1248" t="s">
        <v>2153</v>
      </c>
      <c r="G20" s="147">
        <f ca="1">ROUND(C20*$C$18+D20*$D$18,0)</f>
        <v>8253</v>
      </c>
      <c r="H20" s="982" t="s">
        <v>2154</v>
      </c>
      <c r="I20" s="137"/>
    </row>
    <row r="21" spans="1:35" ht="15" customHeight="1" thickBot="1">
      <c r="A21" s="1002"/>
      <c r="B21" s="2438" t="s">
        <v>2155</v>
      </c>
      <c r="C21" s="788" t="e">
        <f ca="1">ROUND(C19*10000/L19,0)</f>
        <v>#DIV/0!</v>
      </c>
      <c r="D21" s="789" t="e">
        <f ca="1">ROUND(D19*10000/L19,0)</f>
        <v>#DIV/0!</v>
      </c>
      <c r="E21" s="1002"/>
      <c r="F21" s="2438" t="s">
        <v>2155</v>
      </c>
      <c r="G21" s="148" t="e">
        <f ca="1">ROUND(G19*10000/L19,0)</f>
        <v>#DIV/0!</v>
      </c>
      <c r="H21" s="2439" t="s">
        <v>2154</v>
      </c>
      <c r="I21" s="137"/>
    </row>
    <row r="22" spans="1:35" ht="15" thickBot="1">
      <c r="A22" s="2281" t="s">
        <v>2156</v>
      </c>
      <c r="B22" s="2440"/>
      <c r="C22" s="2441"/>
      <c r="D22" s="790">
        <f ca="1">IF(C19&lt;D19,D19/C19-1,C19/D19-1)</f>
        <v>8.8871308016877704E-2</v>
      </c>
      <c r="E22" s="137"/>
      <c r="F22" s="137"/>
      <c r="G22" s="137"/>
      <c r="H22" s="137"/>
      <c r="I22" s="137"/>
    </row>
    <row r="23" spans="1:35" ht="13.5" thickBot="1">
      <c r="A23" s="2418"/>
      <c r="B23" s="2418"/>
      <c r="C23" s="2418"/>
      <c r="D23" s="2418"/>
      <c r="E23" s="137"/>
      <c r="F23" s="137"/>
      <c r="G23" s="137"/>
      <c r="H23" s="137"/>
      <c r="I23" s="137"/>
    </row>
    <row r="24" spans="1:35" ht="14.25">
      <c r="A24" s="3039" t="s">
        <v>2157</v>
      </c>
      <c r="B24" s="2435" t="s">
        <v>2149</v>
      </c>
      <c r="C24" s="144">
        <f>IF(B30=0,0,D30)</f>
        <v>0</v>
      </c>
      <c r="D24" s="2442"/>
      <c r="E24" s="137"/>
      <c r="F24" s="137"/>
      <c r="G24" s="137"/>
      <c r="H24" s="137"/>
      <c r="I24" s="137"/>
    </row>
    <row r="25" spans="1:35" ht="14.25">
      <c r="A25" s="3040"/>
      <c r="B25" s="1248" t="s">
        <v>2153</v>
      </c>
      <c r="C25" s="149">
        <f>IF(B30=0,0,C30)</f>
        <v>0</v>
      </c>
      <c r="D25" s="2443"/>
      <c r="E25" s="137"/>
      <c r="F25" s="137"/>
      <c r="G25" s="137"/>
      <c r="H25" s="137"/>
      <c r="I25" s="137"/>
    </row>
    <row r="26" spans="1:35" ht="13.5" customHeight="1">
      <c r="A26" s="2444" t="s">
        <v>2158</v>
      </c>
      <c r="B26" s="150" t="s">
        <v>2159</v>
      </c>
      <c r="C26" s="150" t="s">
        <v>2160</v>
      </c>
      <c r="D26" s="151" t="s">
        <v>2161</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2162</v>
      </c>
      <c r="B30" s="150"/>
      <c r="C30" s="150"/>
      <c r="D30" s="150"/>
      <c r="E30" s="2928" t="s">
        <v>3046</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2163</v>
      </c>
      <c r="B32" s="2448"/>
      <c r="C32" s="152">
        <f ca="1">IF(D32="总价",G19-C24,G20-C25)</f>
        <v>3961</v>
      </c>
      <c r="D32" s="2449" t="s">
        <v>2164</v>
      </c>
      <c r="E32" s="137"/>
      <c r="F32" s="137"/>
      <c r="G32" s="137"/>
      <c r="H32" s="137"/>
      <c r="I32" s="137"/>
    </row>
    <row r="33" spans="1:15" ht="15">
      <c r="A33" s="959" t="s">
        <v>2165</v>
      </c>
      <c r="B33" s="2450"/>
      <c r="C33" s="2451" t="s">
        <v>3111</v>
      </c>
      <c r="D33" s="2452" t="s">
        <v>3107</v>
      </c>
      <c r="E33" s="2453" t="s">
        <v>2166</v>
      </c>
      <c r="F33" s="2454" t="str">
        <f>IF(D32="楼面单价","取值（单价）","取值（总价）")</f>
        <v>取值（总价）</v>
      </c>
      <c r="G33" s="137"/>
      <c r="H33" s="137"/>
      <c r="I33" s="137"/>
    </row>
    <row r="34" spans="1:15" ht="15">
      <c r="A34" s="2455"/>
      <c r="B34" s="2456" t="s">
        <v>2167</v>
      </c>
      <c r="C34" s="156">
        <f ca="1">IF(C33="自定义",F34,C32-C35)</f>
        <v>1145</v>
      </c>
      <c r="D34" s="1056">
        <f ca="1">IF(C33="自定义",ROUND(C34/C32,3),IF(C33="收益比率",SUMIF(INDIRECT("'"&amp;D33&amp;"'"&amp;"!b:b"),"土地收益比率",INDIRECT("'"&amp;D33&amp;"'"&amp;"!c:c")),SUMIF(INDIRECT("'"&amp;D33&amp;"'"&amp;"!b:b"),"土地成本比率",INDIRECT("'"&amp;D33&amp;"'"&amp;"!c:c"))))</f>
        <v>0.28900000000000003</v>
      </c>
      <c r="E34" s="2457" t="s">
        <v>2168</v>
      </c>
      <c r="F34" s="1738"/>
      <c r="G34" s="137"/>
      <c r="H34" s="137"/>
      <c r="I34" s="137"/>
    </row>
    <row r="35" spans="1:15" ht="15.75" thickBot="1">
      <c r="A35" s="2458"/>
      <c r="B35" s="2459" t="s">
        <v>2169</v>
      </c>
      <c r="C35" s="1442">
        <f ca="1">IF(C33="自定义",F35,ROUND(C32*D35,0))</f>
        <v>2816</v>
      </c>
      <c r="D35" s="1443">
        <f ca="1">IF(C33="自定义",ROUND(C35/C32,3),IF(C33="收益比率",SUMIF(INDIRECT("'"&amp;D33&amp;"'"&amp;"!b:b"),"建筑物收益比率",INDIRECT("'"&amp;D33&amp;"'"&amp;"!c:c")),SUMIF(INDIRECT("'"&amp;D33&amp;"'"&amp;"!b:b"),"建筑物成本比率",INDIRECT("'"&amp;D33&amp;"'"&amp;"!c:c"))))</f>
        <v>0.71099999999999997</v>
      </c>
      <c r="E35" s="2460" t="s">
        <v>2170</v>
      </c>
      <c r="F35" s="162"/>
      <c r="G35" s="137"/>
      <c r="H35" s="137"/>
      <c r="I35" s="137"/>
    </row>
    <row r="36" spans="1:15" ht="15.75" thickBot="1">
      <c r="A36" s="3057" t="s">
        <v>2171</v>
      </c>
      <c r="B36" s="2461" t="s">
        <v>2172</v>
      </c>
      <c r="C36" s="153"/>
      <c r="D36" s="2462"/>
      <c r="E36" s="2463"/>
      <c r="F36" s="2464"/>
      <c r="G36" s="137"/>
      <c r="H36" s="137"/>
      <c r="I36" s="137"/>
    </row>
    <row r="37" spans="1:15" ht="15.75" thickBot="1">
      <c r="A37" s="3058"/>
      <c r="B37" s="2267" t="s">
        <v>2173</v>
      </c>
      <c r="C37" s="155"/>
      <c r="D37" s="1393"/>
      <c r="E37" s="1393"/>
      <c r="F37" s="2464"/>
      <c r="G37" s="137"/>
      <c r="H37" s="137"/>
      <c r="I37" s="137"/>
    </row>
    <row r="38" spans="1:15" ht="15.75" thickBot="1">
      <c r="A38" s="3059"/>
      <c r="B38" s="2465" t="s">
        <v>2174</v>
      </c>
      <c r="C38" s="726"/>
      <c r="D38" s="2466" t="s">
        <v>2175</v>
      </c>
      <c r="E38" s="1393"/>
      <c r="F38" s="2464"/>
      <c r="G38" s="137"/>
      <c r="H38" s="137"/>
      <c r="I38" s="137"/>
    </row>
    <row r="39" spans="1:15" ht="15">
      <c r="A39" s="2437" t="s">
        <v>2176</v>
      </c>
      <c r="B39" s="2467" t="s">
        <v>2177</v>
      </c>
      <c r="C39" s="2468" t="s">
        <v>2178</v>
      </c>
      <c r="D39" s="2468" t="s">
        <v>2179</v>
      </c>
      <c r="E39" s="2469" t="s">
        <v>2180</v>
      </c>
      <c r="F39" s="2464"/>
      <c r="G39" s="137"/>
      <c r="H39" s="137"/>
      <c r="I39" s="137"/>
    </row>
    <row r="40" spans="1:15" ht="14.25">
      <c r="A40" s="2470" t="s">
        <v>2181</v>
      </c>
      <c r="B40" s="157"/>
      <c r="C40" s="158"/>
      <c r="D40" s="158"/>
      <c r="E40" s="159"/>
      <c r="F40" s="2464"/>
      <c r="G40" s="137"/>
      <c r="H40" s="137"/>
      <c r="I40" s="137"/>
    </row>
    <row r="41" spans="1:15" ht="14.25">
      <c r="A41" s="2470" t="s">
        <v>2182</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5"/>
      <c r="B43" s="2165"/>
      <c r="C43" s="2165"/>
      <c r="D43" s="2165"/>
      <c r="E43" s="2165"/>
      <c r="F43" s="2472"/>
      <c r="G43" s="2472"/>
      <c r="H43" s="2472"/>
      <c r="I43" s="2473"/>
    </row>
    <row r="44" spans="1:15" ht="18.75">
      <c r="A44" s="2474" t="s">
        <v>2183</v>
      </c>
      <c r="B44" s="2475"/>
      <c r="C44" s="2475"/>
      <c r="D44" s="2476"/>
      <c r="E44" s="2476"/>
      <c r="F44" s="2477"/>
      <c r="G44" s="2477"/>
      <c r="H44" s="2477"/>
      <c r="I44" s="2477"/>
      <c r="J44" s="2478" t="s">
        <v>2184</v>
      </c>
      <c r="K44" s="2479"/>
      <c r="L44" s="2479"/>
      <c r="M44" s="2479"/>
      <c r="N44" s="2479"/>
      <c r="O44" s="2479"/>
    </row>
    <row r="45" spans="1:15" ht="14.25" customHeight="1" thickBot="1">
      <c r="A45" s="3036" t="s">
        <v>2185</v>
      </c>
      <c r="B45" s="3037"/>
      <c r="C45" s="3038"/>
      <c r="D45" s="163">
        <f ca="1">ROUND(H101*F45,0)</f>
        <v>3961</v>
      </c>
      <c r="E45" s="164" t="s">
        <v>2186</v>
      </c>
      <c r="F45" s="165">
        <v>1</v>
      </c>
      <c r="G45" s="166" t="s">
        <v>2187</v>
      </c>
      <c r="H45" s="137"/>
      <c r="I45" s="137"/>
      <c r="J45" s="3096" t="s">
        <v>2188</v>
      </c>
      <c r="K45" s="3096"/>
      <c r="L45" s="3096"/>
      <c r="M45" s="3096"/>
      <c r="N45" s="3096"/>
      <c r="O45" s="3096"/>
    </row>
    <row r="46" spans="1:15" ht="14.25" customHeight="1">
      <c r="A46" s="3033" t="s">
        <v>2189</v>
      </c>
      <c r="B46" s="3034"/>
      <c r="C46" s="3034"/>
      <c r="D46" s="3034"/>
      <c r="E46" s="3034"/>
      <c r="F46" s="3034"/>
      <c r="G46" s="3035"/>
      <c r="H46" s="2480"/>
      <c r="I46" s="167"/>
      <c r="J46" s="1811">
        <v>1</v>
      </c>
      <c r="K46" s="3096" t="s">
        <v>2190</v>
      </c>
      <c r="L46" s="3096"/>
      <c r="M46" s="3116"/>
      <c r="N46" s="3116"/>
      <c r="O46" s="3116"/>
    </row>
    <row r="47" spans="1:15" ht="12" customHeight="1">
      <c r="A47" s="168" t="s">
        <v>2191</v>
      </c>
      <c r="B47" s="169"/>
      <c r="C47" s="170"/>
      <c r="D47" s="171" t="s">
        <v>2192</v>
      </c>
      <c r="E47" s="24" t="s">
        <v>2193</v>
      </c>
      <c r="F47" s="172" t="s">
        <v>2194</v>
      </c>
      <c r="G47" s="173" t="s">
        <v>2195</v>
      </c>
      <c r="H47" s="2480"/>
      <c r="I47" s="167"/>
      <c r="J47" s="1811">
        <v>2</v>
      </c>
      <c r="K47" s="3096" t="s">
        <v>2196</v>
      </c>
      <c r="L47" s="3096"/>
      <c r="M47" s="3117">
        <f>'数据-取费表'!B2</f>
        <v>43061</v>
      </c>
      <c r="N47" s="3117"/>
      <c r="O47" s="3117"/>
    </row>
    <row r="48" spans="1:15" ht="25.5">
      <c r="A48" s="3064" t="s">
        <v>2197</v>
      </c>
      <c r="B48" s="3047"/>
      <c r="C48" s="3047"/>
      <c r="D48" s="139">
        <f>IF(H48="情况1",0,IF(H48="情况2",D52,IF(H48="情况3",D53,IF(H48="情况4",D54))))</f>
        <v>0</v>
      </c>
      <c r="E48" s="1800" t="str">
        <f>IF(H48="情况4","(销售额-原购置价)×税（费）率","销售额×税（费）率")</f>
        <v>销售额×税（费）率</v>
      </c>
      <c r="F48" s="174" t="str">
        <f>IF(H48="情况1","免征",'数据-取费表'!B41)</f>
        <v>免征</v>
      </c>
      <c r="G48" s="2481" t="s">
        <v>2198</v>
      </c>
      <c r="H48" s="2482" t="s">
        <v>2199</v>
      </c>
      <c r="I48" s="2480"/>
      <c r="J48" s="1811">
        <v>3</v>
      </c>
      <c r="K48" s="3096" t="s">
        <v>2200</v>
      </c>
      <c r="L48" s="3096"/>
      <c r="M48" s="3118">
        <f ca="1">H101</f>
        <v>3961</v>
      </c>
      <c r="N48" s="3118"/>
      <c r="O48" s="3118"/>
    </row>
    <row r="49" spans="1:35" ht="25.5" customHeight="1">
      <c r="A49" s="175" t="s">
        <v>2201</v>
      </c>
      <c r="B49" s="3032" t="s">
        <v>2202</v>
      </c>
      <c r="C49" s="3032"/>
      <c r="D49" s="176">
        <v>0</v>
      </c>
      <c r="E49" s="23" t="s">
        <v>2203</v>
      </c>
      <c r="F49" s="28" t="s">
        <v>34</v>
      </c>
      <c r="G49" s="3102"/>
      <c r="H49" s="137"/>
      <c r="I49" s="2483"/>
      <c r="J49" s="1811">
        <v>4</v>
      </c>
      <c r="K49" s="3096" t="str">
        <f>IF(项目基本情况!E8="房地产抵押价值","房地产抵押价值","抵押担保权已注销时的房地产抵押价值")</f>
        <v>房地产抵押价值</v>
      </c>
      <c r="L49" s="3096"/>
      <c r="M49" s="3118">
        <f ca="1">IF(项目基本情况!E8="房地产抵押价值",H107,H109)</f>
        <v>3961</v>
      </c>
      <c r="N49" s="3118"/>
      <c r="O49" s="3118"/>
    </row>
    <row r="50" spans="1:35" ht="25.5" customHeight="1">
      <c r="A50" s="177"/>
      <c r="B50" s="3032" t="s">
        <v>2204</v>
      </c>
      <c r="C50" s="3032"/>
      <c r="D50" s="178"/>
      <c r="E50" s="31"/>
      <c r="F50" s="179"/>
      <c r="G50" s="3103"/>
      <c r="H50" s="137"/>
      <c r="I50" s="2483"/>
      <c r="J50" s="3096" t="s">
        <v>2205</v>
      </c>
      <c r="K50" s="3096"/>
      <c r="L50" s="3096"/>
      <c r="M50" s="3096"/>
      <c r="N50" s="3096"/>
      <c r="O50" s="3096"/>
    </row>
    <row r="51" spans="1:35" ht="12" customHeight="1">
      <c r="A51" s="180"/>
      <c r="B51" s="3032" t="s">
        <v>2206</v>
      </c>
      <c r="C51" s="3032"/>
      <c r="D51" s="181"/>
      <c r="E51" s="30"/>
      <c r="F51" s="179"/>
      <c r="G51" s="3104"/>
      <c r="H51" s="137"/>
      <c r="I51" s="2483"/>
      <c r="J51" s="2484" t="s">
        <v>2207</v>
      </c>
      <c r="K51" s="3096" t="s">
        <v>2208</v>
      </c>
      <c r="L51" s="3096"/>
      <c r="M51" s="2484" t="s">
        <v>2209</v>
      </c>
      <c r="N51" s="2484" t="s">
        <v>2210</v>
      </c>
      <c r="O51" s="2484" t="s">
        <v>2211</v>
      </c>
    </row>
    <row r="52" spans="1:35" ht="24" customHeight="1">
      <c r="A52" s="182" t="s">
        <v>2212</v>
      </c>
      <c r="B52" s="3032" t="s">
        <v>2213</v>
      </c>
      <c r="C52" s="3032"/>
      <c r="D52" s="181">
        <f ca="1">ROUND(D45*'数据-取费表'!B41/(1+'数据-取费表'!C42),0)</f>
        <v>207</v>
      </c>
      <c r="E52" s="11" t="s">
        <v>2214</v>
      </c>
      <c r="F52" s="183">
        <f>'数据-取费表'!B41</f>
        <v>5.5000000000000007E-2</v>
      </c>
      <c r="G52" s="2485"/>
      <c r="H52" s="137"/>
      <c r="I52" s="2483"/>
      <c r="J52" s="1811">
        <v>1</v>
      </c>
      <c r="K52" s="3097" t="s">
        <v>2215</v>
      </c>
      <c r="L52" s="3097"/>
      <c r="M52" s="1753">
        <f>D48</f>
        <v>0</v>
      </c>
      <c r="N52" s="1811" t="str">
        <f>E48</f>
        <v>销售额×税（费）率</v>
      </c>
      <c r="O52" s="1754" t="str">
        <f>F48</f>
        <v>免征</v>
      </c>
    </row>
    <row r="53" spans="1:35" ht="12" customHeight="1">
      <c r="A53" s="182" t="s">
        <v>2216</v>
      </c>
      <c r="B53" s="3055" t="s">
        <v>2217</v>
      </c>
      <c r="C53" s="3056"/>
      <c r="D53" s="181">
        <f ca="1">ROUND(D45*'数据-取费表'!B41/(1+'数据-取费表'!C42),0)</f>
        <v>207</v>
      </c>
      <c r="E53" s="11" t="s">
        <v>2214</v>
      </c>
      <c r="F53" s="183">
        <f>'数据-取费表'!B41</f>
        <v>5.5000000000000007E-2</v>
      </c>
      <c r="G53" s="2485"/>
      <c r="H53" s="137"/>
      <c r="I53" s="2483"/>
      <c r="J53" s="1811">
        <v>2</v>
      </c>
      <c r="K53" s="3097" t="s">
        <v>2218</v>
      </c>
      <c r="L53" s="3097"/>
      <c r="M53" s="1753">
        <f t="shared" ref="M53:O54" ca="1" si="0">D55</f>
        <v>2</v>
      </c>
      <c r="N53" s="1811" t="str">
        <f t="shared" si="0"/>
        <v>销售额×税（费）率</v>
      </c>
      <c r="O53" s="1754">
        <f t="shared" si="0"/>
        <v>5.0000000000000001E-4</v>
      </c>
    </row>
    <row r="54" spans="1:35" ht="12" customHeight="1">
      <c r="A54" s="182" t="s">
        <v>2219</v>
      </c>
      <c r="B54" s="3055" t="s">
        <v>2220</v>
      </c>
      <c r="C54" s="3056"/>
      <c r="D54" s="181">
        <f ca="1">C68</f>
        <v>207</v>
      </c>
      <c r="E54" s="30" t="s">
        <v>2221</v>
      </c>
      <c r="F54" s="183">
        <f>'数据-取费表'!B41</f>
        <v>5.5000000000000007E-2</v>
      </c>
      <c r="G54" s="2485"/>
      <c r="H54" s="2486"/>
      <c r="I54" s="2483"/>
      <c r="J54" s="1811">
        <v>3</v>
      </c>
      <c r="K54" s="3097" t="s">
        <v>2222</v>
      </c>
      <c r="L54" s="3097"/>
      <c r="M54" s="1753">
        <f t="shared" ca="1" si="0"/>
        <v>2245</v>
      </c>
      <c r="N54" s="1811" t="str">
        <f t="shared" si="0"/>
        <v>增值额×税（费）率</v>
      </c>
      <c r="O54" s="1755" t="str">
        <f t="shared" si="0"/>
        <v>——</v>
      </c>
    </row>
    <row r="55" spans="1:35" ht="24" customHeight="1">
      <c r="A55" s="3046" t="s">
        <v>2223</v>
      </c>
      <c r="B55" s="3047"/>
      <c r="C55" s="3047"/>
      <c r="D55" s="184">
        <f ca="1">IF(H55="个人住宅",0,ROUND(D45*I55,0))</f>
        <v>2</v>
      </c>
      <c r="E55" s="11" t="s">
        <v>2224</v>
      </c>
      <c r="F55" s="183">
        <f>IF(H55="正常",I55,"免征")</f>
        <v>5.0000000000000001E-4</v>
      </c>
      <c r="G55" s="2485"/>
      <c r="H55" s="2482" t="s">
        <v>2225</v>
      </c>
      <c r="I55" s="185">
        <f>'数据-取费表'!B49</f>
        <v>5.0000000000000001E-4</v>
      </c>
      <c r="J55" s="1811" t="str">
        <f>IF(H59="非个人房产","",4)</f>
        <v/>
      </c>
      <c r="K55" s="3097" t="str">
        <f>IF(H59="非个人房产","——","个人所得税")</f>
        <v>——</v>
      </c>
      <c r="L55" s="3097"/>
      <c r="M55" s="1756" t="str">
        <f>D59</f>
        <v>——</v>
      </c>
      <c r="N55" s="1809" t="str">
        <f>E59</f>
        <v>——</v>
      </c>
      <c r="O55" s="1757" t="str">
        <f>F59</f>
        <v>——</v>
      </c>
    </row>
    <row r="56" spans="1:35" ht="24.75">
      <c r="A56" s="3046" t="s">
        <v>2226</v>
      </c>
      <c r="B56" s="3047"/>
      <c r="C56" s="3047"/>
      <c r="D56" s="184">
        <f ca="1">IF(H56="个人住宅",D57,D58)</f>
        <v>2245</v>
      </c>
      <c r="E56" s="11" t="s">
        <v>2227</v>
      </c>
      <c r="F56" s="183" t="str">
        <f>IF(H56="正常",F58,"免征")</f>
        <v>——</v>
      </c>
      <c r="G56" s="2487" t="s">
        <v>2228</v>
      </c>
      <c r="H56" s="2488" t="s">
        <v>2225</v>
      </c>
      <c r="I56" s="2489"/>
      <c r="J56" s="1811" t="str">
        <f>IF(项目基本情况!K6="上海银行",IF(J55="",4,J55+1),"")</f>
        <v/>
      </c>
      <c r="K56" s="3120" t="str">
        <f>IF(项目基本情况!K6="上海银行","其他处置费用","")</f>
        <v/>
      </c>
      <c r="L56" s="3121"/>
      <c r="M56" s="1753" t="str">
        <f>IF(项目基本情况!K6="上海银行",M69,"")</f>
        <v/>
      </c>
      <c r="N56" s="3123" t="str">
        <f>IF(项目基本情况!K6="上海银行","包含处置中涉及的律师、诉讼、拍卖、评估等费用","")</f>
        <v/>
      </c>
      <c r="O56" s="3124"/>
    </row>
    <row r="57" spans="1:35" ht="12.75">
      <c r="A57" s="182" t="s">
        <v>2201</v>
      </c>
      <c r="B57" s="3062" t="s">
        <v>2229</v>
      </c>
      <c r="C57" s="3071"/>
      <c r="D57" s="186">
        <v>0</v>
      </c>
      <c r="E57" s="23" t="s">
        <v>2203</v>
      </c>
      <c r="F57" s="154"/>
      <c r="G57" s="2485"/>
      <c r="H57" s="2489"/>
      <c r="I57" s="2489"/>
      <c r="J57" s="3097">
        <f>IF(AND(J55="",J56=""),4,IF(项目基本情况!K6="上海银行",结果表!J56+1,结果表!J55+1))</f>
        <v>4</v>
      </c>
      <c r="K57" s="3097" t="s">
        <v>2230</v>
      </c>
      <c r="L57" s="2490" t="s">
        <v>2231</v>
      </c>
      <c r="M57" s="1758"/>
      <c r="N57" s="1759">
        <f ca="1">SUMIF(M52:M56,"&lt;9e307")</f>
        <v>2247</v>
      </c>
      <c r="O57" s="2491"/>
      <c r="P57" s="1752">
        <f ca="1">N57/M49</f>
        <v>0.56728098964907847</v>
      </c>
    </row>
    <row r="58" spans="1:35" ht="24.75">
      <c r="A58" s="182" t="s">
        <v>2212</v>
      </c>
      <c r="B58" s="3062" t="s">
        <v>2232</v>
      </c>
      <c r="C58" s="3063"/>
      <c r="D58" s="184">
        <f ca="1">IF(H58="转让取得",C81,C97)</f>
        <v>2245</v>
      </c>
      <c r="E58" s="11" t="s">
        <v>2227</v>
      </c>
      <c r="F58" s="24" t="s">
        <v>34</v>
      </c>
      <c r="G58" s="2485"/>
      <c r="H58" s="2488" t="s">
        <v>2233</v>
      </c>
      <c r="I58" s="2489"/>
      <c r="J58" s="3097"/>
      <c r="K58" s="3097"/>
      <c r="L58" s="2490" t="s">
        <v>2234</v>
      </c>
      <c r="M58" s="1760"/>
      <c r="N58" s="2492" t="str">
        <f ca="1">NUMBERSTRING(INT(N57*10000),2)&amp;"元整"</f>
        <v>贰仟贰佰肆拾柒万元整</v>
      </c>
      <c r="O58" s="2493"/>
    </row>
    <row r="59" spans="1:35" ht="24.75" thickBot="1">
      <c r="A59" s="3100" t="s">
        <v>2235</v>
      </c>
      <c r="B59" s="3101"/>
      <c r="C59" s="3101"/>
      <c r="D59" s="187" t="str">
        <f>IF(H59="非个人房产","——",IF(H59="个人住宅",0,ROUND(D45*I59,0)))</f>
        <v>——</v>
      </c>
      <c r="E59" s="188" t="str">
        <f>IF(H59="非个人房产","——","销售额×税（费）率")</f>
        <v>——</v>
      </c>
      <c r="F59" s="189" t="str">
        <f>IF(H59="非个人房产","——",IF(H59="个人住宅","免征",I59))</f>
        <v>——</v>
      </c>
      <c r="G59" s="2494" t="s">
        <v>2228</v>
      </c>
      <c r="H59" s="2488" t="s">
        <v>2236</v>
      </c>
      <c r="I59" s="190">
        <v>0.01</v>
      </c>
      <c r="J59" s="3098">
        <f>J57+1</f>
        <v>5</v>
      </c>
      <c r="K59" s="3097" t="s">
        <v>2237</v>
      </c>
      <c r="L59" s="1811" t="s">
        <v>2231</v>
      </c>
      <c r="M59" s="1761"/>
      <c r="N59" s="1762">
        <f ca="1">M49-N57</f>
        <v>1714</v>
      </c>
      <c r="O59" s="2495"/>
    </row>
    <row r="60" spans="1:35" ht="12" customHeight="1">
      <c r="A60" s="2496"/>
      <c r="B60" s="2418"/>
      <c r="C60" s="2418"/>
      <c r="D60" s="2418"/>
      <c r="E60" s="2166"/>
      <c r="F60" s="2489"/>
      <c r="G60" s="2489"/>
      <c r="H60" s="2497"/>
      <c r="I60" s="137"/>
      <c r="J60" s="3099"/>
      <c r="K60" s="3097"/>
      <c r="L60" s="2490" t="s">
        <v>2234</v>
      </c>
      <c r="M60" s="1760"/>
      <c r="N60" s="2492" t="str">
        <f ca="1">NUMBERSTRING(INT(N59*10000),2)&amp;"元整"</f>
        <v>壹仟柒佰壹拾肆万元整</v>
      </c>
      <c r="O60" s="2493"/>
    </row>
    <row r="61" spans="1:35" ht="13.5" thickBot="1">
      <c r="A61" s="3044" t="s">
        <v>2238</v>
      </c>
      <c r="B61" s="3044"/>
      <c r="C61" s="3044"/>
      <c r="D61" s="3044"/>
      <c r="E61" s="3044"/>
      <c r="F61" s="2489"/>
      <c r="G61" s="2489"/>
      <c r="H61" s="2497"/>
      <c r="I61" s="137"/>
      <c r="J61" s="1811">
        <f>J59+1</f>
        <v>6</v>
      </c>
      <c r="K61" s="3097" t="s">
        <v>2239</v>
      </c>
      <c r="L61" s="3097"/>
      <c r="M61" s="1763"/>
      <c r="N61" s="1764">
        <f ca="1">ROUND(N59*10000/'数据-汇总表'!E3,0)</f>
        <v>3572</v>
      </c>
      <c r="O61" s="2498"/>
    </row>
    <row r="62" spans="1:35" ht="12.75">
      <c r="A62" s="3060" t="s">
        <v>2240</v>
      </c>
      <c r="B62" s="3061"/>
      <c r="C62" s="1803"/>
      <c r="D62" s="1803" t="s">
        <v>2241</v>
      </c>
      <c r="E62" s="191" t="s">
        <v>2242</v>
      </c>
      <c r="F62" s="2489"/>
      <c r="G62" s="2489"/>
      <c r="H62" s="2497"/>
      <c r="I62" s="137"/>
    </row>
    <row r="63" spans="1:35" ht="12.75">
      <c r="A63" s="202" t="s">
        <v>775</v>
      </c>
      <c r="B63" s="192" t="s">
        <v>2243</v>
      </c>
      <c r="C63" s="193">
        <f ca="1">ROUND((C64+C65)/(1+'数据-取费表'!C42),0)</f>
        <v>3772</v>
      </c>
      <c r="D63" s="194"/>
      <c r="E63" s="195"/>
      <c r="F63" s="2489"/>
      <c r="G63" s="2489"/>
      <c r="H63" s="2497"/>
      <c r="I63" s="137"/>
      <c r="J63" s="3122" t="s">
        <v>2244</v>
      </c>
      <c r="K63" s="2499" t="s">
        <v>2245</v>
      </c>
      <c r="L63" s="1751">
        <f ca="1">IF(M49&gt;10000,M49*0.5%,IF(AND(M49&gt;1000,M49&lt;=10000),M49*1%,IF(AND(M49&gt;100,M49&lt;=1000),M49*3%,IF(AND(M49&gt;10,M49&lt;=100),M49*5%,M49*8%))))</f>
        <v>39.61</v>
      </c>
      <c r="M63" s="24">
        <f ca="1">ROUND(L63,1)</f>
        <v>39.6</v>
      </c>
      <c r="Z63" s="2423"/>
      <c r="AI63" s="2424"/>
    </row>
    <row r="64" spans="1:35" ht="14.25" customHeight="1">
      <c r="A64" s="196" t="s">
        <v>770</v>
      </c>
      <c r="B64" s="197" t="s">
        <v>2246</v>
      </c>
      <c r="C64" s="198">
        <f ca="1">D45</f>
        <v>3961</v>
      </c>
      <c r="D64" s="199" t="s">
        <v>32</v>
      </c>
      <c r="E64" s="200"/>
      <c r="F64" s="2489"/>
      <c r="G64" s="2489"/>
      <c r="H64" s="2497"/>
      <c r="I64" s="137"/>
      <c r="J64" s="3122"/>
      <c r="K64" s="2499" t="s">
        <v>2247</v>
      </c>
      <c r="L64" s="1751">
        <f ca="1">IF(M49&gt;2000,M49*0.5%,IF(AND(M49&gt;1000,M49&lt;=2000),M49*0.6%,IF(AND(M49&gt;500,M49&lt;=1000),M49*0.7%,IF(AND(M49&gt;200,M49&lt;=500),M49*0.8%,IF(AND(M49&gt;100,M49&lt;=200),M49*0.9%,IF(AND(M49&gt;50,M49&lt;=100),M49*1%,IF(AND(M49&gt;20,M49&lt;=50),M49*1.5%,IF(AND(M49&gt;10,M49&lt;=20),M49*2%,IF(AND(M49&gt;1,M49&lt;=10),M49*2.5%)))))))))</f>
        <v>19.805</v>
      </c>
      <c r="M64" s="24">
        <f t="shared" ref="M64:M65" ca="1" si="1">ROUND(L64,1)</f>
        <v>19.8</v>
      </c>
      <c r="N64" s="137" t="s">
        <v>2248</v>
      </c>
      <c r="Z64" s="2423"/>
      <c r="AI64" s="2424"/>
    </row>
    <row r="65" spans="1:35" ht="14.25" customHeight="1">
      <c r="A65" s="196" t="s">
        <v>771</v>
      </c>
      <c r="B65" s="197" t="s">
        <v>2249</v>
      </c>
      <c r="C65" s="201"/>
      <c r="D65" s="199"/>
      <c r="E65" s="200"/>
      <c r="F65" s="2489"/>
      <c r="G65" s="2489"/>
      <c r="H65" s="2497"/>
      <c r="I65" s="137"/>
      <c r="J65" s="3122"/>
      <c r="K65" s="2499" t="s">
        <v>2250</v>
      </c>
      <c r="L65" s="1751">
        <f ca="1">IF(M49&gt;1000,M49*0.1%,IF(AND(M49&gt;500,M49&lt;=1000),M49*0.5%,IF(AND(M49&gt;50,M49&lt;=500),M49*1%,IF(AND(M49&gt;1,M49&lt;=50),M49*1.5%))))</f>
        <v>3.9610000000000003</v>
      </c>
      <c r="M65" s="24">
        <f t="shared" ca="1" si="1"/>
        <v>4</v>
      </c>
      <c r="N65" s="137" t="s">
        <v>2248</v>
      </c>
      <c r="Z65" s="2423"/>
      <c r="AI65" s="2424"/>
    </row>
    <row r="66" spans="1:35" ht="14.25" customHeight="1">
      <c r="A66" s="202" t="s">
        <v>772</v>
      </c>
      <c r="B66" s="203" t="s">
        <v>2251</v>
      </c>
      <c r="C66" s="204"/>
      <c r="D66" s="205" t="s">
        <v>32</v>
      </c>
      <c r="E66" s="1775" t="s">
        <v>1372</v>
      </c>
      <c r="F66" s="2489"/>
      <c r="G66" s="2489"/>
      <c r="H66" s="2497"/>
      <c r="I66" s="137"/>
      <c r="J66" s="3122"/>
      <c r="K66" s="2499" t="s">
        <v>2252</v>
      </c>
      <c r="L66" s="1751">
        <f ca="1">M49*0.5%</f>
        <v>19.805</v>
      </c>
      <c r="M66" s="24">
        <f ca="1">IF(L66&gt;0.5,0.5,ROUND(L66,0))</f>
        <v>0.5</v>
      </c>
      <c r="N66" s="137" t="s">
        <v>2253</v>
      </c>
      <c r="Z66" s="2423"/>
      <c r="AI66" s="2424"/>
    </row>
    <row r="67" spans="1:35" ht="14.25" customHeight="1">
      <c r="A67" s="202" t="s">
        <v>773</v>
      </c>
      <c r="B67" s="203" t="s">
        <v>2254</v>
      </c>
      <c r="C67" s="206">
        <f ca="1">C63-C66</f>
        <v>3772</v>
      </c>
      <c r="D67" s="199" t="s">
        <v>32</v>
      </c>
      <c r="E67" s="200"/>
      <c r="F67" s="2489"/>
      <c r="G67" s="2489"/>
      <c r="H67" s="2497"/>
      <c r="I67" s="137"/>
      <c r="J67" s="3122"/>
      <c r="K67" s="2499" t="s">
        <v>2255</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7" t="s">
        <v>774</v>
      </c>
      <c r="B68" s="208" t="s">
        <v>2256</v>
      </c>
      <c r="C68" s="209">
        <f ca="1">IF(C67&lt;=0,0,ROUND(C67*D68,0))</f>
        <v>207</v>
      </c>
      <c r="D68" s="210">
        <f>'数据-取费表'!B41</f>
        <v>5.5000000000000007E-2</v>
      </c>
      <c r="E68" s="211"/>
      <c r="F68" s="2489"/>
      <c r="G68" s="2489"/>
      <c r="H68" s="2497"/>
      <c r="I68" s="137"/>
      <c r="J68" s="3122"/>
      <c r="K68" s="2499" t="s">
        <v>2257</v>
      </c>
      <c r="L68" s="1751">
        <f ca="1">IF(M49&gt;10000,M49*0.5%,IF(AND(M49&gt;5000,M49&lt;=10000),M49*1%,IF(AND(M49&gt;1000,M49&lt;=5000),M49*2%,IF(AND(M49&gt;200,M49&lt;=1000),M49*3%,M49*5%))))</f>
        <v>79.22</v>
      </c>
      <c r="M68" s="24">
        <f ca="1">ROUND(L68,1)</f>
        <v>79.2</v>
      </c>
      <c r="Z68" s="2423"/>
      <c r="AI68" s="2424"/>
    </row>
    <row r="69" spans="1:35" s="2446" customFormat="1" ht="16.5" customHeight="1">
      <c r="A69" s="2500"/>
      <c r="B69" s="2501"/>
      <c r="C69" s="2502"/>
      <c r="D69" s="2503"/>
      <c r="E69" s="2504"/>
      <c r="F69" s="2166"/>
      <c r="G69" s="2166"/>
      <c r="H69" s="2165"/>
      <c r="I69" s="2418"/>
      <c r="J69" s="3122"/>
      <c r="K69" s="2499" t="s">
        <v>2258</v>
      </c>
      <c r="L69" s="2505"/>
      <c r="M69" s="24">
        <f ca="1">ROUND(SUM(M63:M68),0)</f>
        <v>146</v>
      </c>
      <c r="N69" s="1752">
        <f ca="1">M69/M49</f>
        <v>3.6859378944710933E-2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081" t="s">
        <v>2259</v>
      </c>
      <c r="B70" s="3082"/>
      <c r="C70" s="3082"/>
      <c r="D70" s="3082"/>
      <c r="E70" s="3082"/>
      <c r="F70" s="3082"/>
      <c r="G70" s="3082"/>
      <c r="H70" s="308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60" t="s">
        <v>2240</v>
      </c>
      <c r="B71" s="3061"/>
      <c r="C71" s="1803"/>
      <c r="D71" s="1803" t="s">
        <v>2241</v>
      </c>
      <c r="E71" s="212" t="s">
        <v>2242</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2260</v>
      </c>
      <c r="C72" s="206">
        <f ca="1">ROUND(D45/(1+'数据-取费表'!C42),0)</f>
        <v>3772</v>
      </c>
      <c r="D72" s="199" t="s">
        <v>32</v>
      </c>
      <c r="E72" s="1802"/>
      <c r="F72" s="1796"/>
      <c r="G72" s="1796"/>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2261</v>
      </c>
      <c r="C73" s="206">
        <f ca="1">C74+C78</f>
        <v>19</v>
      </c>
      <c r="D73" s="199" t="s">
        <v>32</v>
      </c>
      <c r="E73" s="1802"/>
      <c r="F73" s="1796"/>
      <c r="G73" s="1796"/>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2262</v>
      </c>
      <c r="C74" s="199">
        <f>ROUND(IF(G77="2016年5月1日后购买",C75/(1+'数据-取费表'!C42)+C76+C77,C75+C76+C77),0)</f>
        <v>0</v>
      </c>
      <c r="D74" s="199" t="s">
        <v>32</v>
      </c>
      <c r="E74" s="1802"/>
      <c r="F74" s="1796"/>
      <c r="G74" s="1796"/>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2263</v>
      </c>
      <c r="C75" s="217"/>
      <c r="D75" s="199" t="s">
        <v>32</v>
      </c>
      <c r="E75" s="218" t="s">
        <v>2264</v>
      </c>
      <c r="F75" s="2511" t="s">
        <v>2265</v>
      </c>
      <c r="G75" s="218" t="s">
        <v>2266</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2267</v>
      </c>
      <c r="C76" s="199">
        <f>IF(F75="购房发票",ROUND(C75*H75*D76,0),0)</f>
        <v>0</v>
      </c>
      <c r="D76" s="221">
        <v>0.05</v>
      </c>
      <c r="E76" s="3055" t="s">
        <v>2268</v>
      </c>
      <c r="F76" s="3032"/>
      <c r="G76" s="3032"/>
      <c r="H76" s="308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2269</v>
      </c>
      <c r="C77" s="199">
        <f>ROUND(IF(G77="个人住宅",0,IF(G77="2016年5月1日前购买",C75*D77,C75*D77/(1+'数据-取费表'!C42))),0)</f>
        <v>0</v>
      </c>
      <c r="D77" s="222">
        <f>'数据-取费表'!B48+'数据-取费表'!B49</f>
        <v>3.0499999999999999E-2</v>
      </c>
      <c r="E77" s="15" t="s">
        <v>2270</v>
      </c>
      <c r="F77" s="223"/>
      <c r="G77" s="2513" t="s">
        <v>2271</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2272</v>
      </c>
      <c r="C78" s="224">
        <f ca="1">ROUND(D45*D78/(1+'数据-取费表'!C42),0)</f>
        <v>19</v>
      </c>
      <c r="D78" s="225">
        <f>'数据-取费表'!B43</f>
        <v>5.000000000000001E-3</v>
      </c>
      <c r="E78" s="3041" t="s">
        <v>2273</v>
      </c>
      <c r="F78" s="3042"/>
      <c r="G78" s="3042"/>
      <c r="H78" s="305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2274</v>
      </c>
      <c r="C79" s="206">
        <f ca="1">C72-C73</f>
        <v>3753</v>
      </c>
      <c r="D79" s="199" t="s">
        <v>32</v>
      </c>
      <c r="E79" s="1802"/>
      <c r="F79" s="1796"/>
      <c r="G79" s="1796"/>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2275</v>
      </c>
      <c r="C80" s="226">
        <f ca="1">IF(C79&lt;=0,0,C79/C73)</f>
        <v>197.52631578947367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2276</v>
      </c>
      <c r="C81" s="227">
        <f ca="1">ROUND(IF(C79&lt;=0,0,IF(C80&gt;=200%,C79*60%-C73*35%,IF(C80&gt;=100%,C79*50%-C73*15%,IF(C80&gt;=50%,C79*40%-C73*5%,IF(C80&lt;50%,C79*30%,0))))),0)</f>
        <v>2245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81" t="s">
        <v>2277</v>
      </c>
      <c r="B83" s="3082"/>
      <c r="C83" s="3082"/>
      <c r="D83" s="3082"/>
      <c r="E83" s="3082"/>
      <c r="F83" s="3082"/>
      <c r="G83" s="3082"/>
      <c r="H83" s="308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60" t="s">
        <v>2240</v>
      </c>
      <c r="B84" s="3061"/>
      <c r="C84" s="1803"/>
      <c r="D84" s="1803" t="s">
        <v>2241</v>
      </c>
      <c r="E84" s="212" t="s">
        <v>2242</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2260</v>
      </c>
      <c r="C85" s="206">
        <f ca="1">ROUND(D45/(1+'数据-取费表'!C42),0)</f>
        <v>3772</v>
      </c>
      <c r="D85" s="199" t="s">
        <v>32</v>
      </c>
      <c r="E85" s="1802"/>
      <c r="F85" s="1796"/>
      <c r="G85" s="1796"/>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2261</v>
      </c>
      <c r="C86" s="206">
        <f ca="1">IF(H88="仅含出让金",C87+C90+C91+C92+C93+C94,C87+C91+C92+C93+C94)</f>
        <v>19</v>
      </c>
      <c r="D86" s="234"/>
      <c r="E86" s="1802"/>
      <c r="F86" s="1796"/>
      <c r="G86" s="1796"/>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2278</v>
      </c>
      <c r="C87" s="224">
        <f>C88+C89</f>
        <v>0</v>
      </c>
      <c r="D87" s="225"/>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2279</v>
      </c>
      <c r="C88" s="235"/>
      <c r="D88" s="225"/>
      <c r="E88" s="236" t="s">
        <v>2280</v>
      </c>
      <c r="F88" s="1799"/>
      <c r="G88" s="237"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2269</v>
      </c>
      <c r="C89" s="224">
        <f>ROUND(C88*D89,0)</f>
        <v>0</v>
      </c>
      <c r="D89" s="225">
        <f>'数据-取费表'!B48+'数据-取费表'!B49</f>
        <v>3.0499999999999999E-2</v>
      </c>
      <c r="E89" s="236" t="s">
        <v>2282</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2283</v>
      </c>
      <c r="C90" s="235"/>
      <c r="D90" s="225"/>
      <c r="E90" s="236"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2284</v>
      </c>
      <c r="B91" s="197" t="s">
        <v>2285</v>
      </c>
      <c r="C91" s="224">
        <f>IF(H91="——",成本法!C33,I91)</f>
        <v>0</v>
      </c>
      <c r="D91" s="225"/>
      <c r="E91" s="3041" t="s">
        <v>2286</v>
      </c>
      <c r="F91" s="3042"/>
      <c r="G91" s="3042"/>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2288</v>
      </c>
      <c r="B92" s="197" t="s">
        <v>2289</v>
      </c>
      <c r="C92" s="224">
        <f>ROUND((C87+C90+C91)*D92,0)</f>
        <v>0</v>
      </c>
      <c r="D92" s="225">
        <v>0.1</v>
      </c>
      <c r="E92" s="3041" t="s">
        <v>2290</v>
      </c>
      <c r="F92" s="3042"/>
      <c r="G92" s="3042"/>
      <c r="H92" s="305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2291</v>
      </c>
      <c r="B93" s="197" t="s">
        <v>2272</v>
      </c>
      <c r="C93" s="224">
        <f ca="1">ROUND(D45*D93/(1+'数据-取费表'!C42),0)</f>
        <v>19</v>
      </c>
      <c r="D93" s="225">
        <f>'数据-取费表'!B43</f>
        <v>5.000000000000001E-3</v>
      </c>
      <c r="E93" s="3041" t="s">
        <v>2273</v>
      </c>
      <c r="F93" s="3042"/>
      <c r="G93" s="3042"/>
      <c r="H93" s="305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2292</v>
      </c>
      <c r="B94" s="197" t="s">
        <v>2293</v>
      </c>
      <c r="C94" s="235">
        <f>ROUND((C87+C90+C91)*D94,0)</f>
        <v>0</v>
      </c>
      <c r="D94" s="225">
        <v>0.2</v>
      </c>
      <c r="E94" s="3052" t="s">
        <v>2294</v>
      </c>
      <c r="F94" s="3053"/>
      <c r="G94" s="3053"/>
      <c r="H94" s="305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2274</v>
      </c>
      <c r="C95" s="206">
        <f ca="1">ROUND(C85-C86,0)</f>
        <v>3753</v>
      </c>
      <c r="D95" s="199" t="s">
        <v>32</v>
      </c>
      <c r="E95" s="1802"/>
      <c r="F95" s="1796"/>
      <c r="G95" s="1796"/>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2275</v>
      </c>
      <c r="C96" s="226">
        <f ca="1">IF(C95&lt;=0,0,C95/C86)</f>
        <v>197.52631578947367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2276</v>
      </c>
      <c r="C97" s="227">
        <f ca="1">ROUND(IF(C95&lt;=0,0,IF(C96&gt;=200%,C95*60%-C86*35%,IF(C96&gt;=100%,C95*50%-C86*15%,IF(C96&gt;=50%,C95*40%-C86*5%,IF(C96&lt;50%,C95*30%,0))))),0)</f>
        <v>2245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2295</v>
      </c>
      <c r="B99" s="2418"/>
      <c r="C99" s="2418"/>
      <c r="D99" s="2418"/>
      <c r="E99" s="2166"/>
      <c r="F99" s="2166"/>
      <c r="G99" s="2166"/>
      <c r="H99" s="2165"/>
      <c r="I99" s="137"/>
    </row>
    <row r="100" spans="1:35" ht="18.75" customHeight="1">
      <c r="A100" s="3026" t="s">
        <v>2296</v>
      </c>
      <c r="B100" s="3027"/>
      <c r="C100" s="3027"/>
      <c r="D100" s="3043"/>
      <c r="E100" s="3027" t="s">
        <v>2297</v>
      </c>
      <c r="F100" s="3027"/>
      <c r="G100" s="3027"/>
      <c r="H100" s="3043"/>
      <c r="I100" s="137"/>
    </row>
    <row r="101" spans="1:35" ht="18.75" customHeight="1">
      <c r="A101" s="3105" t="s">
        <v>2298</v>
      </c>
      <c r="B101" s="3106"/>
      <c r="C101" s="735" t="str">
        <f>C4</f>
        <v>比较法-工业</v>
      </c>
      <c r="D101" s="736" t="str">
        <f>D4</f>
        <v>收益法</v>
      </c>
      <c r="E101" s="3119" t="s">
        <v>2299</v>
      </c>
      <c r="F101" s="3073"/>
      <c r="G101" s="2520" t="s">
        <v>2300</v>
      </c>
      <c r="H101" s="1046">
        <f ca="1">H118</f>
        <v>3961</v>
      </c>
      <c r="I101" s="137"/>
    </row>
    <row r="102" spans="1:35" ht="18.75" customHeight="1">
      <c r="A102" s="3075" t="s">
        <v>2301</v>
      </c>
      <c r="B102" s="2520" t="s">
        <v>2300</v>
      </c>
      <c r="C102" s="735">
        <f ca="1">C19</f>
        <v>4129</v>
      </c>
      <c r="D102" s="736">
        <f ca="1">D19</f>
        <v>3792</v>
      </c>
      <c r="E102" s="3119"/>
      <c r="F102" s="3073"/>
      <c r="G102" s="2520" t="s">
        <v>2302</v>
      </c>
      <c r="H102" s="370">
        <f ca="1">I118</f>
        <v>8254</v>
      </c>
      <c r="I102" s="137"/>
    </row>
    <row r="103" spans="1:35" ht="42.75" customHeight="1">
      <c r="A103" s="3075"/>
      <c r="B103" s="2520" t="s">
        <v>2302</v>
      </c>
      <c r="C103" s="737">
        <f ca="1">C20</f>
        <v>8603</v>
      </c>
      <c r="D103" s="738">
        <f ca="1">D20</f>
        <v>7902</v>
      </c>
      <c r="E103" s="3114" t="s">
        <v>2303</v>
      </c>
      <c r="F103" s="3115"/>
      <c r="G103" s="2521" t="s">
        <v>2304</v>
      </c>
      <c r="H103" s="1046">
        <f>IF(D36="正常操作",H104+H105+H106,H105+H106)</f>
        <v>0</v>
      </c>
      <c r="I103" s="137"/>
    </row>
    <row r="104" spans="1:35" ht="18.75" customHeight="1">
      <c r="A104" s="3075" t="s">
        <v>2305</v>
      </c>
      <c r="B104" s="2522" t="s">
        <v>2300</v>
      </c>
      <c r="C104" s="739">
        <f ca="1">H118</f>
        <v>3961</v>
      </c>
      <c r="D104" s="740"/>
      <c r="E104" s="2267" t="s">
        <v>2306</v>
      </c>
      <c r="F104" s="2258"/>
      <c r="G104" s="2521" t="s">
        <v>2304</v>
      </c>
      <c r="H104" s="1047">
        <f>IF(D36="同一抵押权人同一抵押物续贷",C36&amp;"（未扣减，详见特别提示）",C36)</f>
        <v>0</v>
      </c>
      <c r="I104" s="137"/>
    </row>
    <row r="105" spans="1:35" ht="18.75" customHeight="1" thickBot="1">
      <c r="A105" s="3076"/>
      <c r="B105" s="2523" t="s">
        <v>2302</v>
      </c>
      <c r="C105" s="741">
        <f ca="1">I118</f>
        <v>8254</v>
      </c>
      <c r="D105" s="742"/>
      <c r="E105" s="2267" t="s">
        <v>2307</v>
      </c>
      <c r="F105" s="2258"/>
      <c r="G105" s="2521" t="s">
        <v>2304</v>
      </c>
      <c r="H105" s="1047">
        <f>C37</f>
        <v>0</v>
      </c>
      <c r="I105" s="137"/>
    </row>
    <row r="106" spans="1:35" ht="18.75" customHeight="1">
      <c r="A106" s="2418" t="s">
        <v>2308</v>
      </c>
      <c r="B106" s="2418"/>
      <c r="C106" s="2418"/>
      <c r="D106" s="2418"/>
      <c r="E106" s="2524" t="s">
        <v>2309</v>
      </c>
      <c r="F106" s="2258"/>
      <c r="G106" s="2521" t="s">
        <v>2304</v>
      </c>
      <c r="H106" s="1047">
        <f>C38</f>
        <v>0</v>
      </c>
      <c r="I106" s="137"/>
    </row>
    <row r="107" spans="1:35" ht="18.75" customHeight="1">
      <c r="A107" s="137"/>
      <c r="B107" s="137"/>
      <c r="C107" s="137"/>
      <c r="D107" s="137"/>
      <c r="E107" s="3072" t="str">
        <f>IF(项目基本情况!E8="已注销","——","3.房地产抵押价值")</f>
        <v>3.房地产抵押价值</v>
      </c>
      <c r="F107" s="3073"/>
      <c r="G107" s="2520" t="s">
        <v>2300</v>
      </c>
      <c r="H107" s="1046">
        <f ca="1">IF(E107="——","——",H101-H103)</f>
        <v>3961</v>
      </c>
      <c r="I107" s="137"/>
    </row>
    <row r="108" spans="1:35" ht="18.75" customHeight="1">
      <c r="A108" s="137"/>
      <c r="B108" s="137"/>
      <c r="C108" s="137"/>
      <c r="D108" s="137"/>
      <c r="E108" s="3072"/>
      <c r="F108" s="3073"/>
      <c r="G108" s="2520" t="s">
        <v>2302</v>
      </c>
      <c r="H108" s="370">
        <f ca="1">ROUND(H107*10000/'数据-汇总表'!E3,0)</f>
        <v>8254</v>
      </c>
      <c r="I108" s="137"/>
    </row>
    <row r="109" spans="1:35" ht="18.75" customHeight="1">
      <c r="A109" s="137"/>
      <c r="B109" s="137"/>
      <c r="C109" s="137"/>
      <c r="D109" s="137"/>
      <c r="E109" s="3072" t="str">
        <f>IF(项目基本情况!E8="已注销及未注销","4.抵押担保权已注销时的房地产抵押价值",IF(项目基本情况!E8="已注销","3.抵押担保权已注销时的房地产抵押价值","——"))</f>
        <v>——</v>
      </c>
      <c r="F109" s="3073"/>
      <c r="G109" s="2520" t="s">
        <v>2300</v>
      </c>
      <c r="H109" s="347" t="str">
        <f>IF(E109="——","——",H101-H105-H106)</f>
        <v>——</v>
      </c>
      <c r="I109" s="137"/>
    </row>
    <row r="110" spans="1:35" ht="18.75" customHeight="1">
      <c r="A110" s="137"/>
      <c r="B110" s="137"/>
      <c r="C110" s="137"/>
      <c r="D110" s="137"/>
      <c r="E110" s="3072"/>
      <c r="F110" s="3073"/>
      <c r="G110" s="2520" t="s">
        <v>2302</v>
      </c>
      <c r="H110" s="370" t="str">
        <f>IF(H109="——","——",ROUND(H109*10000/'数据-汇总表'!E3,0))</f>
        <v>——</v>
      </c>
      <c r="I110" s="137"/>
    </row>
    <row r="111" spans="1:35" ht="18.75" customHeight="1">
      <c r="A111" s="137"/>
      <c r="B111" s="137"/>
      <c r="C111" s="137"/>
      <c r="D111" s="137"/>
      <c r="E111" s="3107" t="str">
        <f>IF(项目基本情况!E9="抵押净值",IF(OR(项目基本情况!E8="已注销",项目基本情况!E8="房地产抵押价值"),"4.抵押净值","5.抵押净值"),"——")</f>
        <v>——</v>
      </c>
      <c r="F111" s="3108"/>
      <c r="G111" s="2520" t="s">
        <v>2300</v>
      </c>
      <c r="H111" s="1046" t="str">
        <f>IF(E111="——","——",N59)</f>
        <v>——</v>
      </c>
      <c r="I111" s="137"/>
    </row>
    <row r="112" spans="1:35" ht="18.75" customHeight="1" thickBot="1">
      <c r="A112" s="137"/>
      <c r="B112" s="137"/>
      <c r="C112" s="137"/>
      <c r="D112" s="137"/>
      <c r="E112" s="3109"/>
      <c r="F112" s="3110"/>
      <c r="G112" s="2525" t="s">
        <v>2302</v>
      </c>
      <c r="H112" s="789" t="str">
        <f>IF(E111="——","——",N61)</f>
        <v>——</v>
      </c>
      <c r="I112" s="137"/>
    </row>
    <row r="113" spans="1:11" ht="18.75" customHeight="1">
      <c r="A113" s="137"/>
      <c r="B113" s="137"/>
      <c r="C113" s="137"/>
      <c r="D113" s="137"/>
      <c r="E113" s="3077" t="s">
        <v>2308</v>
      </c>
      <c r="F113" s="3077"/>
      <c r="G113" s="3077"/>
      <c r="H113" s="3077"/>
      <c r="I113" s="137"/>
    </row>
    <row r="114" spans="1:11" ht="3.75" customHeight="1">
      <c r="A114" s="2418"/>
      <c r="B114" s="2418"/>
      <c r="C114" s="2418"/>
      <c r="D114" s="2418"/>
      <c r="E114" s="2496"/>
      <c r="F114" s="2496"/>
      <c r="G114" s="2496"/>
      <c r="H114" s="2496"/>
      <c r="I114" s="2418"/>
    </row>
    <row r="115" spans="1:11" ht="18.75" customHeight="1">
      <c r="A115" s="3090" t="s">
        <v>2310</v>
      </c>
      <c r="B115" s="3091"/>
      <c r="C115" s="3091"/>
      <c r="D115" s="3091"/>
      <c r="E115" s="3091"/>
      <c r="F115" s="3091"/>
      <c r="G115" s="3091"/>
      <c r="H115" s="3091"/>
      <c r="I115" s="3092"/>
    </row>
    <row r="116" spans="1:11" ht="27" customHeight="1">
      <c r="A116" s="2983" t="s">
        <v>2311</v>
      </c>
      <c r="B116" s="3078" t="s">
        <v>2312</v>
      </c>
      <c r="C116" s="3078" t="s">
        <v>2313</v>
      </c>
      <c r="D116" s="3094" t="s">
        <v>2314</v>
      </c>
      <c r="E116" s="3095"/>
      <c r="F116" s="3086" t="s">
        <v>2315</v>
      </c>
      <c r="G116" s="3086"/>
      <c r="H116" s="2983" t="s">
        <v>2316</v>
      </c>
      <c r="I116" s="2983"/>
    </row>
    <row r="117" spans="1:11" ht="18.75" customHeight="1">
      <c r="A117" s="2983"/>
      <c r="B117" s="3079"/>
      <c r="C117" s="3079"/>
      <c r="D117" s="1797" t="s">
        <v>2317</v>
      </c>
      <c r="E117" s="1797" t="s">
        <v>2318</v>
      </c>
      <c r="F117" s="1797" t="s">
        <v>2317</v>
      </c>
      <c r="G117" s="1797" t="s">
        <v>2319</v>
      </c>
      <c r="H117" s="1797" t="s">
        <v>2317</v>
      </c>
      <c r="I117" s="1797" t="s">
        <v>2319</v>
      </c>
    </row>
    <row r="118" spans="1:11" ht="24.75" customHeight="1">
      <c r="A118" s="2526" t="str">
        <f>项目基本情况!S2</f>
        <v>北京市通州区环科中路16号38幢1至4层101工业用房房地产</v>
      </c>
      <c r="B118" s="1797">
        <f>M18</f>
        <v>4799.08</v>
      </c>
      <c r="C118" s="1797">
        <f>M19</f>
        <v>0</v>
      </c>
      <c r="D118" s="1797">
        <f ca="1">ROUND(IF(D32="总价",C34,E118*B118/10000),0)</f>
        <v>1145</v>
      </c>
      <c r="E118" s="1797">
        <f ca="1">ROUND(IF(C33="自定义",IF(D32="楼面单价",C34,D118*10000/B118),I118-G118),0)</f>
        <v>2386</v>
      </c>
      <c r="F118" s="1797">
        <f ca="1">ROUND(IF(D32="总价",C35,G118*B118/10000),0)</f>
        <v>2816</v>
      </c>
      <c r="G118" s="1797">
        <f ca="1">ROUND(IF(D32="楼面单价",C35,F118*10000/B118),0)</f>
        <v>5868</v>
      </c>
      <c r="H118" s="1797">
        <f ca="1">ROUND(IF(D32="总价",C32,I118*B118/10000),0)</f>
        <v>3961</v>
      </c>
      <c r="I118" s="1797">
        <f ca="1">ROUND(IF(D32="楼面单价",C32,H118*10000/B118),0)</f>
        <v>8254</v>
      </c>
    </row>
    <row r="119" spans="1:11" ht="18.75" customHeight="1">
      <c r="A119" s="2983" t="s">
        <v>2320</v>
      </c>
      <c r="B119" s="2983"/>
      <c r="C119" s="2983"/>
      <c r="D119" s="3083" t="str">
        <f ca="1">NUMBERSTRING(INT(D118*10000),2)&amp;"元整"</f>
        <v>壹仟壹佰肆拾伍万元整</v>
      </c>
      <c r="E119" s="3085"/>
      <c r="F119" s="3083" t="str">
        <f ca="1">NUMBERSTRING(INT(F118*10000),2)&amp;"元整"</f>
        <v>贰仟捌佰壹拾陆万元整</v>
      </c>
      <c r="G119" s="3085"/>
      <c r="H119" s="3083" t="str">
        <f ca="1">NUMBERSTRING(INT(H118*10000),2)&amp;"元整"</f>
        <v>叁仟玖佰陆拾壹万元整</v>
      </c>
      <c r="I119" s="3085"/>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23" t="str">
        <f>IF(D120=0,"故，本次评估不存在"&amp;A120,"故，本次评估"&amp;A120&amp;"为人民币"&amp;D120&amp;"万元整。")</f>
        <v>故，本次评估不存在估价师知悉的法定优先受偿款</v>
      </c>
    </row>
    <row r="121" spans="1:11" ht="18.75" customHeight="1">
      <c r="A121" s="3087" t="s">
        <v>2320</v>
      </c>
      <c r="B121" s="3088"/>
      <c r="C121" s="3089"/>
      <c r="D121" s="3083" t="str">
        <f>IF(D120=0,"零元整",NUMBERSTRING(INT(D120*10000),2)&amp;"元整")</f>
        <v>零元整</v>
      </c>
      <c r="E121" s="3084"/>
      <c r="F121" s="3084"/>
      <c r="G121" s="3084"/>
      <c r="H121" s="3084"/>
      <c r="I121" s="3085"/>
    </row>
    <row r="122" spans="1:11" ht="18.75" customHeight="1">
      <c r="A122" s="3074" t="str">
        <f>IF(项目基本情况!B9="房地产市场价值","",MID(E107,3,LEN(E107)-2))</f>
        <v>房地产抵押价值</v>
      </c>
      <c r="B122" s="3074"/>
      <c r="C122" s="3074"/>
      <c r="D122" s="3111">
        <f ca="1">H107</f>
        <v>3961</v>
      </c>
      <c r="E122" s="3112"/>
      <c r="F122" s="3112"/>
      <c r="G122" s="3112"/>
      <c r="H122" s="3112"/>
      <c r="I122" s="3113"/>
    </row>
    <row r="123" spans="1:11" ht="18.75" customHeight="1">
      <c r="A123" s="2983" t="s">
        <v>2320</v>
      </c>
      <c r="B123" s="2983"/>
      <c r="C123" s="2983"/>
      <c r="D123" s="3083" t="str">
        <f ca="1">NUMBERSTRING(INT(D122*10000),2)&amp;"元整"</f>
        <v>叁仟玖佰陆拾壹万元整</v>
      </c>
      <c r="E123" s="3084"/>
      <c r="F123" s="3084"/>
      <c r="G123" s="3084"/>
      <c r="H123" s="3084"/>
      <c r="I123" s="3085"/>
    </row>
    <row r="124" spans="1:11" ht="18.75" customHeight="1">
      <c r="A124" s="3074" t="str">
        <f>IF(项目基本情况!B9="房地产市场价值","",MID(E109,3,LEN(E109)-2))</f>
        <v/>
      </c>
      <c r="B124" s="3074"/>
      <c r="C124" s="3074"/>
      <c r="D124" s="3111" t="str">
        <f>H109</f>
        <v>——</v>
      </c>
      <c r="E124" s="3112"/>
      <c r="F124" s="3112"/>
      <c r="G124" s="3112"/>
      <c r="H124" s="3112"/>
      <c r="I124" s="3113"/>
    </row>
    <row r="125" spans="1:11" ht="18.75" customHeight="1">
      <c r="A125" s="2983" t="s">
        <v>2320</v>
      </c>
      <c r="B125" s="2983"/>
      <c r="C125" s="2983"/>
      <c r="D125" s="3083" t="e">
        <f>NUMBERSTRING(INT(D124*10000),2)&amp;"元整"</f>
        <v>#VALUE!</v>
      </c>
      <c r="E125" s="3084"/>
      <c r="F125" s="3084"/>
      <c r="G125" s="3084"/>
      <c r="H125" s="3084"/>
      <c r="I125" s="3085"/>
    </row>
    <row r="126" spans="1:11" ht="18.75" customHeight="1">
      <c r="A126" s="3074" t="str">
        <f>IF(项目基本情况!B9="房地产市场价值","",MID(E111,3,LEN(E111)-2))</f>
        <v/>
      </c>
      <c r="B126" s="3074"/>
      <c r="C126" s="3074"/>
      <c r="D126" s="3111" t="str">
        <f>H111</f>
        <v>——</v>
      </c>
      <c r="E126" s="3112"/>
      <c r="F126" s="3112"/>
      <c r="G126" s="3112"/>
      <c r="H126" s="3112"/>
      <c r="I126" s="3113"/>
    </row>
    <row r="127" spans="1:11" ht="18.75" customHeight="1">
      <c r="A127" s="2983" t="s">
        <v>2320</v>
      </c>
      <c r="B127" s="2983"/>
      <c r="C127" s="2983"/>
      <c r="D127" s="3083" t="e">
        <f>NUMBERSTRING(INT(D126*10000),2)&amp;"元整"</f>
        <v>#VALUE!</v>
      </c>
      <c r="E127" s="3084"/>
      <c r="F127" s="3084"/>
      <c r="G127" s="3084"/>
      <c r="H127" s="3084"/>
      <c r="I127" s="3085"/>
    </row>
    <row r="128" spans="1:11" ht="21.75" customHeight="1">
      <c r="A128" s="3093" t="s">
        <v>2321</v>
      </c>
      <c r="B128" s="3093"/>
      <c r="C128" s="3093"/>
      <c r="D128" s="3093"/>
      <c r="E128" s="3093"/>
      <c r="F128" s="3093"/>
      <c r="G128" s="3093"/>
      <c r="H128" s="3093"/>
      <c r="I128" s="3093"/>
    </row>
    <row r="129" spans="1:35" ht="21.75" customHeight="1">
      <c r="A129" s="2527" t="s">
        <v>2322</v>
      </c>
      <c r="B129" s="2528"/>
      <c r="C129" s="2529" t="s">
        <v>2323</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2324</v>
      </c>
      <c r="G135" s="2544"/>
      <c r="H135" s="2544"/>
      <c r="I135" s="2545" t="s">
        <v>2325</v>
      </c>
    </row>
    <row r="136" spans="1:35" ht="21.75" customHeight="1">
      <c r="A136" s="794"/>
      <c r="B136" s="2546"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2327</v>
      </c>
    </row>
    <row r="139" spans="1:35" ht="21.75" customHeight="1">
      <c r="A139" s="794"/>
      <c r="B139" s="2546" t="s">
        <v>2328</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2327</v>
      </c>
    </row>
    <row r="142" spans="1:35" ht="21.75" customHeight="1">
      <c r="A142" s="794"/>
      <c r="B142" s="2546"/>
      <c r="C142" s="2547"/>
      <c r="D142" s="2548"/>
      <c r="E142" s="2548"/>
      <c r="F142" s="2341"/>
      <c r="G142" s="794"/>
      <c r="H142" s="794"/>
      <c r="I142" s="794"/>
    </row>
    <row r="143" spans="1:35" s="138"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 sqref="G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2807</v>
      </c>
      <c r="B1" s="240"/>
      <c r="C1" s="244" t="s">
        <v>2808</v>
      </c>
      <c r="D1" s="387">
        <f>SUM(D29:D30,D33:D39)</f>
        <v>0</v>
      </c>
      <c r="E1" s="2719"/>
      <c r="F1" s="2719"/>
      <c r="G1" s="2719"/>
      <c r="H1" s="2719"/>
      <c r="I1" s="2719"/>
      <c r="J1" s="2719"/>
      <c r="K1" s="1371"/>
      <c r="L1" s="2720" t="s">
        <v>2809</v>
      </c>
      <c r="M1" s="1081">
        <f>SUMPRODUCT((区片价!B5:B9=I2)*(区片价!C3:F3=E2)*(区片价!C5:F9))</f>
        <v>0</v>
      </c>
      <c r="N1" s="1084">
        <f>SUMPRODUCT((因素修正幅度!B5:B9=I2)*(因素修正幅度!C3:F3=E2)*(因素修正幅度!C5:F9))</f>
        <v>0</v>
      </c>
      <c r="O1" s="2721"/>
      <c r="P1" s="2721"/>
      <c r="Q1" s="1371"/>
      <c r="R1" s="1604" t="s">
        <v>2810</v>
      </c>
      <c r="S1" s="1604" t="s">
        <v>2811</v>
      </c>
      <c r="T1" s="1604" t="s">
        <v>2812</v>
      </c>
      <c r="U1" s="1604" t="s">
        <v>2813</v>
      </c>
      <c r="V1" s="1604" t="s">
        <v>2814</v>
      </c>
      <c r="W1" s="1608"/>
      <c r="X1" s="1608"/>
      <c r="Y1" s="1608"/>
      <c r="Z1" s="1608"/>
      <c r="AA1" s="1608"/>
      <c r="AB1" s="1608"/>
      <c r="AC1" s="1609"/>
      <c r="AD1" s="1610"/>
      <c r="AE1" s="1610"/>
      <c r="AF1" s="1610"/>
      <c r="AG1" s="1610"/>
      <c r="AH1" s="1610"/>
      <c r="AI1" s="1610"/>
      <c r="AJ1" s="1611"/>
    </row>
    <row r="2" spans="1:36" ht="15.75">
      <c r="A2" s="244" t="s">
        <v>2815</v>
      </c>
      <c r="B2" s="247" t="e">
        <f ca="1">C26</f>
        <v>#DIV/0!</v>
      </c>
      <c r="C2" s="2723" t="s">
        <v>2816</v>
      </c>
      <c r="D2" s="2724" t="s">
        <v>2817</v>
      </c>
      <c r="E2" s="2725" t="s">
        <v>6</v>
      </c>
      <c r="F2" s="2724" t="s">
        <v>2818</v>
      </c>
      <c r="G2" s="2726" t="str">
        <f>IF(E2="商业",项目基本情况!B37,IF(E2="办公",项目基本情况!C37,IF(E2="住宅",项目基本情况!D37,项目基本情况!E37)))</f>
        <v>八级</v>
      </c>
      <c r="H2" s="2724" t="s">
        <v>2819</v>
      </c>
      <c r="I2" s="2726" t="str">
        <f>IF(E2="商业",项目基本情况!B38,IF(E2="办公",项目基本情况!C38,IF(E2="住宅",项目基本情况!D38,项目基本情况!E38)))</f>
        <v>Ⅷ-通州环保园</v>
      </c>
      <c r="J2" s="2727"/>
      <c r="K2" s="1371"/>
      <c r="L2" s="2728" t="s">
        <v>2820</v>
      </c>
      <c r="M2" s="1082">
        <f>SUMPRODUCT((区片价!B10:B28=I2)*(区片价!C3:F3=E2)*(区片价!C10:F28))</f>
        <v>0</v>
      </c>
      <c r="N2" s="1084">
        <f>SUMPRODUCT((因素修正幅度!B10:B28=I2)*(因素修正幅度!C3:F3=E2)*(因素修正幅度!C10:F28))</f>
        <v>0</v>
      </c>
      <c r="O2" s="1371"/>
      <c r="P2" s="1371"/>
      <c r="Q2" s="1371"/>
      <c r="R2" s="1604">
        <v>1</v>
      </c>
      <c r="S2" s="1604" t="e">
        <f>ROUND(IF(G3&gt;1,IF(R2&lt;7,SUMPRODUCT((B93:B98=R2)*(C92:N92=G2)*(C93:N98)),SUMIF(C92:N92,G2,C100:N100)),IF(R2&lt;7,SUMPRODUCT((B102:B107=R2)*(C92:N92=G2)*(C102:N107)),SUMIF(C92:N92,G2,C109:N109))),4)</f>
        <v>#DIV/0!</v>
      </c>
      <c r="T2" s="1604" t="e">
        <f ca="1">ROUND($C$5*$C$18*$C$19*$C$20*S2*$C$24,0)</f>
        <v>#DIV/0!</v>
      </c>
      <c r="U2" s="1605"/>
      <c r="V2" s="1604" t="e">
        <f ca="1">ROUND(T2*U2/10000,0)</f>
        <v>#DIV/0!</v>
      </c>
      <c r="W2" s="1608"/>
      <c r="X2" s="1608"/>
      <c r="Y2" s="1608"/>
      <c r="Z2" s="1608"/>
      <c r="AA2" s="1608"/>
      <c r="AB2" s="1608"/>
      <c r="AC2" s="1609"/>
      <c r="AD2" s="1610"/>
      <c r="AE2" s="1610"/>
      <c r="AF2" s="1610"/>
      <c r="AG2" s="1610"/>
      <c r="AH2" s="1610"/>
      <c r="AI2" s="1610"/>
      <c r="AJ2" s="1611"/>
    </row>
    <row r="3" spans="1:36" ht="15.75">
      <c r="A3" s="246" t="s">
        <v>2821</v>
      </c>
      <c r="B3" s="247" t="e">
        <f ca="1">ROUND(B2*10000/D1,0)</f>
        <v>#DIV/0!</v>
      </c>
      <c r="C3" s="2723" t="s">
        <v>2822</v>
      </c>
      <c r="D3" s="2724" t="s">
        <v>2823</v>
      </c>
      <c r="E3" s="2729" t="s">
        <v>3072</v>
      </c>
      <c r="F3" s="2730" t="s">
        <v>2824</v>
      </c>
      <c r="G3" s="915" t="e">
        <f>IF(F3="宗地容积率",'数据-汇总表'!I4,IF(F3="估价对象容积率",'数据-汇总表'!I6,'数据-汇总表'!I7))</f>
        <v>#DIV/0!</v>
      </c>
      <c r="H3" s="197" t="s">
        <v>2825</v>
      </c>
      <c r="I3" s="946"/>
      <c r="J3" s="2727" t="s">
        <v>2826</v>
      </c>
      <c r="K3" s="1371"/>
      <c r="L3" s="2728" t="s">
        <v>2827</v>
      </c>
      <c r="M3" s="1082">
        <f>SUMPRODUCT((区片价!B29:B48=I2)*(区片价!C3:F3=E2)*(区片价!C29:F48))</f>
        <v>0</v>
      </c>
      <c r="N3" s="1084">
        <f>SUMPRODUCT((因素修正幅度!B29:B48=I2)*(因素修正幅度!C3:F3=E2)*(因素修正幅度!C29:F48))</f>
        <v>0</v>
      </c>
      <c r="O3" s="1371"/>
      <c r="P3" s="1371"/>
      <c r="Q3" s="1371"/>
      <c r="R3" s="1604">
        <v>2</v>
      </c>
      <c r="S3" s="1604" t="e">
        <f>ROUND(IF(G3&gt;1,IF(R3&lt;7,SUMPRODUCT((B93:B98=R3)*(C92:N92=G2)*(C93:N98)),SUMIF(C92:N92,G2,C100:N100)),IF(R3&lt;7,SUMPRODUCT((B102:B107=R3)*(C92:N92=G2)*(C102:N107)),SUMIF(C92:N92,G2,C109:N109))),4)</f>
        <v>#DIV/0!</v>
      </c>
      <c r="T3" s="1604" t="e">
        <f t="shared" ref="T3:T16" ca="1" si="0">ROUND($C$5*$C$18*$C$19*$C$20*S3*$C$24,0)</f>
        <v>#DIV/0!</v>
      </c>
      <c r="U3" s="1605"/>
      <c r="V3" s="1604" t="e">
        <f t="shared" ref="V3:V16" ca="1" si="1">ROUND(T3*U3/10000,0)</f>
        <v>#DIV/0!</v>
      </c>
      <c r="W3" s="1608"/>
      <c r="X3" s="1608"/>
      <c r="Y3" s="1608"/>
      <c r="Z3" s="1608"/>
      <c r="AA3" s="1608"/>
      <c r="AB3" s="1608"/>
      <c r="AC3" s="1609"/>
      <c r="AD3" s="1610"/>
      <c r="AE3" s="1610"/>
      <c r="AF3" s="1610"/>
      <c r="AG3" s="1610"/>
      <c r="AH3" s="1610"/>
      <c r="AI3" s="1610"/>
      <c r="AJ3" s="1611"/>
    </row>
    <row r="4" spans="1:36" ht="15.75">
      <c r="A4" s="3128"/>
      <c r="B4" s="3129"/>
      <c r="C4" s="3129"/>
      <c r="D4" s="3130"/>
      <c r="E4" s="3130"/>
      <c r="F4" s="3130"/>
      <c r="G4" s="3130"/>
      <c r="H4" s="3130"/>
      <c r="I4" s="3130"/>
      <c r="J4" s="3131"/>
      <c r="K4" s="1371"/>
      <c r="L4" s="2728" t="s">
        <v>2828</v>
      </c>
      <c r="M4" s="1082">
        <f>SUMPRODUCT((区片价!B49:B75=I2)*(区片价!C3:F3=E2)*(区片价!C49:F75))</f>
        <v>0</v>
      </c>
      <c r="N4" s="1084">
        <f>SUMPRODUCT((因素修正幅度!B49:B75=I2)*(因素修正幅度!C3:F3=E2)*(因素修正幅度!C49:F75))</f>
        <v>0</v>
      </c>
      <c r="O4" s="1371"/>
      <c r="P4" s="1371"/>
      <c r="Q4" s="1371"/>
      <c r="R4" s="1604">
        <v>3</v>
      </c>
      <c r="S4" s="1604" t="e">
        <f>ROUND(IF(G3&gt;1,IF(R4&lt;7,SUMPRODUCT((B93:B98=R4)*(C92:N92=G2)*(C93:N98)),SUMIF(C92:N92,G2,C100:N100)),IF(R4&lt;7,SUMPRODUCT((B102:B107=R4)*(C92:N92=G2)*(C102:N107)),SUMIF(C92:N92,G2,C109:N109))),4)</f>
        <v>#DIV/0!</v>
      </c>
      <c r="T4" s="1604" t="e">
        <f t="shared" ca="1" si="0"/>
        <v>#DIV/0!</v>
      </c>
      <c r="U4" s="1605"/>
      <c r="V4" s="1604" t="e">
        <f t="shared" ca="1"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2829</v>
      </c>
      <c r="C5" s="916">
        <f>ROUND(IF(E2="商业",IF(F16="增加",C6*C7+C16,C6*C7-C16),IF(E2="住宅",IF(F16="增加",C6*C12+C16,C6*C12-C16),IF(F16="增加",C6+C16,C6-C16))),0)</f>
        <v>990</v>
      </c>
      <c r="D5" s="1789">
        <f>ROUND(IF(E2="商业",IF(F16="增加",C6+C16,C6-C16)),0)</f>
        <v>0</v>
      </c>
      <c r="E5" s="2733"/>
      <c r="F5" s="2733"/>
      <c r="G5" s="2734"/>
      <c r="H5" s="2734"/>
      <c r="I5" s="2734"/>
      <c r="J5" s="2735"/>
      <c r="K5" s="2736"/>
      <c r="L5" s="2728" t="s">
        <v>2830</v>
      </c>
      <c r="M5" s="1082">
        <f>SUMPRODUCT((区片价!B76:B109=I2)*(区片价!C3:F3=E2)*(区片价!C76:F109))</f>
        <v>0</v>
      </c>
      <c r="N5" s="1084">
        <f>SUMPRODUCT((因素修正幅度!B76:B109=I2)*(因素修正幅度!C3:F3=E2)*(因素修正幅度!C76:F109))</f>
        <v>0</v>
      </c>
      <c r="O5" s="1371"/>
      <c r="P5" s="1371"/>
      <c r="Q5" s="1371"/>
      <c r="R5" s="1604">
        <v>4</v>
      </c>
      <c r="S5" s="1604" t="e">
        <f>ROUND(IF(G3&gt;1,IF(R5&lt;7,SUMPRODUCT((B93:B98=R5)*(C92:N92=G2)*(C93:N98)),SUMIF(C92:N92,G2,C100:N100)),IF(R5&lt;7,SUMPRODUCT((B102:B107=R5)*(C92:N92=G2)*(C102:N107)),SUMIF(C92:N92,G2,C109:N109))),4)</f>
        <v>#DIV/0!</v>
      </c>
      <c r="T5" s="1604" t="e">
        <f t="shared" ca="1" si="0"/>
        <v>#DIV/0!</v>
      </c>
      <c r="U5" s="1605"/>
      <c r="V5" s="1604" t="e">
        <f t="shared" ca="1" si="1"/>
        <v>#DIV/0!</v>
      </c>
      <c r="W5" s="1608"/>
      <c r="X5" s="1608"/>
      <c r="Y5" s="1608"/>
      <c r="Z5" s="1608"/>
      <c r="AA5" s="1608"/>
      <c r="AB5" s="1608"/>
      <c r="AC5" s="2737"/>
      <c r="AD5" s="2738"/>
      <c r="AE5" s="2738"/>
      <c r="AF5" s="2738"/>
      <c r="AG5" s="2738"/>
      <c r="AH5" s="2738"/>
      <c r="AI5" s="2738"/>
      <c r="AJ5" s="2739"/>
    </row>
    <row r="6" spans="1:36" ht="15.75" thickBot="1">
      <c r="A6" s="2741" t="s">
        <v>2831</v>
      </c>
      <c r="B6" s="2742" t="s">
        <v>2832</v>
      </c>
      <c r="C6" s="917">
        <f>SUMIF(L1:L12,G2,M1:M12)</f>
        <v>990</v>
      </c>
      <c r="D6" s="2743" t="s">
        <v>2833</v>
      </c>
      <c r="E6" s="2744"/>
      <c r="F6" s="2744"/>
      <c r="G6" s="2745"/>
      <c r="H6" s="2745"/>
      <c r="I6" s="2745"/>
      <c r="J6" s="2746"/>
      <c r="K6" s="1844"/>
      <c r="L6" s="2728" t="s">
        <v>2834</v>
      </c>
      <c r="M6" s="1082">
        <f>SUMPRODUCT((区片价!B110:B157=I2)*(区片价!C3:F3=E2)*(区片价!C110:F157))</f>
        <v>0</v>
      </c>
      <c r="N6" s="1084">
        <f>SUMPRODUCT((因素修正幅度!B110:B157=I2)*(因素修正幅度!C3:F3=E2)*(因素修正幅度!C110:F157))</f>
        <v>0</v>
      </c>
      <c r="O6" s="1371"/>
      <c r="P6" s="1371"/>
      <c r="Q6" s="1371"/>
      <c r="R6" s="1604">
        <v>5</v>
      </c>
      <c r="S6" s="1604" t="e">
        <f>ROUND(IF(G3&gt;1,IF(R6&lt;7,SUMPRODUCT((B93:B98=R6)*(C92:N92=G2)*(C93:N98)),SUMIF(C92:N92,G2,C100:N100)),IF(R6&lt;7,SUMPRODUCT((B102:B107=R6)*(C92:N92=G2)*(C102:N107)),SUMIF(C92:N92,G2,C109:N109))),4)</f>
        <v>#DIV/0!</v>
      </c>
      <c r="T6" s="1604" t="e">
        <f t="shared" ca="1" si="0"/>
        <v>#DIV/0!</v>
      </c>
      <c r="U6" s="1605"/>
      <c r="V6" s="1604" t="e">
        <f t="shared" ca="1" si="1"/>
        <v>#DIV/0!</v>
      </c>
      <c r="W6" s="1608"/>
      <c r="X6" s="1608"/>
      <c r="Y6" s="1608"/>
      <c r="Z6" s="1608"/>
      <c r="AA6" s="1608"/>
      <c r="AB6" s="1608"/>
      <c r="AC6" s="2737"/>
      <c r="AD6" s="2738"/>
      <c r="AE6" s="2738"/>
      <c r="AF6" s="2738"/>
      <c r="AG6" s="2738"/>
      <c r="AH6" s="2738"/>
      <c r="AI6" s="2738"/>
      <c r="AJ6" s="2739"/>
    </row>
    <row r="7" spans="1:36" ht="24">
      <c r="A7" s="3132" t="str">
        <f>IF(E2="商业",IF(C8="不临58条商业街","",2),"")</f>
        <v/>
      </c>
      <c r="B7" s="2747" t="s">
        <v>2835</v>
      </c>
      <c r="C7" s="918" t="e">
        <f>IF(C8="不临58条商业街",1,ROUND(1+(1.6*E8+1.2*E9+0.8*E10+0.4*E11)*C9,4))</f>
        <v>#DIV/0!</v>
      </c>
      <c r="D7" s="2748" t="s">
        <v>2836</v>
      </c>
      <c r="E7" s="947"/>
      <c r="F7" s="2749"/>
      <c r="G7" s="2750"/>
      <c r="H7" s="2750"/>
      <c r="I7" s="2750"/>
      <c r="J7" s="2751"/>
      <c r="K7" s="1844"/>
      <c r="L7" s="2728" t="s">
        <v>2837</v>
      </c>
      <c r="M7" s="1082">
        <f>SUMPRODUCT((区片价!B158:B205=I2)*(区片价!C3:F3=E2)*(区片价!C158:F205))</f>
        <v>0</v>
      </c>
      <c r="N7" s="1084">
        <f>SUMPRODUCT((因素修正幅度!B158:B205=I2)*(因素修正幅度!C3:F3=E2)*(因素修正幅度!C158:F205))</f>
        <v>0</v>
      </c>
      <c r="O7" s="1371"/>
      <c r="P7" s="1371"/>
      <c r="Q7" s="1371"/>
      <c r="R7" s="1604">
        <v>6</v>
      </c>
      <c r="S7" s="1604" t="e">
        <f>ROUND(IF(G3&gt;1,IF(R7&lt;7,SUMPRODUCT((B93:B98=R7)*(C92:N92=G2)*(C93:N98)),SUMIF(C92:N92,G2,C100:N100)),IF(R7&lt;7,SUMPRODUCT((B102:B107=R7)*(C92:N92=G2)*(C102:N107)),SUMIF(C92:N92,G2,C109:N109))),4)</f>
        <v>#DIV/0!</v>
      </c>
      <c r="T7" s="1604" t="e">
        <f t="shared" ca="1" si="0"/>
        <v>#DIV/0!</v>
      </c>
      <c r="U7" s="1605"/>
      <c r="V7" s="1604" t="e">
        <f t="shared" ca="1" si="1"/>
        <v>#DIV/0!</v>
      </c>
      <c r="W7" s="1818" t="s">
        <v>2838</v>
      </c>
      <c r="X7" s="1606" t="str">
        <f>G2</f>
        <v>八级</v>
      </c>
      <c r="Y7" s="1606" t="s">
        <v>2839</v>
      </c>
      <c r="Z7" s="1607" t="e">
        <f>G3</f>
        <v>#DIV/0!</v>
      </c>
      <c r="AA7" s="1608"/>
      <c r="AB7" s="1608"/>
      <c r="AC7" s="1609"/>
      <c r="AD7" s="1610"/>
      <c r="AE7" s="1610"/>
      <c r="AF7" s="1610"/>
      <c r="AG7" s="1610"/>
      <c r="AH7" s="1610"/>
      <c r="AI7" s="1610"/>
      <c r="AJ7" s="1611"/>
    </row>
    <row r="8" spans="1:36" ht="15">
      <c r="A8" s="3133"/>
      <c r="B8" s="197" t="s">
        <v>2840</v>
      </c>
      <c r="C8" s="2752"/>
      <c r="D8" s="919" t="s">
        <v>139</v>
      </c>
      <c r="E8" s="920" t="e">
        <f>ROUND(C11/E7,4)</f>
        <v>#DIV/0!</v>
      </c>
      <c r="F8" s="2753" t="s">
        <v>2841</v>
      </c>
      <c r="G8" s="2754"/>
      <c r="H8" s="2754"/>
      <c r="I8" s="2754"/>
      <c r="J8" s="2755"/>
      <c r="K8" s="1371"/>
      <c r="L8" s="2728" t="s">
        <v>2842</v>
      </c>
      <c r="M8" s="1082">
        <f>SUMPRODUCT((区片价!B206:B244=I2)*(区片价!C3:F3=E2)*(区片价!C206:F244))</f>
        <v>990</v>
      </c>
      <c r="N8" s="1084">
        <f>SUMPRODUCT((因素修正幅度!B206:B244=I2)*(因素修正幅度!C3:F3=E2)*(因素修正幅度!C206:F244))</f>
        <v>0.05</v>
      </c>
      <c r="O8" s="1371"/>
      <c r="P8" s="1371"/>
      <c r="Q8" s="1371"/>
      <c r="R8" s="1604">
        <v>7</v>
      </c>
      <c r="S8" s="1605"/>
      <c r="T8" s="1604">
        <f t="shared" ca="1" si="0"/>
        <v>0</v>
      </c>
      <c r="U8" s="1605"/>
      <c r="V8" s="1604">
        <f t="shared" ca="1" si="1"/>
        <v>0</v>
      </c>
      <c r="W8" s="3125" t="s">
        <v>2843</v>
      </c>
      <c r="X8" s="3126"/>
      <c r="Y8" s="1612" t="s">
        <v>2844</v>
      </c>
      <c r="Z8" s="1612" t="s">
        <v>2845</v>
      </c>
      <c r="AA8" s="1612" t="s">
        <v>2846</v>
      </c>
      <c r="AB8" s="1612" t="s">
        <v>2847</v>
      </c>
      <c r="AC8" s="1612" t="s">
        <v>2848</v>
      </c>
      <c r="AD8" s="1612" t="s">
        <v>2849</v>
      </c>
      <c r="AE8" s="1612" t="s">
        <v>2850</v>
      </c>
      <c r="AF8" s="1612" t="s">
        <v>2851</v>
      </c>
      <c r="AG8" s="1612" t="s">
        <v>2852</v>
      </c>
      <c r="AH8" s="1612" t="s">
        <v>2853</v>
      </c>
      <c r="AI8" s="1612" t="s">
        <v>2854</v>
      </c>
      <c r="AJ8" s="1612" t="s">
        <v>2855</v>
      </c>
    </row>
    <row r="9" spans="1:36" ht="15">
      <c r="A9" s="3133"/>
      <c r="B9" s="197" t="s">
        <v>2856</v>
      </c>
      <c r="C9" s="921">
        <f>SUMIF(修正!C59:C119,C8,修正!E59:E119)</f>
        <v>0</v>
      </c>
      <c r="D9" s="199" t="s">
        <v>140</v>
      </c>
      <c r="E9" s="199" t="e">
        <f>ROUND(C11/E7,4)</f>
        <v>#DIV/0!</v>
      </c>
      <c r="F9" s="2753" t="s">
        <v>2857</v>
      </c>
      <c r="G9" s="2754"/>
      <c r="H9" s="2754"/>
      <c r="I9" s="2754"/>
      <c r="J9" s="2755"/>
      <c r="K9" s="1371"/>
      <c r="L9" s="2728" t="s">
        <v>2858</v>
      </c>
      <c r="M9" s="1082">
        <f>SUMPRODUCT((区片价!B245:B289=I2)*(区片价!C3:F3=E2)*(区片价!C245:F289))</f>
        <v>0</v>
      </c>
      <c r="N9" s="1084">
        <f>SUMPRODUCT((因素修正幅度!B245:B289=I2)*(因素修正幅度!C3:F3=E2)*(因素修正幅度!C245:F289))</f>
        <v>0</v>
      </c>
      <c r="O9" s="1371"/>
      <c r="P9" s="1371"/>
      <c r="Q9" s="1371"/>
      <c r="R9" s="1604">
        <v>8</v>
      </c>
      <c r="S9" s="1605"/>
      <c r="T9" s="1604">
        <f t="shared" ca="1" si="0"/>
        <v>0</v>
      </c>
      <c r="U9" s="1605"/>
      <c r="V9" s="1604">
        <f t="shared" ca="1" si="1"/>
        <v>0</v>
      </c>
      <c r="W9" s="3127" t="s">
        <v>2859</v>
      </c>
      <c r="X9" s="1613" t="s">
        <v>2860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33"/>
      <c r="B10" s="197" t="s">
        <v>2861</v>
      </c>
      <c r="C10" s="199">
        <f>SUMIF(修正!C59:C119,C8,修正!F59:F119)</f>
        <v>0</v>
      </c>
      <c r="D10" s="199" t="s">
        <v>141</v>
      </c>
      <c r="E10" s="199" t="e">
        <f>ROUND(C11/E7,4)</f>
        <v>#DIV/0!</v>
      </c>
      <c r="F10" s="2753" t="s">
        <v>2862</v>
      </c>
      <c r="G10" s="2754"/>
      <c r="H10" s="2754"/>
      <c r="I10" s="2754"/>
      <c r="J10" s="2755"/>
      <c r="K10" s="1371"/>
      <c r="L10" s="2728" t="s">
        <v>2863</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f t="shared" ca="1" si="0"/>
        <v>0</v>
      </c>
      <c r="U10" s="1605"/>
      <c r="V10" s="1604">
        <f t="shared" ca="1" si="1"/>
        <v>0</v>
      </c>
      <c r="W10" s="312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33"/>
      <c r="B11" s="2756" t="s">
        <v>2864</v>
      </c>
      <c r="C11" s="922">
        <f>C10/4</f>
        <v>0</v>
      </c>
      <c r="D11" s="922" t="s">
        <v>142</v>
      </c>
      <c r="E11" s="922" t="e">
        <f>ROUND(C11/E7,4)</f>
        <v>#DIV/0!</v>
      </c>
      <c r="F11" s="2757" t="s">
        <v>2865</v>
      </c>
      <c r="G11" s="2758"/>
      <c r="H11" s="2758"/>
      <c r="I11" s="2758"/>
      <c r="J11" s="2759"/>
      <c r="K11" s="1371"/>
      <c r="L11" s="2728" t="s">
        <v>2866</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f t="shared" ca="1" si="0"/>
        <v>0</v>
      </c>
      <c r="U11" s="1605"/>
      <c r="V11" s="1604">
        <f t="shared" ca="1" si="1"/>
        <v>0</v>
      </c>
      <c r="W11" s="3127" t="s">
        <v>2867</v>
      </c>
      <c r="X11" s="1616" t="s">
        <v>2868</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132" t="s">
        <v>2869</v>
      </c>
      <c r="B12" s="2760" t="s">
        <v>2870</v>
      </c>
      <c r="C12" s="918">
        <f>ROUND(C15*D15*E15*F15*G15*H15*I15*J15,4)</f>
        <v>1</v>
      </c>
      <c r="D12" s="2761" t="s">
        <v>2871</v>
      </c>
      <c r="E12" s="2762"/>
      <c r="F12" s="2762"/>
      <c r="G12" s="2763"/>
      <c r="H12" s="2763"/>
      <c r="I12" s="2763"/>
      <c r="J12" s="2764"/>
      <c r="K12" s="1371"/>
      <c r="L12" s="2765" t="s">
        <v>2872</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f t="shared" ca="1" si="0"/>
        <v>0</v>
      </c>
      <c r="U12" s="1605"/>
      <c r="V12" s="1604">
        <f t="shared" ca="1" si="1"/>
        <v>0</v>
      </c>
      <c r="W12" s="3127"/>
      <c r="X12" s="1618" t="s">
        <v>2873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34"/>
      <c r="B13" s="2766" t="s">
        <v>2874</v>
      </c>
      <c r="C13" s="2767" t="s">
        <v>2875</v>
      </c>
      <c r="D13" s="1810" t="s">
        <v>2876</v>
      </c>
      <c r="E13" s="1810" t="s">
        <v>2877</v>
      </c>
      <c r="F13" s="30" t="s">
        <v>2878</v>
      </c>
      <c r="G13" s="2768" t="s">
        <v>2879</v>
      </c>
      <c r="H13" s="2768" t="s">
        <v>2879</v>
      </c>
      <c r="I13" s="2768" t="s">
        <v>2879</v>
      </c>
      <c r="J13" s="2769" t="s">
        <v>2879</v>
      </c>
      <c r="K13" s="1371"/>
      <c r="L13" s="1371"/>
      <c r="M13" s="1371"/>
      <c r="N13" s="1371"/>
      <c r="O13" s="1371"/>
      <c r="P13" s="1371"/>
      <c r="Q13" s="1371"/>
      <c r="R13" s="1604">
        <v>12</v>
      </c>
      <c r="S13" s="1605"/>
      <c r="T13" s="1604">
        <f t="shared" ca="1" si="0"/>
        <v>0</v>
      </c>
      <c r="U13" s="1605"/>
      <c r="V13" s="1604">
        <f t="shared" ca="1" si="1"/>
        <v>0</v>
      </c>
      <c r="W13" s="3127"/>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134"/>
      <c r="B14" s="2770"/>
      <c r="C14" s="2771"/>
      <c r="D14" s="2772"/>
      <c r="E14" s="2772"/>
      <c r="F14" s="2773"/>
      <c r="G14" s="2774" t="s">
        <v>2880</v>
      </c>
      <c r="H14" s="2775"/>
      <c r="I14" s="2776"/>
      <c r="J14" s="2777"/>
      <c r="K14" s="1371"/>
      <c r="L14" s="1371"/>
      <c r="M14" s="1371"/>
      <c r="N14" s="1371"/>
      <c r="O14" s="1371"/>
      <c r="P14" s="1371"/>
      <c r="Q14" s="1371"/>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35"/>
      <c r="B15" s="2778" t="s">
        <v>2881</v>
      </c>
      <c r="C15" s="228">
        <f>IF(C14="有",1.1,1)</f>
        <v>1</v>
      </c>
      <c r="D15" s="228">
        <f>IF(D14="有",1.1,1)</f>
        <v>1</v>
      </c>
      <c r="E15" s="228">
        <f>IF(E14="有",1.1,1)</f>
        <v>1</v>
      </c>
      <c r="F15" s="228">
        <f>IF(F14="500米范围内",1.2,IF(F14="500-1000米",1.1,1))</f>
        <v>1</v>
      </c>
      <c r="G15" s="948">
        <v>1</v>
      </c>
      <c r="H15" s="948">
        <v>1</v>
      </c>
      <c r="I15" s="948">
        <v>1</v>
      </c>
      <c r="J15" s="949">
        <v>1</v>
      </c>
      <c r="K15" s="1371"/>
      <c r="L15" s="2779" t="s">
        <v>2817</v>
      </c>
      <c r="M15" s="919" t="s">
        <v>2882</v>
      </c>
      <c r="N15" s="919" t="s">
        <v>2883</v>
      </c>
      <c r="O15" s="919" t="s">
        <v>2884</v>
      </c>
      <c r="P15" s="2780" t="s">
        <v>2885</v>
      </c>
      <c r="Q15" s="1371"/>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32" t="s">
        <v>2886</v>
      </c>
      <c r="B16" s="2747" t="s">
        <v>2887</v>
      </c>
      <c r="C16" s="1803">
        <f>ROUND(SUM(G17:J17)/C17,0)</f>
        <v>0</v>
      </c>
      <c r="D16" s="2781" t="s">
        <v>2888</v>
      </c>
      <c r="E16" s="2782"/>
      <c r="F16" s="2783"/>
      <c r="G16" s="2784"/>
      <c r="H16" s="2784"/>
      <c r="I16" s="2784"/>
      <c r="J16" s="2785"/>
      <c r="K16" s="1371"/>
      <c r="L16" s="2786" t="s">
        <v>2889</v>
      </c>
      <c r="M16" s="921">
        <v>0.25</v>
      </c>
      <c r="N16" s="921">
        <v>0.2</v>
      </c>
      <c r="O16" s="921">
        <v>0.15</v>
      </c>
      <c r="P16" s="1370">
        <v>0.1</v>
      </c>
      <c r="Q16" s="1371"/>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33"/>
      <c r="B17" s="2787" t="s">
        <v>2890</v>
      </c>
      <c r="C17" s="923">
        <f>SUMPRODUCT((修正!A2:A5=E2)*(修正!B1:M1=G2)*(修正!B2:M5))</f>
        <v>1</v>
      </c>
      <c r="D17" s="2788" t="s">
        <v>2891</v>
      </c>
      <c r="E17" s="922" t="str">
        <f>IF(OR(G2="八级",G2="九级",G2="十级",G2="十一级",G2="十二级"),"五通一平","七通一平")</f>
        <v>五通一平</v>
      </c>
      <c r="F17" s="923" t="s">
        <v>2892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9" t="s">
        <v>2893</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2894</v>
      </c>
      <c r="C18" s="925">
        <f>SUMIF(修正!C18:C39,E3,修正!E18:E39)</f>
        <v>1</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2895</v>
      </c>
      <c r="C19" s="926">
        <f>ROUND(IF(H19="按公示增长率计算",SUMPRODUCT((地价!A3:A20=YEAR(G19)&amp;"-"&amp;ROUNDUP(MONTH(G19)/3,0))*(地价!X2:AB2=E2)*(地价!X3:AB20)),IF(H19="地价指数",M20/M19,(1+I19)^O19)),4)</f>
        <v>1.2303999999999999</v>
      </c>
      <c r="D19" s="2799" t="s">
        <v>2896</v>
      </c>
      <c r="E19" s="927">
        <v>41640</v>
      </c>
      <c r="F19" s="2799" t="s">
        <v>2897</v>
      </c>
      <c r="G19" s="928">
        <f>'数据-取费表'!B2</f>
        <v>43061</v>
      </c>
      <c r="H19" s="2800" t="s">
        <v>2898</v>
      </c>
      <c r="I19" s="929" t="str">
        <f>IF(H19="季度增幅（自定义）",SUMIF(N21:N24,E2,O21:O24),"")</f>
        <v/>
      </c>
      <c r="J19" s="2797"/>
      <c r="K19" s="1378"/>
      <c r="L19" s="2801" t="s">
        <v>2899</v>
      </c>
      <c r="M19" s="1736">
        <f>ROUND(SUMIF(地价!B2:F2,E2,地价!B20:F20),0)</f>
        <v>230</v>
      </c>
      <c r="N19" s="2802" t="s">
        <v>2900</v>
      </c>
      <c r="O19" s="930">
        <f>ROUNDDOWN(DATEDIF(E19,G19,"M")/3,0)</f>
        <v>15</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2901</v>
      </c>
      <c r="C20" s="931">
        <f ca="1">ROUND(POWER(1+G20,J20-I20)*(POWER(1+G20,I20)-1)/(POWER(1+G20,J20)-1),4)</f>
        <v>0.9335</v>
      </c>
      <c r="D20" s="2808" t="s">
        <v>2902</v>
      </c>
      <c r="E20" s="1770">
        <f ca="1">存贷款利率!D4/100</f>
        <v>4.3499999999999997E-2</v>
      </c>
      <c r="F20" s="2808" t="s">
        <v>2893</v>
      </c>
      <c r="G20" s="936">
        <f ca="1">SUMIF(M15:P15,E2,M17:P17)</f>
        <v>4.8000000000000001E-2</v>
      </c>
      <c r="H20" s="2808" t="s">
        <v>2903</v>
      </c>
      <c r="I20" s="937">
        <f>SUMIF('数据-取费表'!C6:C15,E2,'数据-取费表'!F6:F15)/COUNTIF('数据-取费表'!C6:C15,E2)</f>
        <v>39.619999999999997</v>
      </c>
      <c r="J20" s="938">
        <f>IF(E2="住宅",70,IF(E2="商业",40,50))</f>
        <v>50</v>
      </c>
      <c r="K20" s="1378"/>
      <c r="L20" s="2809" t="s">
        <v>2904</v>
      </c>
      <c r="M20" s="1737">
        <f>ROUND(SUMPRODUCT((地价!A5:A20=YEAR(G19)&amp;"-"&amp;ROUNDUP(MONTH(G19)/3,0))*(地价!B2:F2=E2)*(地价!B5:F20)),0)</f>
        <v>283</v>
      </c>
      <c r="N20" s="2810" t="s">
        <v>2905</v>
      </c>
      <c r="O20" s="2811" t="s">
        <v>2906</v>
      </c>
      <c r="P20" s="2812" t="s">
        <v>2907</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2908</v>
      </c>
      <c r="C21" s="939" t="e">
        <f>IF(B21="容积率修正",IF(G3&lt;=10,D22,J22),C23)</f>
        <v>#DIV/0!</v>
      </c>
      <c r="D21" s="2815"/>
      <c r="E21" s="2815"/>
      <c r="F21" s="2815"/>
      <c r="G21" s="2815"/>
      <c r="H21" s="2815"/>
      <c r="I21" s="2815"/>
      <c r="J21" s="2816"/>
      <c r="K21" s="1378"/>
      <c r="N21" s="2817" t="s">
        <v>2909</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40" customFormat="1" ht="14.25">
      <c r="A22" s="2666" t="s">
        <v>2910</v>
      </c>
      <c r="B22" s="2818" t="s">
        <v>2911</v>
      </c>
      <c r="C22" s="1812" t="s">
        <v>2912</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8"/>
      <c r="N22" s="2817" t="s">
        <v>2913</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6" t="s">
        <v>2914</v>
      </c>
      <c r="B23" s="2819" t="s">
        <v>2915</v>
      </c>
      <c r="C23" s="1015" t="e">
        <f>ROUND(IF(G3&gt;1,IF(I3&lt;7,SUMPRODUCT((B93:B98=I3)*(C92:N92=G2)*(C93:N98)),SUMIF(C92:N92,G2,C100:N100)),IF(I3&lt;7,SUMPRODUCT((B102:B107=I3)*(C92:N92=G2)*(C102:N107)),SUMIF(C92:N92,G2,C109:N109))),4)</f>
        <v>#DIV/0!</v>
      </c>
      <c r="D23" s="2775"/>
      <c r="E23" s="2775"/>
      <c r="F23" s="2820"/>
      <c r="G23" s="2821"/>
      <c r="H23" s="2822"/>
      <c r="I23" s="2823"/>
      <c r="J23" s="2824"/>
      <c r="K23" s="1371"/>
      <c r="N23" s="2817" t="s">
        <v>2916</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2917</v>
      </c>
      <c r="C24" s="926">
        <f>SUMIF(A45:A88,E2,B45:B88)</f>
        <v>1</v>
      </c>
      <c r="D24" s="2795"/>
      <c r="E24" s="2825"/>
      <c r="F24" s="2825"/>
      <c r="G24" s="2825"/>
      <c r="H24" s="2825"/>
      <c r="I24" s="2825"/>
      <c r="J24" s="2826"/>
      <c r="K24" s="1378"/>
      <c r="N24" s="2827" t="s">
        <v>2918</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2919</v>
      </c>
      <c r="C25" s="932"/>
      <c r="D25" s="2750"/>
      <c r="E25" s="2750"/>
      <c r="F25" s="2829"/>
      <c r="G25" s="2750"/>
      <c r="H25" s="2750"/>
      <c r="I25" s="2750"/>
      <c r="J25" s="2751"/>
      <c r="K25" s="1371"/>
      <c r="N25" s="2830" t="s">
        <v>2920</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31"/>
      <c r="B26" s="2818" t="s">
        <v>2921</v>
      </c>
      <c r="C26" s="205" t="e">
        <f ca="1">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2922</v>
      </c>
      <c r="C27" s="933" t="e">
        <f ca="1">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2923</v>
      </c>
      <c r="C28" s="2842" t="s">
        <v>2924</v>
      </c>
      <c r="D28" s="2842" t="s">
        <v>2925</v>
      </c>
      <c r="E28" s="2843" t="s">
        <v>2926</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2927</v>
      </c>
      <c r="C29" s="205" t="e">
        <f ca="1">ROUND(C5*C18*C19*C20*C21*C24,0)</f>
        <v>#DIV/0!</v>
      </c>
      <c r="D29" s="2847"/>
      <c r="E29" s="944" t="e">
        <f ca="1">ROUND(C29*D29/10000,0)</f>
        <v>#DIV/0!</v>
      </c>
      <c r="F29" s="2848" t="s">
        <v>2928</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2929</v>
      </c>
      <c r="C30" s="228" t="e">
        <f ca="1">ROUND(IF(E2="工业",C29*M39,C29*M38),0)</f>
        <v>#DIV/0!</v>
      </c>
      <c r="D30" s="2853"/>
      <c r="E30" s="944" t="e">
        <f ca="1">ROUND(C30*D30/10000,0)</f>
        <v>#DIV/0!</v>
      </c>
      <c r="F30" s="2854" t="s">
        <v>2930</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2931</v>
      </c>
      <c r="C31" s="2859" t="s">
        <v>2932</v>
      </c>
      <c r="D31" s="2763"/>
      <c r="E31" s="2859"/>
      <c r="F31" s="2859"/>
      <c r="G31" s="2761" t="s">
        <v>2933</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2924</v>
      </c>
      <c r="D32" s="497" t="s">
        <v>2925</v>
      </c>
      <c r="E32" s="497" t="s">
        <v>2926</v>
      </c>
      <c r="F32" s="387" t="s">
        <v>2934</v>
      </c>
      <c r="G32" s="2862" t="s">
        <v>2924</v>
      </c>
      <c r="H32" s="2862" t="s">
        <v>2925</v>
      </c>
      <c r="I32" s="2862" t="s">
        <v>2926</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142" t="s">
        <v>2935</v>
      </c>
      <c r="B33" s="2863" t="s">
        <v>2936</v>
      </c>
      <c r="C33" s="205">
        <f ca="1">ROUND(D5*C19*C20*C24*F33,0)</f>
        <v>0</v>
      </c>
      <c r="D33" s="2847"/>
      <c r="E33" s="199">
        <f ca="1">ROUND(C33*D33/10000,0)</f>
        <v>0</v>
      </c>
      <c r="F33" s="199">
        <f>SUMIF(修正!A45:A56,G2,修正!B45:B56)</f>
        <v>0.6</v>
      </c>
      <c r="G33" s="199">
        <f t="shared" ref="G33:G39" ca="1" si="6">ROUND(IF(E2="工业",C33*$M$39,C33*$M$38),0)</f>
        <v>0</v>
      </c>
      <c r="H33" s="199">
        <f>D33</f>
        <v>0</v>
      </c>
      <c r="I33" s="199">
        <f ca="1">ROUND(G33*H33/10000,0)</f>
        <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143"/>
      <c r="B34" s="2767" t="s">
        <v>2937</v>
      </c>
      <c r="C34" s="205">
        <f ca="1">ROUND(D5*C19*C20*C24*F34,0)</f>
        <v>0</v>
      </c>
      <c r="D34" s="2847"/>
      <c r="E34" s="199">
        <f t="shared" ref="E34:E39" ca="1" si="7">ROUND(C34*D34/10000,0)</f>
        <v>0</v>
      </c>
      <c r="F34" s="199">
        <f>SUMIF(修正!A45:A56,G2,修正!C45:C56)</f>
        <v>0.3</v>
      </c>
      <c r="G34" s="199">
        <f t="shared" ca="1" si="6"/>
        <v>0</v>
      </c>
      <c r="H34" s="199">
        <f t="shared" ref="H34:H39" si="8">D34</f>
        <v>0</v>
      </c>
      <c r="I34" s="199">
        <f t="shared" ref="I34:I39" ca="1" si="9">ROUND(G34*H34/10000,0)</f>
        <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143"/>
      <c r="B35" s="2767" t="s">
        <v>2938</v>
      </c>
      <c r="C35" s="205">
        <f ca="1">ROUND(D5*C19*C20*C24*F35,0)</f>
        <v>0</v>
      </c>
      <c r="D35" s="2847"/>
      <c r="E35" s="199">
        <f t="shared" ca="1" si="7"/>
        <v>0</v>
      </c>
      <c r="F35" s="199">
        <f>SUMIF(修正!A45:A56,G2,修正!D45:D56)</f>
        <v>0.2</v>
      </c>
      <c r="G35" s="199">
        <f t="shared" ca="1" si="6"/>
        <v>0</v>
      </c>
      <c r="H35" s="199">
        <f t="shared" si="8"/>
        <v>0</v>
      </c>
      <c r="I35" s="199">
        <f t="shared" ca="1" si="9"/>
        <v>0</v>
      </c>
      <c r="J35" s="2864"/>
      <c r="K35" s="1371"/>
      <c r="L35" s="1371"/>
      <c r="M35" s="1371"/>
      <c r="N35" s="1371"/>
      <c r="O35" s="1371"/>
      <c r="P35" s="1371"/>
      <c r="Q35" s="1371"/>
      <c r="R35" s="1371"/>
      <c r="S35" s="1371"/>
      <c r="T35" s="1371"/>
      <c r="U35" s="1371"/>
      <c r="V35" s="1371"/>
      <c r="W35" s="1371"/>
      <c r="X35" s="1371"/>
      <c r="Y35" s="1371"/>
      <c r="Z35" s="1372"/>
    </row>
    <row r="36" spans="1:37" ht="13.5" thickBot="1">
      <c r="A36" s="3144"/>
      <c r="B36" s="2767" t="s">
        <v>2939</v>
      </c>
      <c r="C36" s="205">
        <f ca="1">ROUND(D5*C19*C20*C24*F36,0)</f>
        <v>0</v>
      </c>
      <c r="D36" s="2847"/>
      <c r="E36" s="199">
        <f t="shared" ca="1" si="7"/>
        <v>0</v>
      </c>
      <c r="F36" s="199">
        <f>SUMIF(修正!A45:A56,G2,修正!E45:E56)</f>
        <v>0.2</v>
      </c>
      <c r="G36" s="199">
        <f t="shared" ca="1" si="6"/>
        <v>0</v>
      </c>
      <c r="H36" s="199">
        <f t="shared" si="8"/>
        <v>0</v>
      </c>
      <c r="I36" s="199">
        <f t="shared" ca="1" si="9"/>
        <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2940</v>
      </c>
      <c r="C37" s="199">
        <f ca="1">ROUND(C5*C19*C20*C24*F37,0)</f>
        <v>227</v>
      </c>
      <c r="D37" s="2847"/>
      <c r="E37" s="199">
        <f t="shared" ca="1" si="7"/>
        <v>0</v>
      </c>
      <c r="F37" s="205">
        <f>SUMIF(修正!A45:A56,G2,修正!F45:F56)</f>
        <v>0.2</v>
      </c>
      <c r="G37" s="199">
        <f t="shared" ca="1" si="6"/>
        <v>57</v>
      </c>
      <c r="H37" s="199">
        <f t="shared" si="8"/>
        <v>0</v>
      </c>
      <c r="I37" s="199">
        <f t="shared" ca="1" si="9"/>
        <v>0</v>
      </c>
      <c r="J37" s="2864"/>
      <c r="K37" s="1371"/>
      <c r="L37" s="2866" t="s">
        <v>2941</v>
      </c>
      <c r="M37" s="2867"/>
      <c r="N37" s="1371"/>
      <c r="O37" s="1371"/>
      <c r="P37" s="1371"/>
      <c r="Q37" s="1371"/>
      <c r="R37" s="1371"/>
      <c r="S37" s="1371"/>
      <c r="T37" s="1371"/>
      <c r="U37" s="1371"/>
      <c r="V37" s="1371"/>
      <c r="W37" s="1371"/>
      <c r="X37" s="1371"/>
      <c r="Y37" s="1371"/>
      <c r="Z37" s="1372"/>
    </row>
    <row r="38" spans="1:37">
      <c r="A38" s="2865"/>
      <c r="B38" s="2767" t="s">
        <v>2942</v>
      </c>
      <c r="C38" s="199">
        <f ca="1">ROUND(C5*C19*C20*C24*F38,0)</f>
        <v>227</v>
      </c>
      <c r="D38" s="2847"/>
      <c r="E38" s="199">
        <f t="shared" ca="1" si="7"/>
        <v>0</v>
      </c>
      <c r="F38" s="205">
        <f>SUMIF(修正!A45:A56,G2,修正!G45:G56)</f>
        <v>0.2</v>
      </c>
      <c r="G38" s="199">
        <f t="shared" ca="1" si="6"/>
        <v>57</v>
      </c>
      <c r="H38" s="199">
        <f t="shared" si="8"/>
        <v>0</v>
      </c>
      <c r="I38" s="199">
        <f t="shared" ca="1" si="9"/>
        <v>0</v>
      </c>
      <c r="J38" s="2864"/>
      <c r="K38" s="1371"/>
      <c r="L38" s="1889" t="s">
        <v>2943</v>
      </c>
      <c r="M38" s="2868">
        <v>0.25</v>
      </c>
      <c r="N38" s="1371"/>
      <c r="O38" s="1371"/>
      <c r="P38" s="1371"/>
      <c r="Q38" s="1371"/>
      <c r="R38" s="1371"/>
      <c r="S38" s="1371"/>
      <c r="T38" s="1371"/>
      <c r="U38" s="1371"/>
      <c r="V38" s="1371"/>
      <c r="W38" s="1371"/>
      <c r="X38" s="1371"/>
      <c r="Y38" s="1371"/>
      <c r="Z38" s="1372"/>
    </row>
    <row r="39" spans="1:37" ht="13.5" thickBot="1">
      <c r="A39" s="2851"/>
      <c r="B39" s="2869" t="s">
        <v>2944</v>
      </c>
      <c r="C39" s="228">
        <f ca="1">ROUND(C5*C19*C20*C24*F39,0)</f>
        <v>171</v>
      </c>
      <c r="D39" s="2853"/>
      <c r="E39" s="228">
        <f t="shared" ca="1" si="7"/>
        <v>0</v>
      </c>
      <c r="F39" s="934">
        <f>SUMIF(修正!A45:A56,G2,修正!H45:H56)</f>
        <v>0.15</v>
      </c>
      <c r="G39" s="228" t="e">
        <f t="shared" si="6"/>
        <v>#DIV/0!</v>
      </c>
      <c r="H39" s="228">
        <f t="shared" si="8"/>
        <v>0</v>
      </c>
      <c r="I39" s="228" t="e">
        <f t="shared" si="9"/>
        <v>#DIV/0!</v>
      </c>
      <c r="J39" s="2870"/>
      <c r="K39" s="1371"/>
      <c r="L39" s="2871" t="s">
        <v>2885</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2945</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2946</v>
      </c>
      <c r="B46" s="2877">
        <f>1+E48</f>
        <v>1</v>
      </c>
      <c r="C46" s="2878"/>
      <c r="D46" s="813"/>
      <c r="E46" s="814"/>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2947</v>
      </c>
      <c r="B47" s="1811" t="s">
        <v>2948</v>
      </c>
      <c r="C47" s="1811" t="s">
        <v>2949</v>
      </c>
      <c r="D47" s="1811" t="s">
        <v>2950</v>
      </c>
      <c r="E47" s="818" t="s">
        <v>2951</v>
      </c>
      <c r="F47" s="2881" t="s">
        <v>2952</v>
      </c>
      <c r="G47" s="1811" t="s">
        <v>754</v>
      </c>
      <c r="H47" s="2882" t="s">
        <v>2953</v>
      </c>
      <c r="I47" s="1811" t="s">
        <v>2954</v>
      </c>
      <c r="J47" s="602" t="s">
        <v>2600</v>
      </c>
      <c r="K47" s="602" t="s">
        <v>2601</v>
      </c>
      <c r="L47" s="602" t="s">
        <v>2602</v>
      </c>
      <c r="M47" s="602" t="s">
        <v>2603</v>
      </c>
      <c r="N47" s="602" t="s">
        <v>2604</v>
      </c>
      <c r="AA47" s="1372"/>
      <c r="AB47" s="1372"/>
      <c r="AC47" s="1372"/>
      <c r="AD47" s="1372"/>
      <c r="AE47" s="1372"/>
      <c r="AF47" s="1372"/>
      <c r="AG47" s="1372"/>
      <c r="AH47" s="1372"/>
      <c r="AI47" s="1372"/>
      <c r="AJ47" s="1372"/>
      <c r="AK47" s="1372"/>
    </row>
    <row r="48" spans="1:37" s="1371" customFormat="1" ht="38.25">
      <c r="A48" s="2880" t="s">
        <v>2955</v>
      </c>
      <c r="B48" s="2883" t="str">
        <f>估价对象房地状况!C4</f>
        <v>估价对象位于XX商圈，周边商业氛围成熟，人流量大，商业繁华度好</v>
      </c>
      <c r="C48" s="2772"/>
      <c r="D48" s="1287">
        <f t="shared" ref="D48:D56" si="10">SUMIF($J$47:$N$47,C48,J48:N48)</f>
        <v>0</v>
      </c>
      <c r="E48" s="820">
        <f>ROUND(SUM(D48:D56),4)</f>
        <v>0</v>
      </c>
      <c r="F48" s="2503"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2956</v>
      </c>
      <c r="B49" s="2884" t="str">
        <f>估价对象房地状况!C18</f>
        <v>估价对象周边道路状况、公共交通通达情况、停车便捷程度，综合评价交通便捷度较好</v>
      </c>
      <c r="C49" s="2772"/>
      <c r="D49" s="1287">
        <f t="shared" si="10"/>
        <v>0</v>
      </c>
      <c r="E49" s="821"/>
      <c r="F49" s="2503"/>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2957</v>
      </c>
      <c r="B50" s="2884">
        <f>估价对象房地状况!C19</f>
        <v>0</v>
      </c>
      <c r="C50" s="2772"/>
      <c r="D50" s="1287">
        <f t="shared" si="10"/>
        <v>0</v>
      </c>
      <c r="E50" s="821"/>
      <c r="F50" s="2503"/>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2958</v>
      </c>
      <c r="B51" s="2885" t="s">
        <v>2959</v>
      </c>
      <c r="C51" s="2772"/>
      <c r="D51" s="1287">
        <f t="shared" si="10"/>
        <v>0</v>
      </c>
      <c r="E51" s="821"/>
      <c r="F51" s="2503"/>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2960</v>
      </c>
      <c r="B52" s="2884">
        <f>估价对象房地状况!C24</f>
        <v>0</v>
      </c>
      <c r="C52" s="2772"/>
      <c r="D52" s="1287">
        <f t="shared" si="10"/>
        <v>0</v>
      </c>
      <c r="E52" s="821"/>
      <c r="F52" s="2503"/>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2961</v>
      </c>
      <c r="B53" s="2886" t="s">
        <v>2962</v>
      </c>
      <c r="C53" s="2772"/>
      <c r="D53" s="1287">
        <f t="shared" si="10"/>
        <v>0</v>
      </c>
      <c r="E53" s="821"/>
      <c r="F53" s="2503"/>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2963</v>
      </c>
      <c r="B54" s="1727" t="str">
        <f>估价对象房地状况!C21</f>
        <v>估价对象所在区域公共配套设施齐备情况</v>
      </c>
      <c r="C54" s="2772"/>
      <c r="D54" s="1287">
        <f t="shared" si="10"/>
        <v>0</v>
      </c>
      <c r="E54" s="821"/>
      <c r="F54" s="2503"/>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2964</v>
      </c>
      <c r="B55" s="2884" t="str">
        <f>估价对象房地状况!C22</f>
        <v>估价对象所在区域基础设施水平</v>
      </c>
      <c r="C55" s="2772"/>
      <c r="D55" s="1287">
        <f t="shared" si="10"/>
        <v>0</v>
      </c>
      <c r="E55" s="821"/>
      <c r="F55" s="2503"/>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2965</v>
      </c>
      <c r="B56" s="2889" t="str">
        <f>估价对象房地状况!C20</f>
        <v>区域自然环境：；人文环境；综合评价环境状况一般</v>
      </c>
      <c r="C56" s="2772"/>
      <c r="D56" s="1287">
        <f t="shared" si="10"/>
        <v>0</v>
      </c>
      <c r="E56" s="824"/>
      <c r="F56" s="2503"/>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2966</v>
      </c>
      <c r="B57" s="2877">
        <f>1+E59</f>
        <v>1</v>
      </c>
      <c r="C57" s="813"/>
      <c r="D57" s="813"/>
      <c r="E57" s="814"/>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2947</v>
      </c>
      <c r="B58" s="1811"/>
      <c r="C58" s="1811" t="s">
        <v>2949</v>
      </c>
      <c r="D58" s="1811" t="s">
        <v>2950</v>
      </c>
      <c r="E58" s="818" t="s">
        <v>2951</v>
      </c>
      <c r="F58" s="2881" t="s">
        <v>2967</v>
      </c>
      <c r="G58" s="1811" t="s">
        <v>754</v>
      </c>
      <c r="H58" s="2882" t="s">
        <v>2953</v>
      </c>
      <c r="I58" s="1811" t="s">
        <v>2954</v>
      </c>
      <c r="J58" s="602" t="s">
        <v>2600</v>
      </c>
      <c r="K58" s="602" t="s">
        <v>2601</v>
      </c>
      <c r="L58" s="602" t="s">
        <v>2602</v>
      </c>
      <c r="M58" s="602" t="s">
        <v>2603</v>
      </c>
      <c r="N58" s="602" t="s">
        <v>2604</v>
      </c>
      <c r="AA58" s="1372"/>
      <c r="AB58" s="1372"/>
      <c r="AC58" s="1372"/>
      <c r="AD58" s="1372"/>
      <c r="AE58" s="1372"/>
      <c r="AF58" s="1372"/>
      <c r="AG58" s="1372"/>
      <c r="AH58" s="1372"/>
      <c r="AI58" s="1372"/>
      <c r="AJ58" s="1372"/>
      <c r="AK58" s="1372"/>
    </row>
    <row r="59" spans="1:37" s="1371" customFormat="1" ht="38.25">
      <c r="A59" s="2880" t="s">
        <v>2968</v>
      </c>
      <c r="B59" s="2883" t="str">
        <f>估价对象房地状况!C17</f>
        <v>估价对象位于XX商圈，周边办公楼项目较多，入驻率高，办公集聚程度较好</v>
      </c>
      <c r="C59" s="2772"/>
      <c r="D59" s="1287">
        <f t="shared" ref="D59:D67" si="15">SUMIF($J$58:$N$58,C59,J59:N59)</f>
        <v>0</v>
      </c>
      <c r="E59" s="820">
        <f>ROUND(SUM(D59:D67),4)</f>
        <v>0</v>
      </c>
      <c r="F59" s="2503"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2956</v>
      </c>
      <c r="B60" s="2884" t="str">
        <f>估价对象房地状况!C18</f>
        <v>估价对象周边道路状况、公共交通通达情况、停车便捷程度，综合评价交通便捷度较好</v>
      </c>
      <c r="C60" s="2772"/>
      <c r="D60" s="1287">
        <f t="shared" si="15"/>
        <v>0</v>
      </c>
      <c r="E60" s="821"/>
      <c r="F60" s="2503"/>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2957</v>
      </c>
      <c r="B61" s="2884">
        <f>估价对象房地状况!C19</f>
        <v>0</v>
      </c>
      <c r="C61" s="2772"/>
      <c r="D61" s="1287">
        <f t="shared" si="15"/>
        <v>0</v>
      </c>
      <c r="E61" s="821"/>
      <c r="F61" s="2503"/>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2958</v>
      </c>
      <c r="B62" s="2885" t="s">
        <v>2959</v>
      </c>
      <c r="C62" s="2772"/>
      <c r="D62" s="1287">
        <f t="shared" si="15"/>
        <v>0</v>
      </c>
      <c r="E62" s="821"/>
      <c r="F62" s="2503"/>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2960</v>
      </c>
      <c r="B63" s="2884">
        <f>估价对象房地状况!C24</f>
        <v>0</v>
      </c>
      <c r="C63" s="2772"/>
      <c r="D63" s="1287">
        <f t="shared" si="15"/>
        <v>0</v>
      </c>
      <c r="E63" s="821"/>
      <c r="F63" s="2503"/>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2961</v>
      </c>
      <c r="B64" s="2886" t="s">
        <v>2962</v>
      </c>
      <c r="C64" s="2772"/>
      <c r="D64" s="1287">
        <f t="shared" si="15"/>
        <v>0</v>
      </c>
      <c r="E64" s="821"/>
      <c r="F64" s="2503"/>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2963</v>
      </c>
      <c r="B65" s="1727" t="str">
        <f>估价对象房地状况!C21</f>
        <v>估价对象所在区域公共配套设施齐备情况</v>
      </c>
      <c r="C65" s="2772"/>
      <c r="D65" s="1287">
        <f t="shared" si="15"/>
        <v>0</v>
      </c>
      <c r="E65" s="821"/>
      <c r="F65" s="2503"/>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2964</v>
      </c>
      <c r="B66" s="1727" t="str">
        <f>估价对象房地状况!C22</f>
        <v>估价对象所在区域基础设施水平</v>
      </c>
      <c r="C66" s="2772"/>
      <c r="D66" s="1287">
        <f t="shared" si="15"/>
        <v>0</v>
      </c>
      <c r="E66" s="821"/>
      <c r="F66" s="2503"/>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2965</v>
      </c>
      <c r="B67" s="2890" t="str">
        <f>估价对象房地状况!C20</f>
        <v>区域自然环境：；人文环境；综合评价环境状况一般</v>
      </c>
      <c r="C67" s="2772"/>
      <c r="D67" s="1287">
        <f t="shared" si="15"/>
        <v>0</v>
      </c>
      <c r="E67" s="824"/>
      <c r="F67" s="2503"/>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2969</v>
      </c>
      <c r="B68" s="2877">
        <f>1+E70</f>
        <v>1</v>
      </c>
      <c r="C68" s="813"/>
      <c r="D68" s="813"/>
      <c r="E68" s="814"/>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2947</v>
      </c>
      <c r="B69" s="1811"/>
      <c r="C69" s="1811" t="s">
        <v>2949</v>
      </c>
      <c r="D69" s="1811" t="s">
        <v>2950</v>
      </c>
      <c r="E69" s="818" t="s">
        <v>2951</v>
      </c>
      <c r="F69" s="2881" t="s">
        <v>2967</v>
      </c>
      <c r="G69" s="1811" t="s">
        <v>754</v>
      </c>
      <c r="H69" s="2882" t="s">
        <v>2953</v>
      </c>
      <c r="I69" s="1811" t="s">
        <v>2954</v>
      </c>
      <c r="J69" s="602" t="s">
        <v>2600</v>
      </c>
      <c r="K69" s="602" t="s">
        <v>2601</v>
      </c>
      <c r="L69" s="602" t="s">
        <v>2602</v>
      </c>
      <c r="M69" s="602" t="s">
        <v>2603</v>
      </c>
      <c r="N69" s="602" t="s">
        <v>2604</v>
      </c>
      <c r="AA69" s="1372"/>
      <c r="AB69" s="1372"/>
      <c r="AC69" s="1372"/>
      <c r="AD69" s="1372"/>
      <c r="AE69" s="1372"/>
      <c r="AF69" s="1372"/>
      <c r="AG69" s="1372"/>
      <c r="AH69" s="1372"/>
      <c r="AI69" s="1372"/>
      <c r="AJ69" s="1372"/>
      <c r="AK69" s="1372"/>
    </row>
    <row r="70" spans="1:37" s="1371" customFormat="1" ht="51">
      <c r="A70" s="2880" t="s">
        <v>2970</v>
      </c>
      <c r="B70" s="2883" t="str">
        <f>估价对象房地状况!C15</f>
        <v>估价对象周边居住用地比例、居住小区规模和社区发展完善程度，综合评价居住社区成熟度一般</v>
      </c>
      <c r="C70" s="2772"/>
      <c r="D70" s="1287">
        <f t="shared" ref="D70:D78" si="20">SUMIF($J$69:$N$69,C70,J70:N70)</f>
        <v>0</v>
      </c>
      <c r="E70" s="820">
        <f>ROUND(SUM(D70:D78),4)</f>
        <v>0</v>
      </c>
      <c r="F70" s="2503"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2956</v>
      </c>
      <c r="B71" s="2884" t="str">
        <f>估价对象房地状况!C18</f>
        <v>估价对象周边道路状况、公共交通通达情况、停车便捷程度，综合评价交通便捷度较好</v>
      </c>
      <c r="C71" s="2772"/>
      <c r="D71" s="1287">
        <f t="shared" si="20"/>
        <v>0</v>
      </c>
      <c r="E71" s="825"/>
      <c r="F71" s="2503"/>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2957</v>
      </c>
      <c r="B72" s="2884">
        <f>估价对象房地状况!C19</f>
        <v>0</v>
      </c>
      <c r="C72" s="2772"/>
      <c r="D72" s="1287">
        <f t="shared" si="20"/>
        <v>0</v>
      </c>
      <c r="E72" s="825"/>
      <c r="F72" s="2503"/>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2971</v>
      </c>
      <c r="B73" s="2884">
        <f>估价对象房地状况!C24</f>
        <v>0</v>
      </c>
      <c r="C73" s="2772"/>
      <c r="D73" s="1287">
        <f t="shared" si="20"/>
        <v>0</v>
      </c>
      <c r="E73" s="825"/>
      <c r="F73" s="2503"/>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2963</v>
      </c>
      <c r="B74" s="1727" t="str">
        <f>估价对象房地状况!C21</f>
        <v>估价对象所在区域公共配套设施齐备情况</v>
      </c>
      <c r="C74" s="2772"/>
      <c r="D74" s="1287">
        <f t="shared" si="20"/>
        <v>0</v>
      </c>
      <c r="E74" s="825"/>
      <c r="F74" s="2503"/>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2964</v>
      </c>
      <c r="B75" s="1727" t="str">
        <f>估价对象房地状况!C22</f>
        <v>估价对象所在区域基础设施水平</v>
      </c>
      <c r="C75" s="2772"/>
      <c r="D75" s="1287">
        <f t="shared" si="20"/>
        <v>0</v>
      </c>
      <c r="E75" s="825"/>
      <c r="F75" s="2503"/>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2961</v>
      </c>
      <c r="B76" s="2886" t="s">
        <v>2962</v>
      </c>
      <c r="C76" s="2772"/>
      <c r="D76" s="1287">
        <f t="shared" si="20"/>
        <v>0</v>
      </c>
      <c r="E76" s="825"/>
      <c r="F76" s="2503"/>
      <c r="G76" s="1285"/>
      <c r="H76" s="1289" t="str">
        <f t="shared" si="21"/>
        <v>——</v>
      </c>
      <c r="I76" s="819">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2965</v>
      </c>
      <c r="B77" s="2883" t="str">
        <f>估价对象房地状况!C20</f>
        <v>区域自然环境：；人文环境；综合评价环境状况一般</v>
      </c>
      <c r="C77" s="2772"/>
      <c r="D77" s="1287">
        <f t="shared" si="20"/>
        <v>0</v>
      </c>
      <c r="E77" s="825"/>
      <c r="F77" s="2503"/>
      <c r="G77" s="1285"/>
      <c r="H77" s="1289" t="str">
        <f t="shared" si="21"/>
        <v>——</v>
      </c>
      <c r="I77" s="819">
        <v>0.15</v>
      </c>
      <c r="J77" s="1286">
        <f t="shared" si="22"/>
        <v>0</v>
      </c>
      <c r="K77" s="1286">
        <f t="shared" si="23"/>
        <v>0</v>
      </c>
      <c r="L77" s="1286">
        <v>0</v>
      </c>
      <c r="M77" s="1286">
        <f t="shared" si="24"/>
        <v>0</v>
      </c>
      <c r="N77" s="1286">
        <f t="shared" si="24"/>
        <v>0</v>
      </c>
      <c r="Z77" s="2722"/>
      <c r="AA77" s="2798"/>
      <c r="AG77" s="1373"/>
      <c r="AK77" s="2798"/>
    </row>
    <row r="78" spans="1:37" ht="24.75" thickBot="1">
      <c r="A78" s="2888" t="s">
        <v>2972</v>
      </c>
      <c r="B78" s="2892"/>
      <c r="C78" s="2772"/>
      <c r="D78" s="1287">
        <f t="shared" si="20"/>
        <v>0</v>
      </c>
      <c r="E78" s="826"/>
      <c r="F78" s="2503"/>
      <c r="G78" s="1285"/>
      <c r="H78" s="1289" t="str">
        <f t="shared" si="21"/>
        <v>——</v>
      </c>
      <c r="I78" s="823">
        <v>0.04</v>
      </c>
      <c r="J78" s="1286">
        <f t="shared" si="22"/>
        <v>0</v>
      </c>
      <c r="K78" s="1286">
        <f t="shared" si="23"/>
        <v>0</v>
      </c>
      <c r="L78" s="1286">
        <v>0</v>
      </c>
      <c r="M78" s="1286">
        <f t="shared" si="24"/>
        <v>0</v>
      </c>
      <c r="N78" s="1286">
        <f t="shared" si="24"/>
        <v>0</v>
      </c>
      <c r="Z78" s="2722"/>
      <c r="AA78" s="2798"/>
      <c r="AG78" s="1373"/>
      <c r="AK78" s="2798"/>
    </row>
    <row r="79" spans="1:37" ht="15">
      <c r="A79" s="2876" t="s">
        <v>2973</v>
      </c>
      <c r="B79" s="2877">
        <f>1+E81</f>
        <v>1</v>
      </c>
      <c r="C79" s="813"/>
      <c r="D79" s="813"/>
      <c r="E79" s="814"/>
      <c r="F79" s="2879"/>
      <c r="G79" s="6"/>
      <c r="H79" s="6"/>
      <c r="I79" s="6"/>
      <c r="J79" s="7"/>
      <c r="K79" s="7"/>
      <c r="L79" s="7"/>
      <c r="M79" s="7"/>
      <c r="N79" s="7"/>
      <c r="Z79" s="2722"/>
      <c r="AA79" s="2798"/>
      <c r="AG79" s="1373"/>
      <c r="AK79" s="2798"/>
    </row>
    <row r="80" spans="1:37" ht="24.75">
      <c r="A80" s="2880" t="s">
        <v>2947</v>
      </c>
      <c r="B80" s="1811"/>
      <c r="C80" s="1811" t="s">
        <v>2949</v>
      </c>
      <c r="D80" s="1811" t="s">
        <v>2950</v>
      </c>
      <c r="E80" s="818" t="s">
        <v>2951</v>
      </c>
      <c r="F80" s="2881" t="s">
        <v>2967</v>
      </c>
      <c r="G80" s="1811" t="s">
        <v>754</v>
      </c>
      <c r="H80" s="2882" t="s">
        <v>2953</v>
      </c>
      <c r="I80" s="1811" t="s">
        <v>2954</v>
      </c>
      <c r="J80" s="602" t="s">
        <v>2600</v>
      </c>
      <c r="K80" s="602" t="s">
        <v>2601</v>
      </c>
      <c r="L80" s="602" t="s">
        <v>2602</v>
      </c>
      <c r="M80" s="602" t="s">
        <v>2603</v>
      </c>
      <c r="N80" s="602" t="s">
        <v>2604</v>
      </c>
      <c r="Z80" s="2722"/>
      <c r="AA80" s="2798"/>
      <c r="AG80" s="1373"/>
      <c r="AK80" s="2798"/>
    </row>
    <row r="81" spans="1:37" ht="51">
      <c r="A81" s="2880" t="s">
        <v>2974</v>
      </c>
      <c r="B81" s="2884" t="str">
        <f>估价对象房地状况!G15</f>
        <v>估价对象位于通州联东U谷开发区，园区建设成熟度较好，产业集聚程度较好</v>
      </c>
      <c r="C81" s="2772"/>
      <c r="D81" s="1287">
        <f t="shared" ref="D81:D88" si="25">SUMIF($J$80:$N$80,C81,J81:N81)</f>
        <v>0</v>
      </c>
      <c r="E81" s="820">
        <f>ROUND(SUM(D81:D88),4)</f>
        <v>0</v>
      </c>
      <c r="F81" s="2503">
        <f>IF(E2="工业",SUMIF(L1:L12,G2,N1:N12),"——")</f>
        <v>0.05</v>
      </c>
      <c r="G81" s="1285"/>
      <c r="H81" s="1289">
        <f t="shared" ref="H81:H88" si="26">IFERROR(ROUNDDOWN($F$81*I81/2,4),"——")</f>
        <v>6.4999999999999997E-3</v>
      </c>
      <c r="I81" s="819">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2956</v>
      </c>
      <c r="B82" s="2884" t="str">
        <f>估价对象房地状况!G16</f>
        <v>估价对象周边道路状况、公共交通通达情况、停车便捷程度，综合评价交通便捷度一般</v>
      </c>
      <c r="C82" s="2772"/>
      <c r="D82" s="1287">
        <f t="shared" si="25"/>
        <v>0</v>
      </c>
      <c r="E82" s="825"/>
      <c r="F82" s="2503"/>
      <c r="G82" s="1285"/>
      <c r="H82" s="1289">
        <f t="shared" si="26"/>
        <v>8.2000000000000007E-3</v>
      </c>
      <c r="I82" s="819">
        <v>0.33</v>
      </c>
      <c r="J82" s="1286">
        <f t="shared" si="27"/>
        <v>0</v>
      </c>
      <c r="K82" s="1286">
        <f t="shared" si="28"/>
        <v>0</v>
      </c>
      <c r="L82" s="1286">
        <v>0</v>
      </c>
      <c r="M82" s="1286">
        <f t="shared" si="29"/>
        <v>0</v>
      </c>
      <c r="N82" s="1286">
        <f t="shared" si="29"/>
        <v>0</v>
      </c>
      <c r="Z82" s="2722"/>
      <c r="AA82" s="2798"/>
      <c r="AG82" s="1373"/>
      <c r="AK82" s="2798"/>
    </row>
    <row r="83" spans="1:37" ht="24">
      <c r="A83" s="2880" t="s">
        <v>2957</v>
      </c>
      <c r="B83" s="2884">
        <f>估价对象房地状况!G17</f>
        <v>0</v>
      </c>
      <c r="C83" s="2772"/>
      <c r="D83" s="1287">
        <f t="shared" si="25"/>
        <v>0</v>
      </c>
      <c r="E83" s="825"/>
      <c r="F83" s="2503"/>
      <c r="G83" s="1285"/>
      <c r="H83" s="1289">
        <f t="shared" si="26"/>
        <v>1.1999999999999999E-3</v>
      </c>
      <c r="I83" s="819">
        <v>0.05</v>
      </c>
      <c r="J83" s="1286">
        <f t="shared" si="27"/>
        <v>0</v>
      </c>
      <c r="K83" s="1286">
        <f t="shared" si="28"/>
        <v>0</v>
      </c>
      <c r="L83" s="1286">
        <v>0</v>
      </c>
      <c r="M83" s="1286">
        <f t="shared" si="29"/>
        <v>0</v>
      </c>
      <c r="N83" s="1286">
        <f t="shared" si="29"/>
        <v>0</v>
      </c>
      <c r="Z83" s="2722"/>
      <c r="AA83" s="2798"/>
      <c r="AG83" s="1373"/>
      <c r="AK83" s="2798"/>
    </row>
    <row r="84" spans="1:37" ht="14.25">
      <c r="A84" s="2880" t="s">
        <v>2971</v>
      </c>
      <c r="B84" s="2884">
        <f>估价对象房地状况!G22</f>
        <v>0</v>
      </c>
      <c r="C84" s="2772"/>
      <c r="D84" s="1287">
        <f t="shared" si="25"/>
        <v>0</v>
      </c>
      <c r="E84" s="825"/>
      <c r="F84" s="2503"/>
      <c r="G84" s="1285"/>
      <c r="H84" s="1289">
        <f t="shared" si="26"/>
        <v>1E-3</v>
      </c>
      <c r="I84" s="819">
        <v>0.04</v>
      </c>
      <c r="J84" s="1286">
        <f t="shared" si="27"/>
        <v>0</v>
      </c>
      <c r="K84" s="1286">
        <f t="shared" si="28"/>
        <v>0</v>
      </c>
      <c r="L84" s="1286">
        <v>0</v>
      </c>
      <c r="M84" s="1286">
        <f t="shared" si="29"/>
        <v>0</v>
      </c>
      <c r="N84" s="1286">
        <f t="shared" si="29"/>
        <v>0</v>
      </c>
      <c r="Z84" s="2722"/>
      <c r="AA84" s="2798"/>
      <c r="AG84" s="1373"/>
      <c r="AK84" s="2798"/>
    </row>
    <row r="85" spans="1:37" ht="25.5">
      <c r="A85" s="2880" t="s">
        <v>2963</v>
      </c>
      <c r="B85" s="1727" t="str">
        <f>估价对象房地状况!G19</f>
        <v>估价对象所在区域公共配套设施齐备情况一般</v>
      </c>
      <c r="C85" s="2772"/>
      <c r="D85" s="1287">
        <f t="shared" si="25"/>
        <v>0</v>
      </c>
      <c r="E85" s="825"/>
      <c r="F85" s="2503"/>
      <c r="G85" s="1285"/>
      <c r="H85" s="1289">
        <f t="shared" si="26"/>
        <v>1.5E-3</v>
      </c>
      <c r="I85" s="819">
        <v>0.06</v>
      </c>
      <c r="J85" s="1286">
        <f t="shared" si="27"/>
        <v>0</v>
      </c>
      <c r="K85" s="1286">
        <f t="shared" si="28"/>
        <v>0</v>
      </c>
      <c r="L85" s="1286">
        <v>0</v>
      </c>
      <c r="M85" s="1286">
        <f t="shared" si="29"/>
        <v>0</v>
      </c>
      <c r="N85" s="1286">
        <f t="shared" si="29"/>
        <v>0</v>
      </c>
      <c r="Z85" s="2722"/>
      <c r="AA85" s="2798"/>
      <c r="AG85" s="1373"/>
      <c r="AK85" s="2798"/>
    </row>
    <row r="86" spans="1:37" ht="25.5">
      <c r="A86" s="2880" t="s">
        <v>2964</v>
      </c>
      <c r="B86" s="1727" t="str">
        <f>估价对象房地状况!G20</f>
        <v>估价对象所在区域基础设施一般</v>
      </c>
      <c r="C86" s="2772"/>
      <c r="D86" s="1287">
        <f t="shared" si="25"/>
        <v>0</v>
      </c>
      <c r="E86" s="825"/>
      <c r="F86" s="2503"/>
      <c r="G86" s="1285"/>
      <c r="H86" s="1289">
        <f t="shared" si="26"/>
        <v>3.7000000000000002E-3</v>
      </c>
      <c r="I86" s="819">
        <v>0.15</v>
      </c>
      <c r="J86" s="1286">
        <f t="shared" si="27"/>
        <v>0</v>
      </c>
      <c r="K86" s="1286">
        <f t="shared" si="28"/>
        <v>0</v>
      </c>
      <c r="L86" s="1286">
        <v>0</v>
      </c>
      <c r="M86" s="1286">
        <f t="shared" si="29"/>
        <v>0</v>
      </c>
      <c r="N86" s="1286">
        <f t="shared" si="29"/>
        <v>0</v>
      </c>
      <c r="Z86" s="2722"/>
      <c r="AA86" s="2798"/>
      <c r="AG86" s="1373"/>
      <c r="AK86" s="2798"/>
    </row>
    <row r="87" spans="1:37" ht="24">
      <c r="A87" s="2880" t="s">
        <v>2961</v>
      </c>
      <c r="B87" s="2886" t="s">
        <v>2975</v>
      </c>
      <c r="C87" s="2772"/>
      <c r="D87" s="1287">
        <f t="shared" si="25"/>
        <v>0</v>
      </c>
      <c r="E87" s="825"/>
      <c r="F87" s="2503"/>
      <c r="G87" s="1285"/>
      <c r="H87" s="1289">
        <f t="shared" si="26"/>
        <v>1.1999999999999999E-3</v>
      </c>
      <c r="I87" s="819">
        <v>0.05</v>
      </c>
      <c r="J87" s="1286">
        <f t="shared" si="27"/>
        <v>0</v>
      </c>
      <c r="K87" s="1286">
        <f t="shared" si="28"/>
        <v>0</v>
      </c>
      <c r="L87" s="1286">
        <v>0</v>
      </c>
      <c r="M87" s="1286">
        <f t="shared" si="29"/>
        <v>0</v>
      </c>
      <c r="N87" s="1286">
        <f t="shared" si="29"/>
        <v>0</v>
      </c>
      <c r="Z87" s="2722"/>
      <c r="AA87" s="2798"/>
      <c r="AG87" s="1373"/>
      <c r="AK87" s="2798"/>
    </row>
    <row r="88" spans="1:37" ht="39" thickBot="1">
      <c r="A88" s="2888" t="s">
        <v>2976</v>
      </c>
      <c r="B88" s="2893" t="str">
        <f>估价对象房地状况!G18</f>
        <v>该园区内是否有污染型企业，绿化情况，卫生条件，整体环境状况一般</v>
      </c>
      <c r="C88" s="2772"/>
      <c r="D88" s="1287">
        <f t="shared" si="25"/>
        <v>0</v>
      </c>
      <c r="E88" s="826"/>
      <c r="F88" s="2503"/>
      <c r="G88" s="1285"/>
      <c r="H88" s="1289">
        <f t="shared" si="26"/>
        <v>1.5E-3</v>
      </c>
      <c r="I88" s="823">
        <v>0.06</v>
      </c>
      <c r="J88" s="1286">
        <f t="shared" si="27"/>
        <v>0</v>
      </c>
      <c r="K88" s="1286">
        <f t="shared" si="28"/>
        <v>0</v>
      </c>
      <c r="L88" s="1286">
        <v>0</v>
      </c>
      <c r="M88" s="1286">
        <f t="shared" si="29"/>
        <v>0</v>
      </c>
      <c r="N88" s="1286">
        <f t="shared" si="29"/>
        <v>0</v>
      </c>
      <c r="Z88" s="2722"/>
      <c r="AA88" s="2798"/>
      <c r="AG88" s="1373"/>
      <c r="AK88" s="2798"/>
    </row>
    <row r="90" spans="1:37">
      <c r="A90" s="3136" t="s">
        <v>2977</v>
      </c>
      <c r="B90" s="3136"/>
      <c r="C90" s="3136"/>
      <c r="D90" s="3136"/>
      <c r="E90" s="3136"/>
      <c r="F90" s="3136"/>
      <c r="G90" s="3136"/>
      <c r="H90" s="3136"/>
      <c r="I90" s="3136"/>
      <c r="J90" s="3136"/>
      <c r="K90" s="2894"/>
      <c r="L90" s="2894"/>
      <c r="M90" s="2894"/>
      <c r="N90" s="2894"/>
    </row>
    <row r="91" spans="1:37">
      <c r="A91" s="3138" t="s">
        <v>2978</v>
      </c>
      <c r="B91" s="3138" t="s">
        <v>2979</v>
      </c>
      <c r="C91" s="2848" t="s">
        <v>2980</v>
      </c>
      <c r="D91" s="2849"/>
      <c r="E91" s="2849"/>
      <c r="F91" s="2849"/>
      <c r="G91" s="2849"/>
      <c r="H91" s="2849"/>
      <c r="I91" s="2849"/>
      <c r="J91" s="2895"/>
      <c r="K91" s="2896"/>
      <c r="L91" s="2896"/>
      <c r="M91" s="2896"/>
      <c r="N91" s="2896"/>
    </row>
    <row r="92" spans="1:37">
      <c r="A92" s="3138"/>
      <c r="B92" s="3138"/>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139" t="s">
        <v>2981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4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4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4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4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4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40"/>
      <c r="B99" s="2897" t="s">
        <v>2860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4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39" t="s">
        <v>2982</v>
      </c>
      <c r="B101" s="2901" t="s">
        <v>2983</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140"/>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140"/>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140"/>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140"/>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140"/>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140"/>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140"/>
      <c r="B108" s="3098" t="s">
        <v>2984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41"/>
      <c r="B109" s="3099"/>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137" t="s">
        <v>2985</v>
      </c>
      <c r="B110" s="3137"/>
      <c r="C110" s="3137"/>
      <c r="D110" s="3137"/>
      <c r="E110" s="3137"/>
      <c r="F110" s="3137"/>
      <c r="G110" s="3137"/>
      <c r="H110" s="3137"/>
      <c r="I110" s="3137"/>
      <c r="J110" s="3137"/>
      <c r="K110" s="2903"/>
      <c r="L110" s="2903"/>
      <c r="M110" s="2903"/>
      <c r="N110" s="2903"/>
    </row>
    <row r="112" spans="1:14" ht="13.5" thickBot="1"/>
    <row r="113" spans="1:13" ht="25.5" thickBot="1">
      <c r="A113" s="902" t="s">
        <v>2986</v>
      </c>
      <c r="B113" s="1288" t="e">
        <f>G3</f>
        <v>#DIV/0!</v>
      </c>
      <c r="C113" s="903" t="s">
        <v>2987</v>
      </c>
      <c r="D113" s="904" t="e">
        <f>SUMPRODUCT((A115:A118=F113)*(B114:M114=H113)*B115:M118)</f>
        <v>#DIV/0!</v>
      </c>
      <c r="E113" s="2726" t="s">
        <v>2817</v>
      </c>
      <c r="F113" s="2905" t="str">
        <f>E2</f>
        <v>工业</v>
      </c>
      <c r="G113" s="2726" t="s">
        <v>2818</v>
      </c>
      <c r="H113" s="2905" t="str">
        <f>G2</f>
        <v>八级</v>
      </c>
      <c r="I113" s="2726"/>
      <c r="J113" s="2906"/>
      <c r="K113" s="2906"/>
      <c r="L113" s="2906"/>
      <c r="M113" s="2906"/>
    </row>
    <row r="114" spans="1:13">
      <c r="A114" s="907"/>
      <c r="B114" s="2907" t="s">
        <v>2988</v>
      </c>
      <c r="C114" s="2907" t="s">
        <v>2989</v>
      </c>
      <c r="D114" s="2907" t="s">
        <v>2990</v>
      </c>
      <c r="E114" s="2908" t="s">
        <v>2991</v>
      </c>
      <c r="F114" s="2908" t="s">
        <v>2992</v>
      </c>
      <c r="G114" s="2908" t="s">
        <v>2993</v>
      </c>
      <c r="H114" s="2909" t="s">
        <v>2994</v>
      </c>
      <c r="I114" s="2909" t="s">
        <v>2995</v>
      </c>
      <c r="J114" s="2910" t="s">
        <v>2996</v>
      </c>
      <c r="K114" s="2910" t="s">
        <v>2997</v>
      </c>
      <c r="L114" s="2910" t="s">
        <v>2998</v>
      </c>
      <c r="M114" s="2911" t="s">
        <v>2999</v>
      </c>
    </row>
    <row r="115" spans="1:13">
      <c r="A115" s="908" t="s">
        <v>2882</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2883</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2884</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2885</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39" t="str">
        <f>项目基本情况!B1</f>
        <v>北京市通州区环科中路16号38幢1至4层101工业用房预评估</v>
      </c>
      <c r="C37" s="2939"/>
      <c r="D37" s="2939"/>
      <c r="E37" s="2939"/>
      <c r="F37" s="2939"/>
      <c r="G37" s="2939"/>
      <c r="H37" s="2939"/>
      <c r="I37" s="2939"/>
    </row>
    <row r="38" spans="1:9">
      <c r="A38" s="1018"/>
      <c r="B38" s="1018"/>
    </row>
    <row r="39" spans="1:9">
      <c r="A39" s="1016" t="s">
        <v>818</v>
      </c>
      <c r="B39" s="1016" t="s">
        <v>820</v>
      </c>
    </row>
    <row r="40" spans="1:9">
      <c r="A40" s="1016"/>
      <c r="B40" s="1944" t="str">
        <f>项目基本情况!B5</f>
        <v>北京宏强富瑞技术有限公司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欧红伟（注册号：1120000080)、梁津（注册号：1119970066)</v>
      </c>
    </row>
    <row r="47" spans="1:9">
      <c r="A47" s="1016"/>
      <c r="B47" s="1016" t="str">
        <f>项目基本情况!K5</f>
        <v/>
      </c>
    </row>
    <row r="48" spans="1:9">
      <c r="A48" s="1016" t="s">
        <v>818</v>
      </c>
      <c r="B48" s="1016" t="s">
        <v>824</v>
      </c>
    </row>
    <row r="49" spans="2:2">
      <c r="B49" s="1944" t="str">
        <f>"康正预评字"&amp;项目基本情况!B2&amp;"号"</f>
        <v>康正预评字2017-1-1039-P01DYGJ1号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3008</v>
      </c>
    </row>
    <row r="2" spans="1:5" ht="15.75">
      <c r="A2" s="2912" t="s">
        <v>3000</v>
      </c>
      <c r="B2" s="2913" t="e">
        <f ca="1">SUMIF(B6:B13,"&lt;&gt;#ref!",B6:B13)</f>
        <v>#DIV/0!</v>
      </c>
      <c r="C2" s="2912" t="s">
        <v>3001</v>
      </c>
      <c r="D2" s="2912" t="s">
        <v>3002</v>
      </c>
      <c r="E2" s="2913" t="e">
        <f ca="1">SUM(E6:E13)</f>
        <v>#REF!</v>
      </c>
    </row>
    <row r="3" spans="1:5" ht="15.75">
      <c r="A3" s="2912" t="s">
        <v>3003</v>
      </c>
      <c r="B3" s="2913" t="e">
        <f ca="1">ROUND(B2*10000/E2,0)</f>
        <v>#DIV/0!</v>
      </c>
      <c r="C3" s="2912" t="s">
        <v>3009</v>
      </c>
      <c r="D3" s="2914"/>
      <c r="E3" s="2914"/>
    </row>
    <row r="4" spans="1:5" ht="15.75">
      <c r="A4" s="2915"/>
      <c r="B4" s="2914"/>
      <c r="C4" s="2914"/>
      <c r="D4" s="2914"/>
      <c r="E4" s="2914"/>
    </row>
    <row r="5" spans="1:5" ht="28.5">
      <c r="A5" s="2916" t="s">
        <v>3004</v>
      </c>
      <c r="B5" s="2912" t="s">
        <v>3005</v>
      </c>
      <c r="C5" s="2913"/>
      <c r="D5" s="2914"/>
      <c r="E5" s="2912" t="s">
        <v>3006</v>
      </c>
    </row>
    <row r="6" spans="1:5" ht="15.75">
      <c r="A6" s="2917" t="s">
        <v>3007</v>
      </c>
      <c r="B6" s="2913" t="e">
        <f ca="1">SUMIF(INDIRECT("'"&amp;A6&amp;"'"&amp;"!A:A"),"总价",INDIRECT("'"&amp;A6&amp;"'"&amp;"!B:B"))</f>
        <v>#DIV/0!</v>
      </c>
      <c r="C6" s="2912" t="s">
        <v>3001</v>
      </c>
      <c r="D6" s="2914"/>
      <c r="E6" s="2577">
        <f ca="1">SUMIF(INDIRECT("'"&amp;A6&amp;"'"&amp;"!C:C"),"建筑面积",INDIRECT("'"&amp;A6&amp;"'"&amp;"!D:D"))</f>
        <v>0</v>
      </c>
    </row>
    <row r="7" spans="1:5" ht="15.75">
      <c r="A7" s="2917"/>
      <c r="B7" s="2913" t="e">
        <f ca="1">SUMIF(INDIRECT("'"&amp;A7&amp;"'"&amp;"!A:A"),"总价",INDIRECT("'"&amp;A7&amp;"'"&amp;"!B:B"))</f>
        <v>#REF!</v>
      </c>
      <c r="C7" s="2912" t="s">
        <v>3001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3001</v>
      </c>
      <c r="D8" s="2914"/>
      <c r="E8" s="2577" t="e">
        <f t="shared" ca="1" si="0"/>
        <v>#REF!</v>
      </c>
    </row>
    <row r="9" spans="1:5" ht="15.75">
      <c r="A9" s="2917"/>
      <c r="B9" s="2913" t="e">
        <f t="shared" ca="1" si="1"/>
        <v>#REF!</v>
      </c>
      <c r="C9" s="2912" t="s">
        <v>3001</v>
      </c>
      <c r="D9" s="2914"/>
      <c r="E9" s="2577" t="e">
        <f t="shared" ca="1" si="0"/>
        <v>#REF!</v>
      </c>
    </row>
    <row r="10" spans="1:5" ht="15.75">
      <c r="A10" s="2917"/>
      <c r="B10" s="2913" t="e">
        <f t="shared" ca="1" si="1"/>
        <v>#REF!</v>
      </c>
      <c r="C10" s="2912" t="s">
        <v>3001</v>
      </c>
      <c r="D10" s="2914"/>
      <c r="E10" s="2577" t="e">
        <f t="shared" ca="1" si="0"/>
        <v>#REF!</v>
      </c>
    </row>
    <row r="11" spans="1:5" ht="15.75">
      <c r="A11" s="2917"/>
      <c r="B11" s="2913" t="e">
        <f t="shared" ca="1" si="1"/>
        <v>#REF!</v>
      </c>
      <c r="C11" s="2912" t="s">
        <v>3001</v>
      </c>
      <c r="D11" s="2914"/>
      <c r="E11" s="2577" t="e">
        <f t="shared" ca="1" si="0"/>
        <v>#REF!</v>
      </c>
    </row>
    <row r="12" spans="1:5" ht="15.75">
      <c r="A12" s="2917"/>
      <c r="B12" s="2913" t="e">
        <f t="shared" ca="1" si="1"/>
        <v>#REF!</v>
      </c>
      <c r="C12" s="2912" t="s">
        <v>3001</v>
      </c>
      <c r="D12" s="2914"/>
      <c r="E12" s="2577" t="e">
        <f t="shared" ca="1" si="0"/>
        <v>#REF!</v>
      </c>
    </row>
    <row r="13" spans="1:5" ht="15.75">
      <c r="A13" s="2917"/>
      <c r="B13" s="2913" t="e">
        <f t="shared" ca="1" si="1"/>
        <v>#REF!</v>
      </c>
      <c r="C13" s="2912" t="s">
        <v>3001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6" sqref="G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c r="C1" s="241"/>
      <c r="D1" s="241"/>
      <c r="E1" s="241"/>
      <c r="F1" s="241"/>
      <c r="G1" s="1380">
        <f>MATCH(B1,'数据-取费表'!A6:A16,0)+5</f>
        <v>7</v>
      </c>
    </row>
    <row r="2" spans="1:9" s="243" customFormat="1" ht="18" customHeight="1">
      <c r="A2" s="244" t="s">
        <v>2330</v>
      </c>
      <c r="B2" s="245">
        <f ca="1">IF(D2="——",C52,C52-E2)</f>
        <v>1692</v>
      </c>
      <c r="C2" s="242" t="s">
        <v>2331</v>
      </c>
      <c r="D2" s="2549" t="s">
        <v>70</v>
      </c>
      <c r="E2" s="1441" t="e">
        <f ca="1">SUMIF(INDIRECT("'"&amp;G2&amp;"'"&amp;"!A:A"),"承租人权益价值",INDIRECT("'"&amp;G2&amp;"'"&amp;"!c:c"))</f>
        <v>#REF!</v>
      </c>
      <c r="F2" s="2550" t="s">
        <v>2331</v>
      </c>
      <c r="G2" s="2551"/>
    </row>
    <row r="3" spans="1:9" s="243" customFormat="1" ht="18" customHeight="1" thickBot="1">
      <c r="A3" s="246" t="s">
        <v>2332</v>
      </c>
      <c r="B3" s="247">
        <f ca="1">ROUND(B2*10000/(IF(B1="",'数据-汇总表'!E3,INDIRECT("'数据-取费表'!k"&amp;$G$1))),0)</f>
        <v>3526</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C6+C7+C8</f>
        <v>0</v>
      </c>
      <c r="D5" s="254" t="s">
        <v>2337</v>
      </c>
      <c r="E5" s="255" t="s">
        <v>2338</v>
      </c>
      <c r="F5" s="255" t="s">
        <v>2339</v>
      </c>
      <c r="G5" s="256"/>
    </row>
    <row r="6" spans="1:9" s="257" customFormat="1" ht="13.5" customHeight="1">
      <c r="A6" s="951" t="s">
        <v>2340</v>
      </c>
      <c r="B6" s="258" t="s">
        <v>2341</v>
      </c>
      <c r="C6" s="259"/>
      <c r="D6" s="260"/>
      <c r="E6" s="261"/>
      <c r="F6" s="261"/>
      <c r="G6" s="262"/>
    </row>
    <row r="7" spans="1:9" s="257" customFormat="1" ht="13.5" customHeight="1">
      <c r="A7" s="951" t="s">
        <v>2342</v>
      </c>
      <c r="B7" s="258" t="s">
        <v>2343</v>
      </c>
      <c r="C7" s="263">
        <f>ROUND(C6*F7,0)</f>
        <v>0</v>
      </c>
      <c r="D7" s="263"/>
      <c r="E7" s="261"/>
      <c r="F7" s="264">
        <f>'数据-取费表'!B48+'数据-取费表'!B49</f>
        <v>3.0499999999999999E-2</v>
      </c>
      <c r="G7" s="262"/>
    </row>
    <row r="8" spans="1:9" s="266" customFormat="1">
      <c r="A8" s="951" t="s">
        <v>2344</v>
      </c>
      <c r="B8" s="258" t="s">
        <v>2345</v>
      </c>
      <c r="C8" s="263">
        <f>IF(G8="已包含在土地购买价格中","0",IF(B1="",'数据-取费表'!B29,IF(G9="全部缴纳",C9+C10,H9)))</f>
        <v>0</v>
      </c>
      <c r="D8" s="265"/>
      <c r="E8" s="263"/>
      <c r="F8" s="264"/>
      <c r="G8" s="2552"/>
    </row>
    <row r="9" spans="1:9" s="257" customFormat="1" ht="13.5" customHeight="1">
      <c r="A9" s="952" t="s">
        <v>800</v>
      </c>
      <c r="B9" s="267" t="s">
        <v>2346</v>
      </c>
      <c r="C9" s="268">
        <f ca="1">ROUND(D9*E9/10000,0)</f>
        <v>0</v>
      </c>
      <c r="D9" s="1034">
        <f ca="1">IF(B1="",'数据-汇总表'!E5,IF(INDIRECT("'数据-取费表'!c"&amp;$G$1)="住宅",INDIRECT("'数据-取费表'!k"&amp;$G$1),0))</f>
        <v>0</v>
      </c>
      <c r="E9" s="268">
        <f>'数据-取费表'!B27</f>
        <v>0</v>
      </c>
      <c r="F9" s="264"/>
      <c r="G9" s="2553"/>
      <c r="H9" s="1391"/>
      <c r="I9" s="2554" t="s">
        <v>2347</v>
      </c>
    </row>
    <row r="10" spans="1:9" s="257" customFormat="1" ht="13.5" customHeight="1">
      <c r="A10" s="952" t="s">
        <v>801</v>
      </c>
      <c r="B10" s="267" t="s">
        <v>2348</v>
      </c>
      <c r="C10" s="268">
        <f ca="1">ROUND(D10*E10/10000,0)</f>
        <v>0</v>
      </c>
      <c r="D10" s="1034">
        <f ca="1">IF(B1="",'数据-汇总表'!E6,IF(INDIRECT("'数据-取费表'!c"&amp;$G$1)="住宅",INDIRECT("'数据-取费表'!s"&amp;$G$1),INDIRECT("'数据-取费表'!k"&amp;$G$1)+INDIRECT("'数据-取费表'!s"&amp;$G$1)))</f>
        <v>4799.08</v>
      </c>
      <c r="E10" s="268">
        <f>'数据-取费表'!B28</f>
        <v>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2352</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2352</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f ca="1">IF(G19="已包含在土地取得成本中","0",ROUND(D19*E19/10000,0))</f>
        <v>72</v>
      </c>
      <c r="D19" s="1038">
        <f ca="1">D9+D10</f>
        <v>4799.08</v>
      </c>
      <c r="E19" s="254">
        <f>'数据-取费表'!B31</f>
        <v>150</v>
      </c>
      <c r="F19" s="274"/>
      <c r="G19" s="2552"/>
    </row>
    <row r="20" spans="1:7" s="257" customFormat="1" ht="13.5" customHeight="1">
      <c r="A20" s="298" t="s">
        <v>2361</v>
      </c>
      <c r="B20" s="253" t="s">
        <v>2362</v>
      </c>
      <c r="C20" s="275">
        <f ca="1">ROUND((C5+C19)*F20,0)</f>
        <v>1</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5">
        <f ca="1">ROUND(SUM(C23:C25),0)</f>
        <v>5</v>
      </c>
      <c r="D22" s="278">
        <f ca="1">C26</f>
        <v>6.9999999999999999E-4</v>
      </c>
      <c r="E22" s="279" t="s">
        <v>2366</v>
      </c>
      <c r="F22" s="280">
        <f ca="1">'数据-取费表'!B40</f>
        <v>4.7500000000000001E-2</v>
      </c>
      <c r="G22" s="277" t="str">
        <f>IF('数据-取费表'!B22&lt;=1,"单利计息","复利计息")</f>
        <v>复利计息</v>
      </c>
    </row>
    <row r="23" spans="1:7" s="257" customFormat="1" ht="13.5" customHeight="1">
      <c r="A23" s="953" t="s">
        <v>2370</v>
      </c>
      <c r="B23" s="258" t="s">
        <v>2371</v>
      </c>
      <c r="C23" s="1356">
        <f ca="1">ROUND(IF('数据-取费表'!B22&lt;=1,C5*F22*'数据-取费表'!B23,C5*(POWER((1+F22),'数据-取费表'!B23)-1)),0)</f>
        <v>0</v>
      </c>
      <c r="D23" s="281"/>
      <c r="E23" s="281"/>
      <c r="F23" s="282"/>
      <c r="G23" s="283" t="s">
        <v>2372</v>
      </c>
    </row>
    <row r="24" spans="1:7" s="257" customFormat="1" ht="13.5" customHeight="1">
      <c r="A24" s="953" t="s">
        <v>2373</v>
      </c>
      <c r="B24" s="258" t="s">
        <v>2374</v>
      </c>
      <c r="C24" s="1356">
        <f ca="1">ROUND(IF('数据-取费表'!B22&lt;=1,C19*F22*('数据-取费表'!B19/2+'数据-取费表'!B21),C19*(POWER((1+F22),('数据-取费表'!B19/2+'数据-取费表'!B21))-1)),0)</f>
        <v>5</v>
      </c>
      <c r="D24" s="281"/>
      <c r="E24" s="281"/>
      <c r="F24" s="282"/>
      <c r="G24" s="283" t="s">
        <v>2375</v>
      </c>
    </row>
    <row r="25" spans="1:7" s="257" customFormat="1" ht="24">
      <c r="A25" s="953" t="s">
        <v>2376</v>
      </c>
      <c r="B25" s="258" t="s">
        <v>2377</v>
      </c>
      <c r="C25" s="1356">
        <f ca="1">ROUND(IF('数据-取费表'!B22&lt;=1,C20*F22*'数据-取费表'!B23/2,C20*(POWER((1+F22),'数据-取费表'!B23/2)-1)),0)</f>
        <v>0</v>
      </c>
      <c r="D25" s="281"/>
      <c r="E25" s="284"/>
      <c r="F25" s="282"/>
      <c r="G25" s="285" t="s">
        <v>2378</v>
      </c>
    </row>
    <row r="26" spans="1:7" s="257" customFormat="1">
      <c r="A26" s="953" t="s">
        <v>795</v>
      </c>
      <c r="B26" s="258" t="s">
        <v>2379</v>
      </c>
      <c r="C26" s="281">
        <f ca="1">ROUND(IF('数据-取费表'!B22&lt;=1,F21*F22*'数据-取费表'!B23/2,F21*(POWER((1+F22),'数据-取费表'!B23/2)-1)),4)</f>
        <v>6.9999999999999999E-4</v>
      </c>
      <c r="D26" s="281"/>
      <c r="E26" s="284"/>
      <c r="F26" s="282"/>
      <c r="G26" s="286"/>
    </row>
    <row r="27" spans="1:7" s="257" customFormat="1" ht="24.75">
      <c r="A27" s="298" t="s">
        <v>2380</v>
      </c>
      <c r="B27" s="287" t="s">
        <v>2381</v>
      </c>
      <c r="C27" s="288">
        <f ca="1">C28</f>
        <v>7</v>
      </c>
      <c r="D27" s="278">
        <f ca="1">C29</f>
        <v>2E-3</v>
      </c>
      <c r="E27" s="279" t="s">
        <v>2382</v>
      </c>
      <c r="F27" s="289">
        <f ca="1">IF(B1="",'数据-取费表'!Q16,INDIRECT("'数据-取费表'!q"&amp;$G$1))</f>
        <v>0.1</v>
      </c>
      <c r="G27" s="290" t="s">
        <v>2383</v>
      </c>
    </row>
    <row r="28" spans="1:7" s="257" customFormat="1" ht="13.5" customHeight="1">
      <c r="A28" s="953" t="s">
        <v>791</v>
      </c>
      <c r="B28" s="291" t="s">
        <v>2384</v>
      </c>
      <c r="C28" s="292">
        <f ca="1">ROUND((C5+C19+C20)*F27*'数据-取费表'!B21/'数据-取费表'!B20,0)</f>
        <v>7</v>
      </c>
      <c r="D28" s="278"/>
      <c r="E28" s="279"/>
      <c r="F28" s="289"/>
      <c r="G28" s="290"/>
    </row>
    <row r="29" spans="1:7" s="257" customFormat="1" ht="13.5" customHeight="1">
      <c r="A29" s="953" t="s">
        <v>792</v>
      </c>
      <c r="B29" s="291" t="s">
        <v>2385</v>
      </c>
      <c r="C29" s="281">
        <f ca="1">ROUND(C21*F27*'数据-取费表'!B21/'数据-取费表'!B20,4)</f>
        <v>2E-3</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92</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1374</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1200</v>
      </c>
      <c r="D34" s="260"/>
      <c r="E34" s="263"/>
      <c r="F34" s="300">
        <f ca="1">IF('数据-取费表'!B24=0,1,IF(B1="",'数据-取费表'!N16,INDIRECT("'数据-取费表'!n"&amp;$G$1)))</f>
        <v>1</v>
      </c>
      <c r="G34" s="262" t="s">
        <v>2394</v>
      </c>
    </row>
    <row r="35" spans="1:7" ht="13.5" customHeight="1">
      <c r="A35" s="953" t="s">
        <v>796</v>
      </c>
      <c r="B35" s="258" t="s">
        <v>2395</v>
      </c>
      <c r="C35" s="263">
        <f ca="1">ROUND(C34*F35,0)</f>
        <v>60</v>
      </c>
      <c r="D35" s="263"/>
      <c r="E35" s="263"/>
      <c r="F35" s="302">
        <f>'数据-取费表'!B33</f>
        <v>0.05</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3" t="s">
        <v>798</v>
      </c>
      <c r="B37" s="258" t="s">
        <v>2399</v>
      </c>
      <c r="C37" s="292">
        <f ca="1">ROUND(E37*D37*F34/10000,0)</f>
        <v>96</v>
      </c>
      <c r="D37" s="260">
        <f ca="1">D19</f>
        <v>4799.08</v>
      </c>
      <c r="E37" s="292">
        <f>'数据-取费表'!B35</f>
        <v>200</v>
      </c>
      <c r="F37" s="302"/>
      <c r="G37" s="304" t="s">
        <v>2400</v>
      </c>
    </row>
    <row r="38" spans="1:7" ht="13.5" customHeight="1">
      <c r="A38" s="953" t="s">
        <v>799</v>
      </c>
      <c r="B38" s="258" t="s">
        <v>2401</v>
      </c>
      <c r="C38" s="263">
        <f ca="1">ROUND(C34*F38,0)</f>
        <v>18</v>
      </c>
      <c r="D38" s="263"/>
      <c r="E38" s="263"/>
      <c r="F38" s="302">
        <f>'数据-取费表'!B36</f>
        <v>1.4999999999999999E-2</v>
      </c>
      <c r="G38" s="262" t="s">
        <v>2396</v>
      </c>
    </row>
    <row r="39" spans="1:7" s="257" customFormat="1" ht="13.5" customHeight="1">
      <c r="A39" s="298" t="s">
        <v>2402</v>
      </c>
      <c r="B39" s="253" t="s">
        <v>2403</v>
      </c>
      <c r="C39" s="275">
        <f ca="1">ROUND(C33*F20,0)</f>
        <v>27</v>
      </c>
      <c r="D39" s="275"/>
      <c r="E39" s="275"/>
      <c r="F39" s="276"/>
      <c r="G39" s="277" t="s">
        <v>2404</v>
      </c>
    </row>
    <row r="40" spans="1:7" s="257" customFormat="1" ht="13.5" customHeight="1">
      <c r="A40" s="298" t="s">
        <v>2405</v>
      </c>
      <c r="B40" s="253" t="s">
        <v>2406</v>
      </c>
      <c r="C40" s="1730">
        <f>F21</f>
        <v>0.02</v>
      </c>
      <c r="D40" s="279" t="s">
        <v>2407</v>
      </c>
      <c r="E40" s="275"/>
      <c r="F40" s="276"/>
      <c r="G40" s="277" t="s">
        <v>2408</v>
      </c>
    </row>
    <row r="41" spans="1:7" s="257" customFormat="1" ht="13.5" customHeight="1">
      <c r="A41" s="298" t="s">
        <v>2409</v>
      </c>
      <c r="B41" s="253" t="s">
        <v>2410</v>
      </c>
      <c r="C41" s="275">
        <f ca="1">ROUND(SUM(C42:C43),0)</f>
        <v>50</v>
      </c>
      <c r="D41" s="278">
        <f ca="1">C44</f>
        <v>6.9999999999999999E-4</v>
      </c>
      <c r="E41" s="279" t="s">
        <v>2407</v>
      </c>
      <c r="F41" s="280"/>
      <c r="G41" s="277" t="str">
        <f>IF('数据-取费表'!B22&lt;=1,"单利计息","复利计息")</f>
        <v>复利计息</v>
      </c>
    </row>
    <row r="42" spans="1:7" ht="13.5" customHeight="1">
      <c r="A42" s="953" t="s">
        <v>791</v>
      </c>
      <c r="B42" s="258" t="s">
        <v>2411</v>
      </c>
      <c r="C42" s="281">
        <f ca="1">ROUND(IF('数据-取费表'!B22&lt;=1,C33*F22*'数据-取费表'!B21/2,C33*(POWER((1+F22),'数据-取费表'!B21/2)-1)),0)</f>
        <v>49</v>
      </c>
      <c r="D42" s="281"/>
      <c r="E42" s="281"/>
      <c r="F42" s="282"/>
      <c r="G42" s="3145" t="s">
        <v>2412</v>
      </c>
    </row>
    <row r="43" spans="1:7" ht="13.5" customHeight="1">
      <c r="A43" s="953" t="s">
        <v>792</v>
      </c>
      <c r="B43" s="258" t="s">
        <v>2413</v>
      </c>
      <c r="C43" s="281">
        <f ca="1">ROUND(IF('数据-取费表'!B22&lt;=1,C39*F22*'数据-取费表'!B21/2,C39*(POWER((1+F22),'数据-取费表'!B21/2)-1)),0)</f>
        <v>1</v>
      </c>
      <c r="D43" s="281"/>
      <c r="E43" s="281"/>
      <c r="F43" s="282"/>
      <c r="G43" s="3146"/>
    </row>
    <row r="44" spans="1:7" ht="13.5" customHeight="1">
      <c r="A44" s="953" t="s">
        <v>793</v>
      </c>
      <c r="B44" s="258" t="s">
        <v>2414</v>
      </c>
      <c r="C44" s="281">
        <f ca="1">ROUND(IF('数据-取费表'!B22&lt;=1,C40*F22*'数据-取费表'!B21/2,C40*(POWER((1+F22),'数据-取费表'!B21/2)-1)),4)</f>
        <v>6.9999999999999999E-4</v>
      </c>
      <c r="D44" s="281"/>
      <c r="E44" s="281"/>
      <c r="F44" s="282"/>
      <c r="G44" s="3147"/>
    </row>
    <row r="45" spans="1:7" s="257" customFormat="1" ht="13.5" customHeight="1">
      <c r="A45" s="298" t="s">
        <v>2415</v>
      </c>
      <c r="B45" s="287" t="s">
        <v>2381</v>
      </c>
      <c r="C45" s="288">
        <f ca="1">C46</f>
        <v>140</v>
      </c>
      <c r="D45" s="278">
        <f ca="1">C47</f>
        <v>2E-3</v>
      </c>
      <c r="E45" s="279" t="s">
        <v>2407</v>
      </c>
      <c r="F45" s="289"/>
      <c r="G45" s="290" t="s">
        <v>2416</v>
      </c>
    </row>
    <row r="46" spans="1:7" s="257" customFormat="1" ht="13.5" customHeight="1">
      <c r="A46" s="953" t="s">
        <v>791</v>
      </c>
      <c r="B46" s="291" t="s">
        <v>2417</v>
      </c>
      <c r="C46" s="292">
        <f ca="1">ROUND((C33+C39)*F27,0)</f>
        <v>140</v>
      </c>
      <c r="D46" s="306"/>
      <c r="E46" s="279"/>
      <c r="F46" s="289"/>
      <c r="G46" s="290"/>
    </row>
    <row r="47" spans="1:7" s="257" customFormat="1" ht="13.5" customHeight="1">
      <c r="A47" s="953" t="s">
        <v>792</v>
      </c>
      <c r="B47" s="291" t="s">
        <v>2418</v>
      </c>
      <c r="C47" s="281">
        <f ca="1">ROUND(C40*F27,4)</f>
        <v>2E-3</v>
      </c>
      <c r="D47" s="306"/>
      <c r="E47" s="279"/>
      <c r="F47" s="289"/>
      <c r="G47" s="290"/>
    </row>
    <row r="48" spans="1:7" s="257" customFormat="1" ht="13.5" customHeight="1">
      <c r="A48" s="298" t="s">
        <v>2380</v>
      </c>
      <c r="B48" s="253" t="s">
        <v>2419</v>
      </c>
      <c r="C48" s="1730">
        <f>ROUND(F30/(1+'数据-取费表'!C42),4)</f>
        <v>5.2400000000000002E-2</v>
      </c>
      <c r="D48" s="279" t="s">
        <v>2407</v>
      </c>
      <c r="E48" s="275"/>
      <c r="F48" s="280"/>
      <c r="G48" s="277" t="s">
        <v>2420</v>
      </c>
    </row>
    <row r="49" spans="1:7" ht="16.5" customHeight="1">
      <c r="A49" s="298" t="s">
        <v>2386</v>
      </c>
      <c r="B49" s="253" t="s">
        <v>2421</v>
      </c>
      <c r="C49" s="275">
        <f ca="1">ROUND((C33+C39+C41+C45)/(1-C40-D41-D45-C48),0)</f>
        <v>1720</v>
      </c>
      <c r="D49" s="275"/>
      <c r="E49" s="275"/>
      <c r="F49" s="307"/>
      <c r="G49" s="277" t="s">
        <v>2422</v>
      </c>
    </row>
    <row r="50" spans="1:7" s="301" customFormat="1" ht="24">
      <c r="A50" s="298" t="s">
        <v>2423</v>
      </c>
      <c r="B50" s="253" t="s">
        <v>2424</v>
      </c>
      <c r="C50" s="275"/>
      <c r="D50" s="275"/>
      <c r="E50" s="275"/>
      <c r="F50" s="307">
        <f>IF('数据-取费表'!B24=0,'数据-取费表'!N16,1)</f>
        <v>0.93</v>
      </c>
      <c r="G50" s="290" t="s">
        <v>2425</v>
      </c>
    </row>
    <row r="51" spans="1:7" ht="16.5" customHeight="1">
      <c r="A51" s="298" t="s">
        <v>2426</v>
      </c>
      <c r="B51" s="253" t="s">
        <v>2427</v>
      </c>
      <c r="C51" s="275">
        <f ca="1">ROUND(C49*F50,0)</f>
        <v>1600</v>
      </c>
      <c r="D51" s="275"/>
      <c r="E51" s="275"/>
      <c r="F51" s="307"/>
      <c r="G51" s="277" t="s">
        <v>2428</v>
      </c>
    </row>
    <row r="52" spans="1:7" s="251" customFormat="1" ht="16.5" thickBot="1">
      <c r="A52" s="308" t="s">
        <v>2429</v>
      </c>
      <c r="B52" s="309"/>
      <c r="C52" s="310">
        <f ca="1">C31+C51</f>
        <v>1692</v>
      </c>
      <c r="D52" s="309"/>
      <c r="E52" s="309"/>
      <c r="F52" s="309"/>
      <c r="G52" s="311"/>
    </row>
    <row r="55" spans="1:7" ht="15">
      <c r="B55" s="313" t="s">
        <v>2430</v>
      </c>
      <c r="C55" s="314"/>
    </row>
    <row r="56" spans="1:7">
      <c r="B56" s="316" t="s">
        <v>1515</v>
      </c>
      <c r="C56" s="318">
        <f ca="1">1-C57</f>
        <v>5.4000000000000048E-2</v>
      </c>
    </row>
    <row r="57" spans="1:7">
      <c r="B57" s="316" t="s">
        <v>1516</v>
      </c>
      <c r="C57" s="317">
        <f ca="1">ROUND(C51/C52,3)</f>
        <v>0.94599999999999995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9"/>
      <c r="C1" s="2555" t="s">
        <v>2431</v>
      </c>
      <c r="D1" s="241"/>
      <c r="E1" s="241"/>
      <c r="F1" s="241"/>
      <c r="G1" s="1380">
        <f>MATCH(B1,'数据-取费表'!A6:A16,0)+5</f>
        <v>7</v>
      </c>
      <c r="H1" s="1283" t="str">
        <f>IF(ISERROR(FIND("住宅",B1)),"非住宅","住宅")</f>
        <v>非住宅</v>
      </c>
    </row>
    <row r="2" spans="1:8" s="243" customFormat="1" ht="18" customHeight="1">
      <c r="A2" s="244" t="s">
        <v>2330</v>
      </c>
      <c r="B2" s="245">
        <f ca="1">ROUND(IF(D2="——",C52/10000,C52/10000-E2),0)</f>
        <v>1693</v>
      </c>
      <c r="C2" s="242" t="s">
        <v>2331</v>
      </c>
      <c r="D2" s="2549" t="s">
        <v>70</v>
      </c>
      <c r="E2" s="1441" t="e">
        <f ca="1">SUMIF(INDIRECT("'"&amp;G2&amp;"'"&amp;"!A:A"),"承租人权益价值",INDIRECT("'"&amp;G2&amp;"'"&amp;"!c:c"))</f>
        <v>#REF!</v>
      </c>
      <c r="F2" s="2550" t="s">
        <v>2331</v>
      </c>
      <c r="G2" s="2551"/>
    </row>
    <row r="3" spans="1:8" s="243" customFormat="1" ht="18" customHeight="1" thickBot="1">
      <c r="A3" s="246" t="s">
        <v>2332</v>
      </c>
      <c r="B3" s="247">
        <f ca="1">ROUND(B2*10000/(IF(B1="",'数据-汇总表'!E3,INDIRECT("'数据-取费表'!k"&amp;$G$1))),0)</f>
        <v>3528</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0</v>
      </c>
      <c r="D5" s="254" t="s">
        <v>2337</v>
      </c>
      <c r="E5" s="255" t="s">
        <v>2338</v>
      </c>
      <c r="F5" s="255" t="s">
        <v>2339</v>
      </c>
      <c r="G5" s="256"/>
    </row>
    <row r="6" spans="1:8" s="257" customFormat="1" ht="13.5" customHeight="1">
      <c r="A6" s="951" t="s">
        <v>2340</v>
      </c>
      <c r="B6" s="258" t="s">
        <v>2341</v>
      </c>
      <c r="C6" s="259"/>
      <c r="D6" s="260"/>
      <c r="E6" s="261"/>
      <c r="F6" s="261"/>
      <c r="G6" s="262"/>
    </row>
    <row r="7" spans="1:8" s="257" customFormat="1" ht="13.5" customHeight="1">
      <c r="A7" s="951" t="s">
        <v>2342</v>
      </c>
      <c r="B7" s="258" t="s">
        <v>2343</v>
      </c>
      <c r="C7" s="263">
        <f>ROUND(C6*F7,0)</f>
        <v>0</v>
      </c>
      <c r="D7" s="263"/>
      <c r="E7" s="261"/>
      <c r="F7" s="264">
        <f>'数据-取费表'!B48+'数据-取费表'!B49</f>
        <v>3.0499999999999999E-2</v>
      </c>
      <c r="G7" s="262"/>
    </row>
    <row r="8" spans="1:8" s="266" customFormat="1">
      <c r="A8" s="951" t="s">
        <v>2344</v>
      </c>
      <c r="B8" s="258" t="s">
        <v>2345</v>
      </c>
      <c r="C8" s="263">
        <f ca="1">IF(G8="已包含在土地购买价格中",0,C9+C10)</f>
        <v>0</v>
      </c>
      <c r="D8" s="265"/>
      <c r="E8" s="263"/>
      <c r="F8" s="264"/>
      <c r="G8" s="2552"/>
    </row>
    <row r="9" spans="1:8" s="257" customFormat="1" ht="13.5" customHeight="1">
      <c r="A9" s="952" t="s">
        <v>800</v>
      </c>
      <c r="B9" s="267" t="s">
        <v>2346</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2348</v>
      </c>
      <c r="C10" s="268">
        <f ca="1">ROUND(D10*E10,0)</f>
        <v>0</v>
      </c>
      <c r="D10" s="1034">
        <f ca="1">IF(B1="",'数据-汇总表'!E6,IF(INDIRECT("'数据-取费表'!c"&amp;$G$1)="住宅",INDIRECT("'数据-取费表'!s"&amp;$G$1),INDIRECT("'数据-取费表'!k"&amp;$G$1)+INDIRECT("'数据-取费表'!s"&amp;$G$1)))</f>
        <v>4799.08</v>
      </c>
      <c r="E10" s="268">
        <f>'数据-取费表'!B28</f>
        <v>0</v>
      </c>
      <c r="F10" s="264"/>
      <c r="G10" s="269"/>
    </row>
    <row r="11" spans="1:8" s="257" customFormat="1" ht="13.5" hidden="1" customHeight="1">
      <c r="A11" s="270" t="s">
        <v>7</v>
      </c>
      <c r="B11" s="258" t="s">
        <v>2349</v>
      </c>
      <c r="C11" s="254"/>
      <c r="D11" s="1036"/>
      <c r="E11" s="261"/>
      <c r="F11" s="261"/>
      <c r="G11" s="262"/>
    </row>
    <row r="12" spans="1:8" s="257" customFormat="1" ht="13.5" hidden="1" customHeight="1">
      <c r="A12" s="270" t="s">
        <v>8</v>
      </c>
      <c r="B12" s="258" t="s">
        <v>2432</v>
      </c>
      <c r="C12" s="254">
        <v>0</v>
      </c>
      <c r="D12" s="1036"/>
      <c r="E12" s="271"/>
      <c r="F12" s="264">
        <v>3.0499999999999999E-2</v>
      </c>
      <c r="G12" s="262"/>
    </row>
    <row r="13" spans="1:8" s="257" customFormat="1" ht="13.5" hidden="1" customHeight="1">
      <c r="A13" s="270" t="s">
        <v>9</v>
      </c>
      <c r="B13" s="258" t="s">
        <v>2433</v>
      </c>
      <c r="C13" s="254"/>
      <c r="D13" s="1036"/>
      <c r="E13" s="261"/>
      <c r="F13" s="261"/>
      <c r="G13" s="262"/>
    </row>
    <row r="14" spans="1:8" s="257" customFormat="1" ht="13.5" hidden="1" customHeight="1">
      <c r="A14" s="270" t="s">
        <v>10</v>
      </c>
      <c r="B14" s="258" t="s">
        <v>2345</v>
      </c>
      <c r="C14" s="254"/>
      <c r="D14" s="1036"/>
      <c r="E14" s="261"/>
      <c r="F14" s="261"/>
      <c r="G14" s="262" t="s">
        <v>2434</v>
      </c>
    </row>
    <row r="15" spans="1:8" s="257" customFormat="1" ht="13.5" hidden="1" customHeight="1">
      <c r="A15" s="270" t="s">
        <v>11</v>
      </c>
      <c r="B15" s="258" t="s">
        <v>2435</v>
      </c>
      <c r="C15" s="263"/>
      <c r="D15" s="1036"/>
      <c r="E15" s="261"/>
      <c r="F15" s="261"/>
      <c r="G15" s="262" t="s">
        <v>2436</v>
      </c>
    </row>
    <row r="16" spans="1:8" s="257" customFormat="1" ht="13.5" hidden="1" customHeight="1">
      <c r="A16" s="270" t="s">
        <v>12</v>
      </c>
      <c r="B16" s="258" t="s">
        <v>2345</v>
      </c>
      <c r="C16" s="263"/>
      <c r="D16" s="1036"/>
      <c r="E16" s="261"/>
      <c r="F16" s="261"/>
      <c r="G16" s="262"/>
    </row>
    <row r="17" spans="1:7" s="257" customFormat="1" ht="13.5" hidden="1" customHeight="1">
      <c r="A17" s="270" t="s">
        <v>13</v>
      </c>
      <c r="B17" s="258" t="s">
        <v>2437</v>
      </c>
      <c r="C17" s="272"/>
      <c r="D17" s="1037"/>
      <c r="E17" s="272"/>
      <c r="F17" s="272"/>
      <c r="G17" s="262" t="s">
        <v>2436</v>
      </c>
    </row>
    <row r="18" spans="1:7" s="257" customFormat="1" ht="13.5" hidden="1" customHeight="1">
      <c r="A18" s="270" t="s">
        <v>14</v>
      </c>
      <c r="B18" s="258" t="s">
        <v>2438</v>
      </c>
      <c r="C18" s="263">
        <v>0</v>
      </c>
      <c r="D18" s="1036"/>
      <c r="E18" s="261"/>
      <c r="F18" s="264">
        <v>3.0499999999999999E-2</v>
      </c>
      <c r="G18" s="262" t="s">
        <v>2439</v>
      </c>
    </row>
    <row r="19" spans="1:7" s="266" customFormat="1" ht="13.5" customHeight="1">
      <c r="A19" s="298" t="s">
        <v>2440</v>
      </c>
      <c r="B19" s="253" t="s">
        <v>2441</v>
      </c>
      <c r="C19" s="254">
        <f ca="1">IF(G19="已包含在土地取得成本中","0",ROUND(D19*E19,0))</f>
        <v>719862</v>
      </c>
      <c r="D19" s="1038">
        <f ca="1">D9+D10</f>
        <v>4799.08</v>
      </c>
      <c r="E19" s="254">
        <f>'数据-取费表'!B31</f>
        <v>150</v>
      </c>
      <c r="F19" s="274"/>
      <c r="G19" s="2552"/>
    </row>
    <row r="20" spans="1:7" s="257" customFormat="1" ht="13.5" customHeight="1">
      <c r="A20" s="298" t="s">
        <v>2442</v>
      </c>
      <c r="B20" s="253" t="s">
        <v>2443</v>
      </c>
      <c r="C20" s="275">
        <f ca="1">ROUND((C5+C19)*F20,0)</f>
        <v>14397</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81">
        <f ca="1">ROUND(SUM(C23:C25),0)</f>
        <v>52405</v>
      </c>
      <c r="D22" s="278">
        <f ca="1">C26</f>
        <v>6.9999999999999999E-4</v>
      </c>
      <c r="E22" s="279" t="s">
        <v>2447</v>
      </c>
      <c r="F22" s="280">
        <f ca="1">'数据-取费表'!B40</f>
        <v>4.7500000000000001E-2</v>
      </c>
      <c r="G22" s="277" t="str">
        <f>IF('数据-取费表'!B22&lt;=1,"单利计息","复利计息")</f>
        <v>复利计息</v>
      </c>
    </row>
    <row r="23" spans="1:7" s="257" customFormat="1" ht="13.5" customHeight="1">
      <c r="A23" s="953" t="s">
        <v>2340</v>
      </c>
      <c r="B23" s="258" t="s">
        <v>2451</v>
      </c>
      <c r="C23" s="1382">
        <f ca="1">ROUND(IF('数据-取费表'!B22&lt;=1,C5*F22*'数据-取费表'!B22,C5*(POWER((1+F22),'数据-取费表'!B22)-1)),0)</f>
        <v>0</v>
      </c>
      <c r="D23" s="281"/>
      <c r="E23" s="281"/>
      <c r="F23" s="282"/>
      <c r="G23" s="283" t="s">
        <v>2452</v>
      </c>
    </row>
    <row r="24" spans="1:7" s="257" customFormat="1" ht="13.5" customHeight="1">
      <c r="A24" s="953" t="s">
        <v>2342</v>
      </c>
      <c r="B24" s="258" t="s">
        <v>2453</v>
      </c>
      <c r="C24" s="1382">
        <f ca="1">ROUND(IF('数据-取费表'!B22&lt;=1,C19*F22*('数据-取费表'!B19/2+'数据-取费表'!B20),C19*(POWER((1+F22),('数据-取费表'!B19/2+'数据-取费表'!B20))-1)),0)</f>
        <v>51895</v>
      </c>
      <c r="D24" s="281"/>
      <c r="E24" s="281"/>
      <c r="F24" s="282"/>
      <c r="G24" s="283" t="s">
        <v>2454</v>
      </c>
    </row>
    <row r="25" spans="1:7" s="257" customFormat="1" ht="24">
      <c r="A25" s="953" t="s">
        <v>2344</v>
      </c>
      <c r="B25" s="258" t="s">
        <v>2455</v>
      </c>
      <c r="C25" s="1382">
        <f ca="1">ROUND(IF('数据-取费表'!B22&lt;=1,C20*F22*'数据-取费表'!B22/2,C20*(POWER((1+F22),'数据-取费表'!B22/2)-1)),0)</f>
        <v>510</v>
      </c>
      <c r="D25" s="281"/>
      <c r="E25" s="284"/>
      <c r="F25" s="282"/>
      <c r="G25" s="285" t="s">
        <v>2456</v>
      </c>
    </row>
    <row r="26" spans="1:7" s="257" customFormat="1">
      <c r="A26" s="953" t="s">
        <v>795</v>
      </c>
      <c r="B26" s="258" t="s">
        <v>2379</v>
      </c>
      <c r="C26" s="281">
        <f ca="1">ROUND(IF('数据-取费表'!B22&lt;=1,F21*F22*'数据-取费表'!B22/2,F21*(POWER((1+F22),'数据-取费表'!B22/2)-1)),4)</f>
        <v>6.9999999999999999E-4</v>
      </c>
      <c r="D26" s="281"/>
      <c r="E26" s="284"/>
      <c r="F26" s="282"/>
      <c r="G26" s="286"/>
    </row>
    <row r="27" spans="1:7" s="257" customFormat="1" ht="24.75">
      <c r="A27" s="298" t="s">
        <v>2380</v>
      </c>
      <c r="B27" s="287" t="s">
        <v>2381</v>
      </c>
      <c r="C27" s="288">
        <f ca="1">C28</f>
        <v>73426</v>
      </c>
      <c r="D27" s="278">
        <f ca="1">C29</f>
        <v>2E-3</v>
      </c>
      <c r="E27" s="279" t="s">
        <v>2382</v>
      </c>
      <c r="F27" s="289">
        <f ca="1">IF(B1="",'数据-取费表'!Q16,INDIRECT("'数据-取费表'!q"&amp;$G$1))</f>
        <v>0.1</v>
      </c>
      <c r="G27" s="290" t="s">
        <v>2383</v>
      </c>
    </row>
    <row r="28" spans="1:7" s="257" customFormat="1" ht="13.5" customHeight="1">
      <c r="A28" s="953" t="s">
        <v>791</v>
      </c>
      <c r="B28" s="291" t="s">
        <v>2384</v>
      </c>
      <c r="C28" s="292">
        <f ca="1">ROUND((C5+C19+C20)*F27,0)</f>
        <v>73426</v>
      </c>
      <c r="D28" s="278"/>
      <c r="E28" s="279"/>
      <c r="F28" s="289"/>
      <c r="G28" s="290"/>
    </row>
    <row r="29" spans="1:7" s="257" customFormat="1" ht="13.5" customHeight="1">
      <c r="A29" s="953" t="s">
        <v>792</v>
      </c>
      <c r="B29" s="291" t="s">
        <v>2385</v>
      </c>
      <c r="C29" s="281">
        <f ca="1">ROUND(C21*F27,4)</f>
        <v>2E-3</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929928</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13737367</v>
      </c>
      <c r="D33" s="275"/>
      <c r="E33" s="255"/>
      <c r="F33" s="284"/>
      <c r="G33" s="277"/>
    </row>
    <row r="34" spans="1:7" s="301" customFormat="1" ht="13.5" customHeight="1">
      <c r="A34" s="953" t="s">
        <v>791</v>
      </c>
      <c r="B34" s="258" t="s">
        <v>2393</v>
      </c>
      <c r="C34" s="263">
        <f ca="1">ROUND(IF(B1="",SUMPRODUCT('数据-取费表'!K6:K14,'数据-取费表'!L6:L14),INDIRECT("'数据-取费表'!l"&amp;$G$1)*INDIRECT("'数据-取费表'!k"&amp;$G$1)+'数据-取费表'!L14*INDIRECT("'数据-取费表'!S"&amp;$G$1)),0)</f>
        <v>11997700</v>
      </c>
      <c r="D34" s="260"/>
      <c r="E34" s="263"/>
      <c r="F34" s="300"/>
      <c r="G34" s="262"/>
    </row>
    <row r="35" spans="1:7" ht="13.5" customHeight="1">
      <c r="A35" s="953" t="s">
        <v>796</v>
      </c>
      <c r="B35" s="258" t="s">
        <v>2395</v>
      </c>
      <c r="C35" s="263">
        <f ca="1">ROUND(C34*F35,0)</f>
        <v>599885</v>
      </c>
      <c r="D35" s="263"/>
      <c r="E35" s="263"/>
      <c r="F35" s="302">
        <f>'数据-取费表'!B33</f>
        <v>0.05</v>
      </c>
      <c r="G35" s="262" t="s">
        <v>2396</v>
      </c>
    </row>
    <row r="36" spans="1:7" ht="24">
      <c r="A36" s="953"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3" t="s">
        <v>798</v>
      </c>
      <c r="B37" s="258" t="s">
        <v>2399</v>
      </c>
      <c r="C37" s="292">
        <f ca="1">ROUND(E37*D37,0)</f>
        <v>959816</v>
      </c>
      <c r="D37" s="260">
        <f ca="1">D19</f>
        <v>4799.08</v>
      </c>
      <c r="E37" s="292">
        <f>'数据-取费表'!B35</f>
        <v>200</v>
      </c>
      <c r="F37" s="302"/>
      <c r="G37" s="304"/>
    </row>
    <row r="38" spans="1:7" ht="13.5" customHeight="1">
      <c r="A38" s="953" t="s">
        <v>799</v>
      </c>
      <c r="B38" s="258" t="s">
        <v>2401</v>
      </c>
      <c r="C38" s="263">
        <f ca="1">ROUND(C34*F38,0)</f>
        <v>179966</v>
      </c>
      <c r="D38" s="263"/>
      <c r="E38" s="263"/>
      <c r="F38" s="302">
        <f>'数据-取费表'!B36</f>
        <v>1.4999999999999999E-2</v>
      </c>
      <c r="G38" s="262" t="s">
        <v>2396</v>
      </c>
    </row>
    <row r="39" spans="1:7" s="257" customFormat="1" ht="13.5" customHeight="1">
      <c r="A39" s="298" t="s">
        <v>2402</v>
      </c>
      <c r="B39" s="253" t="s">
        <v>2403</v>
      </c>
      <c r="C39" s="275">
        <f ca="1">ROUND(C33*F20,0)</f>
        <v>274747</v>
      </c>
      <c r="D39" s="275"/>
      <c r="E39" s="275"/>
      <c r="F39" s="276"/>
      <c r="G39" s="277" t="s">
        <v>2404</v>
      </c>
    </row>
    <row r="40" spans="1:7" s="257" customFormat="1" ht="13.5" customHeight="1">
      <c r="A40" s="298" t="s">
        <v>2405</v>
      </c>
      <c r="B40" s="253" t="s">
        <v>2406</v>
      </c>
      <c r="C40" s="1730">
        <f>F21</f>
        <v>0.02</v>
      </c>
      <c r="D40" s="279" t="s">
        <v>2407</v>
      </c>
      <c r="E40" s="275"/>
      <c r="F40" s="276"/>
      <c r="G40" s="277" t="s">
        <v>2408</v>
      </c>
    </row>
    <row r="41" spans="1:7" s="257" customFormat="1" ht="13.5" customHeight="1">
      <c r="A41" s="298" t="s">
        <v>2409</v>
      </c>
      <c r="B41" s="253" t="s">
        <v>2410</v>
      </c>
      <c r="C41" s="275">
        <f ca="1">ROUND(SUM(C42:C43),0)</f>
        <v>496275</v>
      </c>
      <c r="D41" s="278">
        <f ca="1">C44</f>
        <v>6.9999999999999999E-4</v>
      </c>
      <c r="E41" s="279" t="s">
        <v>2407</v>
      </c>
      <c r="F41" s="280"/>
      <c r="G41" s="277" t="str">
        <f>IF('数据-取费表'!B22&lt;=1,"单利计息","复利计息")</f>
        <v>复利计息</v>
      </c>
    </row>
    <row r="42" spans="1:7" ht="13.5" customHeight="1">
      <c r="A42" s="953" t="s">
        <v>791</v>
      </c>
      <c r="B42" s="258" t="s">
        <v>2411</v>
      </c>
      <c r="C42" s="281">
        <f ca="1">ROUND(IF('数据-取费表'!B22&lt;=1,C33*F22*'数据-取费表'!B20/2,C33*(POWER((1+F22),'数据-取费表'!B20/2)-1)),0)</f>
        <v>486544</v>
      </c>
      <c r="D42" s="281"/>
      <c r="E42" s="281"/>
      <c r="F42" s="282"/>
      <c r="G42" s="3145" t="s">
        <v>2459</v>
      </c>
    </row>
    <row r="43" spans="1:7" ht="13.5" customHeight="1">
      <c r="A43" s="953" t="s">
        <v>792</v>
      </c>
      <c r="B43" s="258" t="s">
        <v>2413</v>
      </c>
      <c r="C43" s="281">
        <f ca="1">ROUND(IF('数据-取费表'!B22&lt;=1,C39*F22*'数据-取费表'!B20/2,C39*(POWER((1+F22),'数据-取费表'!B20/2)-1)),0)</f>
        <v>9731</v>
      </c>
      <c r="D43" s="281"/>
      <c r="E43" s="281"/>
      <c r="F43" s="282"/>
      <c r="G43" s="3146"/>
    </row>
    <row r="44" spans="1:7" ht="13.5" customHeight="1">
      <c r="A44" s="953" t="s">
        <v>793</v>
      </c>
      <c r="B44" s="258" t="s">
        <v>2414</v>
      </c>
      <c r="C44" s="281">
        <f ca="1">ROUND(IF('数据-取费表'!B22&lt;=1,C40*F22*'数据-取费表'!B20/2,C40*(POWER((1+F22),'数据-取费表'!B20/2)-1)),4)</f>
        <v>6.9999999999999999E-4</v>
      </c>
      <c r="D44" s="281"/>
      <c r="E44" s="281"/>
      <c r="F44" s="282"/>
      <c r="G44" s="3147"/>
    </row>
    <row r="45" spans="1:7" s="257" customFormat="1" ht="13.5" customHeight="1">
      <c r="A45" s="298" t="s">
        <v>2415</v>
      </c>
      <c r="B45" s="287" t="s">
        <v>2381</v>
      </c>
      <c r="C45" s="288">
        <f ca="1">C46</f>
        <v>1401211</v>
      </c>
      <c r="D45" s="278">
        <f ca="1">C47</f>
        <v>2E-3</v>
      </c>
      <c r="E45" s="279" t="s">
        <v>2407</v>
      </c>
      <c r="F45" s="289"/>
      <c r="G45" s="290" t="s">
        <v>2416</v>
      </c>
    </row>
    <row r="46" spans="1:7" s="257" customFormat="1" ht="13.5" customHeight="1">
      <c r="A46" s="953" t="s">
        <v>791</v>
      </c>
      <c r="B46" s="291" t="s">
        <v>2417</v>
      </c>
      <c r="C46" s="292">
        <f ca="1">ROUND((C33+C39)*F27,0)</f>
        <v>1401211</v>
      </c>
      <c r="D46" s="306"/>
      <c r="E46" s="279"/>
      <c r="F46" s="289"/>
      <c r="G46" s="290"/>
    </row>
    <row r="47" spans="1:7" s="257" customFormat="1" ht="13.5" customHeight="1">
      <c r="A47" s="953" t="s">
        <v>792</v>
      </c>
      <c r="B47" s="291" t="s">
        <v>2418</v>
      </c>
      <c r="C47" s="281">
        <f ca="1">ROUND(C40*F27,4)</f>
        <v>2E-3</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17201427</v>
      </c>
      <c r="D49" s="275"/>
      <c r="E49" s="275"/>
      <c r="F49" s="307"/>
      <c r="G49" s="277" t="s">
        <v>2422</v>
      </c>
    </row>
    <row r="50" spans="1:7" s="301" customFormat="1">
      <c r="A50" s="298" t="s">
        <v>2423</v>
      </c>
      <c r="B50" s="253" t="s">
        <v>2424</v>
      </c>
      <c r="C50" s="275"/>
      <c r="D50" s="275"/>
      <c r="E50" s="275"/>
      <c r="F50" s="307">
        <f>IF('数据-取费表'!B24=0,'数据-取费表'!N16,1)</f>
        <v>0.93</v>
      </c>
      <c r="G50" s="290"/>
    </row>
    <row r="51" spans="1:7" ht="16.5" customHeight="1">
      <c r="A51" s="298" t="s">
        <v>2426</v>
      </c>
      <c r="B51" s="253" t="s">
        <v>2461</v>
      </c>
      <c r="C51" s="275">
        <f ca="1">ROUND(C49*F50,0)</f>
        <v>15997327</v>
      </c>
      <c r="D51" s="275"/>
      <c r="E51" s="275"/>
      <c r="F51" s="307"/>
      <c r="G51" s="277" t="s">
        <v>2428</v>
      </c>
    </row>
    <row r="52" spans="1:7" s="251" customFormat="1" ht="16.5" thickBot="1">
      <c r="A52" s="308" t="s">
        <v>2429</v>
      </c>
      <c r="B52" s="309"/>
      <c r="C52" s="310">
        <f ca="1">C31+C51</f>
        <v>16927255</v>
      </c>
      <c r="D52" s="309"/>
      <c r="E52" s="309"/>
      <c r="F52" s="309"/>
      <c r="G52" s="311"/>
    </row>
    <row r="55" spans="1:7" ht="15">
      <c r="B55" s="313" t="s">
        <v>2430</v>
      </c>
      <c r="C55" s="314"/>
    </row>
    <row r="56" spans="1:7">
      <c r="B56" s="316" t="s">
        <v>1515</v>
      </c>
      <c r="C56" s="318">
        <f ca="1">1-C57</f>
        <v>5.5000000000000049E-2</v>
      </c>
    </row>
    <row r="57" spans="1:7">
      <c r="B57" s="316" t="s">
        <v>1516</v>
      </c>
      <c r="C57" s="317">
        <f ca="1">ROUND(C51/C52,3)</f>
        <v>0.94499999999999995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2462</v>
      </c>
      <c r="B1" s="1583"/>
      <c r="C1" s="1584"/>
      <c r="D1" s="1582"/>
      <c r="E1" s="319"/>
      <c r="F1" s="319"/>
      <c r="G1" s="1583"/>
      <c r="H1" s="319"/>
      <c r="I1" s="319"/>
      <c r="J1" s="319"/>
      <c r="K1" s="319">
        <f>MATCH(C1,'数据-取费表'!A6:A16,0)+5</f>
        <v>7</v>
      </c>
    </row>
    <row r="2" spans="1:33" ht="18" customHeight="1">
      <c r="A2" s="244" t="s">
        <v>2330</v>
      </c>
      <c r="B2" s="247">
        <f ca="1">C32</f>
        <v>-97</v>
      </c>
      <c r="C2" s="319" t="s">
        <v>2463</v>
      </c>
      <c r="D2" s="319"/>
      <c r="E2" s="319"/>
      <c r="F2" s="319"/>
      <c r="G2" s="319"/>
      <c r="H2" s="319"/>
      <c r="I2" s="319"/>
      <c r="J2" s="319"/>
      <c r="K2" s="319"/>
    </row>
    <row r="3" spans="1:33" ht="18" customHeight="1" thickBot="1">
      <c r="A3" s="246" t="s">
        <v>2332</v>
      </c>
      <c r="B3" s="247">
        <f ca="1">ROUND(B2*10000/IF(C1="",'数据-汇总表'!E3,INDIRECT("'数据-取费表'!K"&amp;$K$1)),0)</f>
        <v>-202</v>
      </c>
      <c r="C3" s="319" t="s">
        <v>2464</v>
      </c>
      <c r="D3" s="319"/>
      <c r="E3" s="319"/>
      <c r="F3" s="319"/>
      <c r="G3" s="319"/>
      <c r="H3" s="319"/>
      <c r="I3" s="319"/>
      <c r="J3" s="319"/>
      <c r="K3" s="319"/>
    </row>
    <row r="4" spans="1:33" s="958" customFormat="1" ht="16.5" customHeight="1">
      <c r="A4" s="955" t="s">
        <v>2465</v>
      </c>
      <c r="B4" s="956"/>
      <c r="C4" s="998">
        <f>SUM(C8:K8)</f>
        <v>0</v>
      </c>
      <c r="D4" s="956"/>
      <c r="E4" s="956"/>
      <c r="F4" s="956"/>
      <c r="G4" s="956"/>
      <c r="H4" s="956"/>
      <c r="I4" s="956"/>
      <c r="J4" s="956"/>
      <c r="K4" s="957"/>
    </row>
    <row r="5" spans="1:33" s="962" customFormat="1" ht="24.75">
      <c r="A5" s="959" t="s">
        <v>2466</v>
      </c>
      <c r="B5" s="960" t="s">
        <v>2467</v>
      </c>
      <c r="C5" s="2556" t="s">
        <v>2468</v>
      </c>
      <c r="D5" s="2556" t="s">
        <v>2469</v>
      </c>
      <c r="E5" s="2556" t="s">
        <v>2470</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2474</v>
      </c>
      <c r="B8" s="176" t="s">
        <v>2475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2476</v>
      </c>
      <c r="B9" s="956"/>
      <c r="C9" s="956"/>
      <c r="D9" s="956"/>
      <c r="E9" s="956"/>
      <c r="F9" s="956"/>
      <c r="G9" s="956"/>
      <c r="H9" s="956"/>
      <c r="I9" s="956"/>
      <c r="J9" s="956"/>
      <c r="K9" s="957"/>
    </row>
    <row r="10" spans="1:33" s="972" customFormat="1" ht="13.5" customHeight="1">
      <c r="A10" s="959" t="s">
        <v>2477</v>
      </c>
      <c r="B10" s="8" t="s">
        <v>2478</v>
      </c>
      <c r="C10" s="968" t="s">
        <v>2479</v>
      </c>
      <c r="D10" s="969" t="s">
        <v>2480</v>
      </c>
      <c r="E10" s="969" t="s">
        <v>2481</v>
      </c>
      <c r="F10" s="969" t="s">
        <v>2482</v>
      </c>
      <c r="G10" s="8"/>
      <c r="H10" s="970"/>
      <c r="I10" s="970"/>
      <c r="J10" s="970"/>
      <c r="K10" s="971"/>
    </row>
    <row r="11" spans="1:33" s="977" customFormat="1" ht="13.5" customHeight="1">
      <c r="A11" s="973" t="s">
        <v>1335</v>
      </c>
      <c r="B11" s="974" t="s">
        <v>2483</v>
      </c>
      <c r="C11" s="322">
        <f ca="1">IF(C1="",'数据-取费表'!P16,INDIRECT("'数据-取费表'!p"&amp;$K$1)+INDIRECT("'数据-取费表'!ar"&amp;$K$1))</f>
        <v>84</v>
      </c>
      <c r="D11" s="975"/>
      <c r="E11" s="374"/>
      <c r="F11" s="976">
        <f ca="1">1-IF('数据-取费表'!B24=0,1,IF(C1="",'数据-取费表'!N16,INDIRECT("'数据-取费表'!n"&amp;$K$1)))</f>
        <v>0</v>
      </c>
      <c r="G11" s="8"/>
      <c r="H11" s="970"/>
      <c r="I11" s="970"/>
      <c r="J11" s="970"/>
      <c r="K11" s="971"/>
    </row>
    <row r="12" spans="1:33" s="977" customFormat="1" ht="13.5" customHeight="1">
      <c r="A12" s="973" t="s">
        <v>1336</v>
      </c>
      <c r="B12" s="974" t="s">
        <v>2484</v>
      </c>
      <c r="C12" s="24">
        <f ca="1">ROUND(C11*F12,0)</f>
        <v>4</v>
      </c>
      <c r="D12" s="975"/>
      <c r="E12" s="374"/>
      <c r="F12" s="978">
        <f>'数据-取费表'!B33</f>
        <v>0.05</v>
      </c>
      <c r="G12" s="8" t="s">
        <v>2485</v>
      </c>
      <c r="H12" s="970"/>
      <c r="I12" s="970"/>
      <c r="J12" s="970"/>
      <c r="K12" s="971"/>
    </row>
    <row r="13" spans="1:33" s="977" customFormat="1" ht="13.5" customHeight="1">
      <c r="A13" s="973" t="s">
        <v>1337</v>
      </c>
      <c r="B13" s="974" t="s">
        <v>2486</v>
      </c>
      <c r="C13" s="24">
        <f ca="1">ROUND(IF(C1="",SUMIF('数据-取费表'!C:C,"住宅",'数据-取费表'!P:P)*F13,IF(INDIRECT("'数据-取费表'!c"&amp;$K$1)="住宅",INDIRECT("'数据-取费表'!P"&amp;$K$1)*F13,0)),0)</f>
        <v>0</v>
      </c>
      <c r="D13" s="1035"/>
      <c r="E13" s="374"/>
      <c r="F13" s="978">
        <f>'数据-取费表'!B34</f>
        <v>0</v>
      </c>
      <c r="G13" s="8" t="s">
        <v>2487</v>
      </c>
      <c r="H13" s="970"/>
      <c r="I13" s="970"/>
      <c r="J13" s="970"/>
      <c r="K13" s="971"/>
    </row>
    <row r="14" spans="1:33" s="979" customFormat="1" ht="13.5" customHeight="1">
      <c r="A14" s="973" t="s">
        <v>1338</v>
      </c>
      <c r="B14" s="974" t="s">
        <v>2488</v>
      </c>
      <c r="C14" s="24">
        <f ca="1">ROUND(D14*E14*F11/10000,0)</f>
        <v>0</v>
      </c>
      <c r="D14" s="1035">
        <f ca="1">IF(C1="",'数据-汇总表'!E3,INDIRECT("'数据-取费表'!K"&amp;$K$1)+INDIRECT("'数据-取费表'!S"&amp;$K$1))</f>
        <v>4799.08</v>
      </c>
      <c r="E14" s="24">
        <f>'数据-取费表'!B35</f>
        <v>200</v>
      </c>
      <c r="F14" s="978"/>
      <c r="G14" s="8" t="s">
        <v>2489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2490</v>
      </c>
      <c r="C15" s="985">
        <f ca="1">ROUND(C11*F15,0)</f>
        <v>1</v>
      </c>
      <c r="D15" s="980"/>
      <c r="E15" s="985"/>
      <c r="F15" s="986">
        <f>'数据-取费表'!B36</f>
        <v>1.4999999999999999E-2</v>
      </c>
      <c r="G15" s="139" t="s">
        <v>2491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2492</v>
      </c>
      <c r="C16" s="985">
        <f ca="1">SUM(C11:C15)</f>
        <v>89</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2493</v>
      </c>
      <c r="C17" s="24">
        <f ca="1">ROUND(D17*E17/10000,0)</f>
        <v>0</v>
      </c>
      <c r="D17" s="1035">
        <f ca="1">D14</f>
        <v>4799.08</v>
      </c>
      <c r="E17" s="24">
        <f>'数据-取费表'!B32</f>
        <v>0</v>
      </c>
      <c r="F17" s="980"/>
      <c r="G17" s="139" t="s">
        <v>2494</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2495</v>
      </c>
      <c r="C18" s="24">
        <f ca="1">C19+C20-IF(C1="",'数据-取费表'!B29,IF(G18="已全部缴纳",C19+C20,H18))</f>
        <v>0</v>
      </c>
      <c r="D18" s="1035"/>
      <c r="E18" s="24"/>
      <c r="F18" s="978"/>
      <c r="G18" s="2558"/>
      <c r="H18" s="1579"/>
      <c r="I18" s="2559" t="s">
        <v>2496</v>
      </c>
      <c r="J18" s="981"/>
      <c r="K18" s="982"/>
    </row>
    <row r="19" spans="1:33" s="977" customFormat="1" ht="13.5" customHeight="1">
      <c r="A19" s="973" t="s">
        <v>805</v>
      </c>
      <c r="B19" s="974" t="s">
        <v>2497</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2498</v>
      </c>
      <c r="C20" s="24">
        <f ca="1">ROUND(D20*E20/10000,0)</f>
        <v>0</v>
      </c>
      <c r="D20" s="1035">
        <f ca="1">IF(C1="",'数据-汇总表'!E6,IF(INDIRECT("'数据-取费表'!c"&amp;$K$1)="住宅",INDIRECT("'数据-取费表'!s"&amp;$K$1),INDIRECT("'数据-取费表'!k"&amp;$K$1)+INDIRECT("'数据-取费表'!s"&amp;$K$1)))</f>
        <v>4799.08</v>
      </c>
      <c r="E20" s="24">
        <f>'数据-取费表'!B28</f>
        <v>0</v>
      </c>
      <c r="F20" s="978"/>
      <c r="G20" s="15"/>
      <c r="H20" s="983"/>
      <c r="I20" s="983"/>
      <c r="J20" s="983"/>
      <c r="K20" s="984"/>
    </row>
    <row r="21" spans="1:33" s="977" customFormat="1" ht="13.5" customHeight="1">
      <c r="A21" s="963" t="s">
        <v>802</v>
      </c>
      <c r="B21" s="987" t="s">
        <v>2499</v>
      </c>
      <c r="C21" s="988">
        <f ca="1">C16+C17+C18</f>
        <v>89</v>
      </c>
      <c r="D21" s="989"/>
      <c r="E21" s="324"/>
      <c r="F21" s="324"/>
      <c r="G21" s="139" t="s">
        <v>2500</v>
      </c>
      <c r="H21" s="981"/>
      <c r="I21" s="981"/>
      <c r="J21" s="981"/>
      <c r="K21" s="982"/>
    </row>
    <row r="22" spans="1:33" s="977" customFormat="1" ht="13.5" customHeight="1">
      <c r="A22" s="963" t="s">
        <v>2472</v>
      </c>
      <c r="B22" s="987" t="s">
        <v>2501</v>
      </c>
      <c r="C22" s="988">
        <f ca="1">ROUND(C21*F22,0)</f>
        <v>2</v>
      </c>
      <c r="D22" s="324"/>
      <c r="E22" s="324"/>
      <c r="F22" s="990">
        <f>'数据-取费表'!B37</f>
        <v>0.02</v>
      </c>
      <c r="G22" s="8" t="s">
        <v>2502</v>
      </c>
      <c r="H22" s="970"/>
      <c r="I22" s="970"/>
      <c r="J22" s="970"/>
      <c r="K22" s="971"/>
    </row>
    <row r="23" spans="1:33" s="977" customFormat="1" ht="13.5" customHeight="1">
      <c r="A23" s="963" t="s">
        <v>2474</v>
      </c>
      <c r="B23" s="987" t="s">
        <v>2503</v>
      </c>
      <c r="C23" s="988">
        <f ca="1">ROUND(C4*F23*F11,0)</f>
        <v>0</v>
      </c>
      <c r="D23" s="324"/>
      <c r="E23" s="324"/>
      <c r="F23" s="990">
        <f>'数据-取费表'!B38</f>
        <v>0.02</v>
      </c>
      <c r="G23" s="8" t="s">
        <v>2504</v>
      </c>
      <c r="H23" s="970"/>
      <c r="I23" s="970"/>
      <c r="J23" s="970"/>
      <c r="K23" s="971"/>
    </row>
    <row r="24" spans="1:33" s="977" customFormat="1" ht="13.5" customHeight="1">
      <c r="A24" s="963" t="s">
        <v>2505</v>
      </c>
      <c r="B24" s="987" t="s">
        <v>2506</v>
      </c>
      <c r="C24" s="323">
        <f>ROUND(F24/(1+'数据-取费表'!C42),4)</f>
        <v>2.9000000000000001E-2</v>
      </c>
      <c r="D24" s="324" t="s">
        <v>15</v>
      </c>
      <c r="E24" s="324"/>
      <c r="F24" s="990">
        <f>'数据-取费表'!B48+'数据-取费表'!B49</f>
        <v>3.0499999999999999E-2</v>
      </c>
      <c r="G24" s="8" t="s">
        <v>2507</v>
      </c>
      <c r="H24" s="992"/>
      <c r="I24" s="992"/>
      <c r="J24" s="992"/>
      <c r="K24" s="993"/>
    </row>
    <row r="25" spans="1:33" s="977" customFormat="1" ht="13.5" customHeight="1">
      <c r="A25" s="963" t="s">
        <v>2508</v>
      </c>
      <c r="B25" s="989" t="s">
        <v>2509</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2510</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2511</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2512</v>
      </c>
      <c r="B28" s="2561" t="s">
        <v>2513</v>
      </c>
      <c r="C28" s="330">
        <f ca="1">C30</f>
        <v>9</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2514</v>
      </c>
      <c r="C29" s="327">
        <f ca="1">ROUND((1+C24)*F28*'数据-取费表'!B24/'数据-取费表'!B20,4)</f>
        <v>0</v>
      </c>
      <c r="D29" s="327"/>
      <c r="E29" s="328"/>
      <c r="F29" s="333"/>
      <c r="G29" s="139" t="s">
        <v>2515</v>
      </c>
      <c r="H29" s="981"/>
      <c r="I29" s="981"/>
      <c r="J29" s="981"/>
      <c r="K29" s="982"/>
    </row>
    <row r="30" spans="1:33" s="334" customFormat="1" ht="13.5" customHeight="1">
      <c r="A30" s="973" t="s">
        <v>804</v>
      </c>
      <c r="B30" s="996" t="s">
        <v>2516</v>
      </c>
      <c r="C30" s="335">
        <f ca="1">ROUND((C21+C22+C23)*F28,0)</f>
        <v>9</v>
      </c>
      <c r="D30" s="327"/>
      <c r="E30" s="328"/>
      <c r="F30" s="333"/>
      <c r="G30" s="139"/>
      <c r="H30" s="981"/>
      <c r="I30" s="981"/>
      <c r="J30" s="981"/>
      <c r="K30" s="982"/>
    </row>
    <row r="31" spans="1:33" s="977" customFormat="1" ht="13.5" customHeight="1" thickBot="1">
      <c r="A31" s="2562" t="s">
        <v>2517</v>
      </c>
      <c r="B31" s="1007" t="s">
        <v>2518</v>
      </c>
      <c r="C31" s="1008">
        <f>ROUND(C4*F31/(1+'数据-取费表'!C42),0)</f>
        <v>0</v>
      </c>
      <c r="D31" s="1009"/>
      <c r="E31" s="1010"/>
      <c r="F31" s="1011">
        <f>'数据-取费表'!B41</f>
        <v>5.5000000000000007E-2</v>
      </c>
      <c r="G31" s="1012" t="s">
        <v>2519</v>
      </c>
      <c r="H31" s="1013"/>
      <c r="I31" s="1013"/>
      <c r="J31" s="1013"/>
      <c r="K31" s="1014"/>
    </row>
    <row r="32" spans="1:33" s="972" customFormat="1" ht="13.5" customHeight="1" thickBot="1">
      <c r="A32" s="1002" t="s">
        <v>2520</v>
      </c>
      <c r="B32" s="1003"/>
      <c r="C32" s="1004">
        <f ca="1">ROUND((C4-C21-C22-C23-C25-C28-C31)/(1+C24+D25+D28),0)</f>
        <v>-97</v>
      </c>
      <c r="D32" s="1003"/>
      <c r="E32" s="1003"/>
      <c r="F32" s="1003"/>
      <c r="G32" s="1005" t="s">
        <v>2521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 sqref="D3"/>
    </sheetView>
  </sheetViews>
  <sheetFormatPr defaultRowHeight="14.25"/>
  <cols>
    <col min="1" max="1" width="10.5" style="402" customWidth="1"/>
    <col min="2" max="2" width="15.75" style="402" customWidth="1"/>
    <col min="3" max="3" width="19.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671" t="s">
        <v>2705</v>
      </c>
      <c r="C1" s="1622" t="s">
        <v>2533</v>
      </c>
      <c r="D1" s="1623" t="s">
        <v>3070</v>
      </c>
      <c r="E1" s="1632"/>
      <c r="F1" s="2586" t="s">
        <v>3078</v>
      </c>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19">
        <f>IF(C2="——",ROUND(C43*D3/10000,0),ROUND(C43*D3/10000,0)-D2)</f>
        <v>4129</v>
      </c>
      <c r="C2" s="2588" t="s">
        <v>70</v>
      </c>
      <c r="D2" s="1125" t="e">
        <f ca="1">SUMIF(INDIRECT("'"&amp;F2&amp;"'"&amp;"!A:A"),"承租人权益价值",INDIRECT("'"&amp;F2&amp;"'"&amp;"!c:c"))</f>
        <v>#REF!</v>
      </c>
      <c r="E2" s="2589" t="s">
        <v>2331</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2332</v>
      </c>
      <c r="B3" s="608">
        <f>IF(C2="——",C43,ROUND(B2*10000/D3,0))</f>
        <v>8603</v>
      </c>
      <c r="C3" s="399" t="s">
        <v>2647</v>
      </c>
      <c r="D3" s="398">
        <f>IF(D1="",'数据-汇总表'!E3,SUMIF('数据-汇总表'!$C19:$C33,D1,'数据-汇总表'!$E19:$E33))</f>
        <v>4799.08</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2648</v>
      </c>
      <c r="B4" s="401"/>
      <c r="C4" s="3161" t="s">
        <v>2649</v>
      </c>
      <c r="D4" s="3162"/>
      <c r="E4" s="3163" t="s">
        <v>2650</v>
      </c>
      <c r="F4" s="3164"/>
      <c r="G4" s="3161" t="s">
        <v>2651</v>
      </c>
      <c r="H4" s="3162"/>
      <c r="I4" s="3161" t="s">
        <v>2652</v>
      </c>
      <c r="J4" s="3162"/>
      <c r="K4" s="609" t="s">
        <v>2653</v>
      </c>
      <c r="L4" s="1131"/>
      <c r="M4" s="1132"/>
      <c r="N4" s="1132"/>
      <c r="O4" s="1132"/>
      <c r="P4" s="3165" t="s">
        <v>2654</v>
      </c>
      <c r="Q4" s="3166"/>
      <c r="R4" s="3171" t="s">
        <v>2650</v>
      </c>
      <c r="S4" s="3172"/>
      <c r="T4" s="3171" t="s">
        <v>2651</v>
      </c>
      <c r="U4" s="3172"/>
      <c r="V4" s="3177" t="s">
        <v>2652</v>
      </c>
      <c r="W4" s="3177"/>
      <c r="X4" s="1815"/>
      <c r="Y4" s="3171" t="s">
        <v>2654</v>
      </c>
      <c r="Z4" s="3172"/>
      <c r="AA4" s="3158" t="s">
        <v>2650</v>
      </c>
      <c r="AB4" s="3159" t="s">
        <v>2651</v>
      </c>
      <c r="AC4" s="3158" t="s">
        <v>2652</v>
      </c>
    </row>
    <row r="5" spans="1:29" ht="15">
      <c r="A5" s="403"/>
      <c r="B5" s="404"/>
      <c r="C5" s="3180" t="s">
        <v>3105</v>
      </c>
      <c r="D5" s="3181"/>
      <c r="E5" s="3180" t="s">
        <v>3105</v>
      </c>
      <c r="F5" s="3181"/>
      <c r="G5" s="3180" t="s">
        <v>3105</v>
      </c>
      <c r="H5" s="3181"/>
      <c r="I5" s="3180" t="s">
        <v>3105</v>
      </c>
      <c r="J5" s="3181"/>
      <c r="K5" s="609"/>
      <c r="L5" s="1131"/>
      <c r="M5" s="1132"/>
      <c r="N5" s="1132"/>
      <c r="O5" s="1132"/>
      <c r="P5" s="3167"/>
      <c r="Q5" s="3168"/>
      <c r="R5" s="3173"/>
      <c r="S5" s="3174"/>
      <c r="T5" s="3173"/>
      <c r="U5" s="3174"/>
      <c r="V5" s="3177"/>
      <c r="W5" s="3177"/>
      <c r="X5" s="1815"/>
      <c r="Y5" s="3173"/>
      <c r="Z5" s="3174"/>
      <c r="AA5" s="3159"/>
      <c r="AB5" s="3159"/>
      <c r="AC5" s="3159"/>
    </row>
    <row r="6" spans="1:29" ht="15.75" thickBot="1">
      <c r="A6" s="405"/>
      <c r="B6" s="406"/>
      <c r="C6" s="3178" t="s">
        <v>2549</v>
      </c>
      <c r="D6" s="3179"/>
      <c r="E6" s="3185" t="s">
        <v>2549</v>
      </c>
      <c r="F6" s="3186"/>
      <c r="G6" s="3178" t="s">
        <v>2549</v>
      </c>
      <c r="H6" s="3179"/>
      <c r="I6" s="3178" t="s">
        <v>2549</v>
      </c>
      <c r="J6" s="3179"/>
      <c r="K6" s="609" t="s">
        <v>2550</v>
      </c>
      <c r="L6" s="1131"/>
      <c r="M6" s="1132"/>
      <c r="N6" s="1132"/>
      <c r="O6" s="1132"/>
      <c r="P6" s="3169"/>
      <c r="Q6" s="3170"/>
      <c r="R6" s="3173"/>
      <c r="S6" s="3174"/>
      <c r="T6" s="3175"/>
      <c r="U6" s="3176"/>
      <c r="V6" s="3177"/>
      <c r="W6" s="3177"/>
      <c r="X6" s="1815"/>
      <c r="Y6" s="3175"/>
      <c r="Z6" s="3176"/>
      <c r="AA6" s="3160"/>
      <c r="AB6" s="3160"/>
      <c r="AC6" s="3160"/>
    </row>
    <row r="7" spans="1:29" s="117" customFormat="1" ht="15.75" thickBot="1">
      <c r="A7" s="407" t="s">
        <v>2551</v>
      </c>
      <c r="B7" s="408"/>
      <c r="C7" s="409">
        <f>'数据-取费表'!B2</f>
        <v>43061</v>
      </c>
      <c r="D7" s="410">
        <v>100</v>
      </c>
      <c r="E7" s="411">
        <v>42948</v>
      </c>
      <c r="F7" s="412">
        <f>SUMIF(52:52,YEAR(E7)&amp;"-"&amp;MONTH(E7),53:53)</f>
        <v>99.5</v>
      </c>
      <c r="G7" s="411">
        <v>42948</v>
      </c>
      <c r="H7" s="410">
        <f>SUMIF(52:52,YEAR(G7)&amp;"-"&amp;MONTH(G7),53:53)</f>
        <v>99.5</v>
      </c>
      <c r="I7" s="411">
        <v>43040</v>
      </c>
      <c r="J7" s="410">
        <f>SUMIF(52:52,YEAR(I7)&amp;"-"&amp;MONTH(I7),53:53)</f>
        <v>100</v>
      </c>
      <c r="K7" s="610"/>
      <c r="L7" s="1133"/>
      <c r="M7" s="1134"/>
      <c r="N7" s="1134"/>
      <c r="O7" s="1134"/>
      <c r="P7" s="3182" t="s">
        <v>2552</v>
      </c>
      <c r="Q7" s="3184"/>
      <c r="R7" s="769" t="s">
        <v>17</v>
      </c>
      <c r="S7" s="770">
        <f t="shared" ref="S7:S15" si="0">F7</f>
        <v>99.5</v>
      </c>
      <c r="T7" s="769" t="s">
        <v>17</v>
      </c>
      <c r="U7" s="770">
        <f t="shared" ref="U7:U15" si="1">H7</f>
        <v>99.5</v>
      </c>
      <c r="V7" s="769" t="s">
        <v>17</v>
      </c>
      <c r="W7" s="770">
        <f t="shared" ref="W7:W15" si="2">J7</f>
        <v>100</v>
      </c>
      <c r="X7" s="771"/>
      <c r="Y7" s="3182" t="s">
        <v>2552</v>
      </c>
      <c r="Z7" s="3183"/>
      <c r="AA7" s="772">
        <f>D7/F7</f>
        <v>1.0050251256281406</v>
      </c>
      <c r="AB7" s="772">
        <f>D7/H7</f>
        <v>1.0050251256281406</v>
      </c>
      <c r="AC7" s="772">
        <f>D7/J7</f>
        <v>1</v>
      </c>
    </row>
    <row r="8" spans="1:29" s="117" customFormat="1" ht="15.75" thickBot="1">
      <c r="A8" s="407" t="s">
        <v>2553</v>
      </c>
      <c r="B8" s="408"/>
      <c r="C8" s="413" t="s">
        <v>2554</v>
      </c>
      <c r="D8" s="410">
        <v>100</v>
      </c>
      <c r="E8" s="413" t="s">
        <v>2554</v>
      </c>
      <c r="F8" s="412">
        <f>SUMIF(55:55,E8,56:56)-SUMIF(55:55,C8,56:56)+100</f>
        <v>100</v>
      </c>
      <c r="G8" s="413" t="s">
        <v>2554</v>
      </c>
      <c r="H8" s="410">
        <f>SUMIF(55:55,G8,56:56)-SUMIF(55:55,C8,56:56)+100</f>
        <v>100</v>
      </c>
      <c r="I8" s="413" t="s">
        <v>2554</v>
      </c>
      <c r="J8" s="410">
        <f>SUMIF(55:55,I8,56:56)-SUMIF(55:55,C8,56:56)+100</f>
        <v>100</v>
      </c>
      <c r="K8" s="610"/>
      <c r="L8" s="1133"/>
      <c r="M8" s="1134"/>
      <c r="N8" s="1134"/>
      <c r="O8" s="1134"/>
      <c r="P8" s="3182" t="s">
        <v>2555</v>
      </c>
      <c r="Q8" s="3183"/>
      <c r="R8" s="769" t="s">
        <v>17</v>
      </c>
      <c r="S8" s="770">
        <f t="shared" si="0"/>
        <v>100</v>
      </c>
      <c r="T8" s="769" t="s">
        <v>17</v>
      </c>
      <c r="U8" s="770">
        <f t="shared" si="1"/>
        <v>100</v>
      </c>
      <c r="V8" s="769" t="s">
        <v>17</v>
      </c>
      <c r="W8" s="770">
        <f t="shared" si="2"/>
        <v>100</v>
      </c>
      <c r="X8" s="771"/>
      <c r="Y8" s="3182" t="s">
        <v>2555</v>
      </c>
      <c r="Z8" s="3183"/>
      <c r="AA8" s="772">
        <f t="shared" ref="AA8:AA40" si="3">D8/F8</f>
        <v>1</v>
      </c>
      <c r="AB8" s="772">
        <f t="shared" ref="AB8:AB40" si="4">D8/H8</f>
        <v>1</v>
      </c>
      <c r="AC8" s="772">
        <f t="shared" ref="AC8:AC40" si="5">D8/J8</f>
        <v>1</v>
      </c>
    </row>
    <row r="9" spans="1:29" s="117" customFormat="1">
      <c r="A9" s="414" t="s">
        <v>2556</v>
      </c>
      <c r="B9" s="71" t="s">
        <v>2557</v>
      </c>
      <c r="C9" s="2938" t="s">
        <v>3103</v>
      </c>
      <c r="D9" s="134">
        <v>100</v>
      </c>
      <c r="E9" s="418" t="s">
        <v>6</v>
      </c>
      <c r="F9" s="134">
        <f>SUMIF(57:57,E9,58:58)-SUMIF(57:57,C9,58:58)+100</f>
        <v>100</v>
      </c>
      <c r="G9" s="418" t="s">
        <v>6</v>
      </c>
      <c r="H9" s="134">
        <f>SUMIF(57:57,G9,58:58)-SUMIF(57:57,C9,58:58)+100</f>
        <v>100</v>
      </c>
      <c r="I9" s="418" t="s">
        <v>6</v>
      </c>
      <c r="J9" s="134">
        <f>SUMIF(57:57,I9,58:58)-SUMIF(57:57,C9,58:58)+100</f>
        <v>100</v>
      </c>
      <c r="K9" s="610"/>
      <c r="L9" s="1133"/>
      <c r="M9" s="1134"/>
      <c r="N9" s="1134"/>
      <c r="O9" s="1135"/>
      <c r="P9" s="3148" t="s">
        <v>2558</v>
      </c>
      <c r="Q9" s="1797" t="str">
        <f t="shared" ref="Q9:Q15" si="6">B9</f>
        <v>用途</v>
      </c>
      <c r="R9" s="769" t="s">
        <v>17</v>
      </c>
      <c r="S9" s="770">
        <f t="shared" si="0"/>
        <v>100</v>
      </c>
      <c r="T9" s="769" t="s">
        <v>17</v>
      </c>
      <c r="U9" s="770">
        <f t="shared" si="1"/>
        <v>100</v>
      </c>
      <c r="V9" s="769" t="s">
        <v>17</v>
      </c>
      <c r="W9" s="770">
        <f t="shared" si="2"/>
        <v>100</v>
      </c>
      <c r="X9" s="771"/>
      <c r="Y9" s="2983" t="s">
        <v>2559</v>
      </c>
      <c r="Z9" s="55" t="str">
        <f t="shared" ref="Z9:Z15" si="7">Q9</f>
        <v>用途</v>
      </c>
      <c r="AA9" s="772">
        <f t="shared" si="3"/>
        <v>1</v>
      </c>
      <c r="AB9" s="772">
        <f t="shared" si="4"/>
        <v>1</v>
      </c>
      <c r="AC9" s="772">
        <f t="shared" si="5"/>
        <v>1</v>
      </c>
    </row>
    <row r="10" spans="1:29" s="426" customFormat="1" ht="27">
      <c r="A10" s="420"/>
      <c r="B10" s="421" t="s">
        <v>2560</v>
      </c>
      <c r="C10" s="422" t="s">
        <v>3102</v>
      </c>
      <c r="D10" s="135">
        <v>100</v>
      </c>
      <c r="E10" s="422" t="s">
        <v>3102</v>
      </c>
      <c r="F10" s="135">
        <f>SUMIF(59:59,E10,60:60)-SUMIF(59:59,C10,60:60)+100</f>
        <v>100</v>
      </c>
      <c r="G10" s="422" t="s">
        <v>3102</v>
      </c>
      <c r="H10" s="135">
        <f>SUMIF(59:59,G10,60:60)-SUMIF(59:59,C10,60:60)+100</f>
        <v>100</v>
      </c>
      <c r="I10" s="422" t="s">
        <v>3102</v>
      </c>
      <c r="J10" s="135">
        <f>SUMIF(59:59,I10,60:60)-SUMIF(59:59,C10,60:60)+100</f>
        <v>100</v>
      </c>
      <c r="K10" s="611">
        <v>1</v>
      </c>
      <c r="L10" s="1136"/>
      <c r="M10" s="1137"/>
      <c r="N10" s="1137"/>
      <c r="O10" s="1138"/>
      <c r="P10" s="3148"/>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772">
        <f t="shared" si="5"/>
        <v>1</v>
      </c>
    </row>
    <row r="11" spans="1:29" ht="15.75" thickBot="1">
      <c r="A11" s="427"/>
      <c r="B11" s="421" t="s">
        <v>2561</v>
      </c>
      <c r="C11" s="428">
        <v>5</v>
      </c>
      <c r="D11" s="135">
        <v>100</v>
      </c>
      <c r="E11" s="428">
        <v>5</v>
      </c>
      <c r="F11" s="135">
        <f>LOOKUP(E11,62:62,63:63)-LOOKUP(C11,62:62,63:63)+100</f>
        <v>100</v>
      </c>
      <c r="G11" s="429">
        <v>5</v>
      </c>
      <c r="H11" s="135">
        <f>LOOKUP(G11,62:62,63:63)-LOOKUP(C11,62:62,63:63)+100</f>
        <v>100</v>
      </c>
      <c r="I11" s="428">
        <v>5</v>
      </c>
      <c r="J11" s="135">
        <f>LOOKUP(I11,62:62,63:63)-LOOKUP(C11,62:62,63:63)+100</f>
        <v>100</v>
      </c>
      <c r="K11" s="611">
        <v>5</v>
      </c>
      <c r="L11" s="1139"/>
      <c r="M11" s="1132"/>
      <c r="N11" s="1132"/>
      <c r="O11" s="1140"/>
      <c r="P11" s="3148"/>
      <c r="Q11" s="1797" t="str">
        <f t="shared" si="6"/>
        <v>容积率</v>
      </c>
      <c r="R11" s="769" t="s">
        <v>17</v>
      </c>
      <c r="S11" s="770">
        <f t="shared" si="0"/>
        <v>100</v>
      </c>
      <c r="T11" s="769" t="s">
        <v>17</v>
      </c>
      <c r="U11" s="770">
        <f t="shared" si="1"/>
        <v>100</v>
      </c>
      <c r="V11" s="769" t="s">
        <v>17</v>
      </c>
      <c r="W11" s="770">
        <f t="shared" si="2"/>
        <v>100</v>
      </c>
      <c r="X11" s="771"/>
      <c r="Y11" s="2983"/>
      <c r="Z11" s="55" t="str">
        <f t="shared" si="7"/>
        <v>容积率</v>
      </c>
      <c r="AA11" s="772">
        <f t="shared" si="3"/>
        <v>1</v>
      </c>
      <c r="AB11" s="772">
        <f t="shared" si="4"/>
        <v>1</v>
      </c>
      <c r="AC11" s="772">
        <f t="shared" si="5"/>
        <v>1</v>
      </c>
    </row>
    <row r="12" spans="1:29" s="117" customFormat="1" ht="15" hidden="1">
      <c r="A12" s="430"/>
      <c r="B12" s="2602"/>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148"/>
      <c r="Q12" s="1797">
        <f t="shared" si="6"/>
        <v>0</v>
      </c>
      <c r="R12" s="769" t="s">
        <v>17</v>
      </c>
      <c r="S12" s="770">
        <f t="shared" si="0"/>
        <v>100</v>
      </c>
      <c r="T12" s="769" t="s">
        <v>17</v>
      </c>
      <c r="U12" s="770">
        <f t="shared" si="1"/>
        <v>100</v>
      </c>
      <c r="V12" s="769" t="s">
        <v>17</v>
      </c>
      <c r="W12" s="770">
        <f t="shared" si="2"/>
        <v>100</v>
      </c>
      <c r="X12" s="771"/>
      <c r="Y12" s="2983"/>
      <c r="Z12" s="55">
        <f t="shared" si="7"/>
        <v>0</v>
      </c>
      <c r="AA12" s="772">
        <f>D12/F12</f>
        <v>1</v>
      </c>
      <c r="AB12" s="772">
        <f>D12/H12</f>
        <v>1</v>
      </c>
      <c r="AC12" s="772">
        <f>D12/J12</f>
        <v>1</v>
      </c>
    </row>
    <row r="13" spans="1:29" ht="15" hidden="1">
      <c r="A13" s="427"/>
      <c r="B13" s="2602"/>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148"/>
      <c r="Q13" s="1797">
        <f t="shared" si="6"/>
        <v>0</v>
      </c>
      <c r="R13" s="769" t="s">
        <v>17</v>
      </c>
      <c r="S13" s="770">
        <f t="shared" si="0"/>
        <v>100</v>
      </c>
      <c r="T13" s="769" t="s">
        <v>17</v>
      </c>
      <c r="U13" s="770">
        <f t="shared" si="1"/>
        <v>100</v>
      </c>
      <c r="V13" s="769" t="s">
        <v>17</v>
      </c>
      <c r="W13" s="770">
        <f t="shared" si="2"/>
        <v>100</v>
      </c>
      <c r="X13" s="771"/>
      <c r="Y13" s="2983"/>
      <c r="Z13" s="55">
        <f t="shared" si="7"/>
        <v>0</v>
      </c>
      <c r="AA13" s="772">
        <f t="shared" si="3"/>
        <v>1</v>
      </c>
      <c r="AB13" s="772">
        <f t="shared" si="4"/>
        <v>1</v>
      </c>
      <c r="AC13" s="772">
        <f t="shared" si="5"/>
        <v>1</v>
      </c>
    </row>
    <row r="14" spans="1:29" ht="15.75" hidden="1" thickBot="1">
      <c r="A14" s="435"/>
      <c r="B14" s="2604"/>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148"/>
      <c r="Q14" s="1797">
        <f t="shared" si="6"/>
        <v>0</v>
      </c>
      <c r="R14" s="769" t="s">
        <v>17</v>
      </c>
      <c r="S14" s="770">
        <f t="shared" si="0"/>
        <v>100</v>
      </c>
      <c r="T14" s="769" t="s">
        <v>17</v>
      </c>
      <c r="U14" s="770">
        <f t="shared" si="1"/>
        <v>100</v>
      </c>
      <c r="V14" s="769" t="s">
        <v>17</v>
      </c>
      <c r="W14" s="770">
        <f t="shared" si="2"/>
        <v>100</v>
      </c>
      <c r="X14" s="771"/>
      <c r="Y14" s="2983"/>
      <c r="Z14" s="55">
        <f t="shared" si="7"/>
        <v>0</v>
      </c>
      <c r="AA14" s="772">
        <f t="shared" si="3"/>
        <v>1</v>
      </c>
      <c r="AB14" s="772">
        <f t="shared" si="4"/>
        <v>1</v>
      </c>
      <c r="AC14" s="772">
        <f t="shared" si="5"/>
        <v>1</v>
      </c>
    </row>
    <row r="15" spans="1:29" ht="57">
      <c r="A15" s="439" t="s">
        <v>2562</v>
      </c>
      <c r="B15" s="69" t="s">
        <v>2706</v>
      </c>
      <c r="C15" s="2695" t="str">
        <f>估价对象房地状况!G3</f>
        <v>估价对象位于通州联东U谷开发区，园区建设成熟度较好，产业集聚程度较好</v>
      </c>
      <c r="D15" s="440">
        <v>100</v>
      </c>
      <c r="E15" s="441"/>
      <c r="F15" s="442">
        <f>SUMIF(70:70,E16,71:71)-SUMIF(70:70,C16,71:71)+100</f>
        <v>100</v>
      </c>
      <c r="G15" s="443"/>
      <c r="H15" s="440">
        <f>SUMIF(70:70,G16,71:71)-SUMIF(70:70,C16,71:71)+100</f>
        <v>100</v>
      </c>
      <c r="I15" s="441"/>
      <c r="J15" s="440">
        <f>SUMIF(70:70,I16,71:71)-SUMIF(70:70,C16,71:71)+100</f>
        <v>100</v>
      </c>
      <c r="K15" s="613">
        <v>2</v>
      </c>
      <c r="L15" s="1141"/>
      <c r="M15" s="1132"/>
      <c r="N15" s="1132"/>
      <c r="O15" s="1140"/>
      <c r="P15" s="3153" t="s">
        <v>2563</v>
      </c>
      <c r="Q15" s="1812" t="str">
        <f t="shared" si="6"/>
        <v>产业集聚程度</v>
      </c>
      <c r="R15" s="773" t="s">
        <v>17</v>
      </c>
      <c r="S15" s="774">
        <f t="shared" si="0"/>
        <v>100</v>
      </c>
      <c r="T15" s="773" t="s">
        <v>17</v>
      </c>
      <c r="U15" s="774">
        <f t="shared" si="1"/>
        <v>100</v>
      </c>
      <c r="V15" s="773" t="s">
        <v>17</v>
      </c>
      <c r="W15" s="774">
        <f t="shared" si="2"/>
        <v>100</v>
      </c>
      <c r="X15" s="1815"/>
      <c r="Y15" s="3153" t="s">
        <v>2563</v>
      </c>
      <c r="Z15" s="1816" t="str">
        <f t="shared" si="7"/>
        <v>产业集聚程度</v>
      </c>
      <c r="AA15" s="1813">
        <f t="shared" si="3"/>
        <v>1</v>
      </c>
      <c r="AB15" s="1813">
        <f t="shared" si="4"/>
        <v>1</v>
      </c>
      <c r="AC15" s="1813">
        <f t="shared" si="5"/>
        <v>1</v>
      </c>
    </row>
    <row r="16" spans="1:29" ht="15">
      <c r="A16" s="427"/>
      <c r="B16" s="445"/>
      <c r="C16" s="446" t="s">
        <v>3079</v>
      </c>
      <c r="D16" s="447"/>
      <c r="E16" s="446" t="s">
        <v>3079</v>
      </c>
      <c r="F16" s="448"/>
      <c r="G16" s="446" t="s">
        <v>3079</v>
      </c>
      <c r="H16" s="449"/>
      <c r="I16" s="446" t="s">
        <v>3079</v>
      </c>
      <c r="J16" s="447"/>
      <c r="K16" s="614"/>
      <c r="L16" s="1141"/>
      <c r="M16" s="1132"/>
      <c r="N16" s="1132"/>
      <c r="O16" s="1140"/>
      <c r="P16" s="3154"/>
      <c r="Q16" s="1812"/>
      <c r="R16" s="773"/>
      <c r="S16" s="774"/>
      <c r="T16" s="773"/>
      <c r="U16" s="774"/>
      <c r="V16" s="773"/>
      <c r="W16" s="774"/>
      <c r="X16" s="1815"/>
      <c r="Y16" s="3154"/>
      <c r="Z16" s="1816"/>
      <c r="AA16" s="1813">
        <v>1</v>
      </c>
      <c r="AB16" s="1813">
        <v>1</v>
      </c>
      <c r="AC16" s="1813">
        <v>1</v>
      </c>
    </row>
    <row r="17" spans="1:29" ht="71.25">
      <c r="A17" s="427"/>
      <c r="B17" s="450" t="s">
        <v>2100</v>
      </c>
      <c r="C17" s="2609" t="str">
        <f>估价对象房地状况!G4</f>
        <v>估价对象周边道路状况、公共交通通达情况、停车便捷程度，综合评价交通便捷度一般</v>
      </c>
      <c r="D17" s="449">
        <v>100</v>
      </c>
      <c r="E17" s="451"/>
      <c r="F17" s="452">
        <f>SUMIF(72:72,E18,73:73)-SUMIF(72:72,C18,73:73)+100</f>
        <v>100</v>
      </c>
      <c r="G17" s="453"/>
      <c r="H17" s="454">
        <f>SUMIF(72:72,G18,73:73)-SUMIF(72:72,C18,73:73)+100</f>
        <v>100</v>
      </c>
      <c r="I17" s="451"/>
      <c r="J17" s="454">
        <f>SUMIF(72:72,I18,73:73)-SUMIF(72:72,C18,73:73)+100</f>
        <v>100</v>
      </c>
      <c r="K17" s="613">
        <v>2</v>
      </c>
      <c r="L17" s="1141"/>
      <c r="M17" s="1132"/>
      <c r="N17" s="1132"/>
      <c r="O17" s="1140"/>
      <c r="P17" s="3154"/>
      <c r="Q17" s="1812" t="str">
        <f>B17</f>
        <v>交通便捷度</v>
      </c>
      <c r="R17" s="773" t="s">
        <v>17</v>
      </c>
      <c r="S17" s="774">
        <f>F17</f>
        <v>100</v>
      </c>
      <c r="T17" s="773" t="s">
        <v>17</v>
      </c>
      <c r="U17" s="774">
        <f>H17</f>
        <v>100</v>
      </c>
      <c r="V17" s="773" t="s">
        <v>17</v>
      </c>
      <c r="W17" s="774">
        <f>J17</f>
        <v>100</v>
      </c>
      <c r="X17" s="1815"/>
      <c r="Y17" s="3154"/>
      <c r="Z17" s="1816" t="str">
        <f>Q17</f>
        <v>交通便捷度</v>
      </c>
      <c r="AA17" s="1813">
        <f t="shared" si="3"/>
        <v>1</v>
      </c>
      <c r="AB17" s="1813">
        <f t="shared" si="4"/>
        <v>1</v>
      </c>
      <c r="AC17" s="1813">
        <f t="shared" si="5"/>
        <v>1</v>
      </c>
    </row>
    <row r="18" spans="1:29" ht="15">
      <c r="A18" s="427"/>
      <c r="B18" s="455"/>
      <c r="C18" s="2610" t="s">
        <v>3080</v>
      </c>
      <c r="D18" s="449"/>
      <c r="E18" s="2610" t="s">
        <v>3080</v>
      </c>
      <c r="F18" s="452"/>
      <c r="G18" s="2610" t="s">
        <v>3080</v>
      </c>
      <c r="H18" s="447"/>
      <c r="I18" s="2610" t="s">
        <v>3080</v>
      </c>
      <c r="J18" s="447"/>
      <c r="K18" s="614"/>
      <c r="L18" s="1141"/>
      <c r="M18" s="1132"/>
      <c r="N18" s="1132"/>
      <c r="O18" s="1140"/>
      <c r="P18" s="3154"/>
      <c r="Q18" s="1812"/>
      <c r="R18" s="773"/>
      <c r="S18" s="774"/>
      <c r="T18" s="773"/>
      <c r="U18" s="774"/>
      <c r="V18" s="773"/>
      <c r="W18" s="774"/>
      <c r="X18" s="1815"/>
      <c r="Y18" s="3154"/>
      <c r="Z18" s="1816"/>
      <c r="AA18" s="1813">
        <v>1</v>
      </c>
      <c r="AB18" s="1813">
        <v>1</v>
      </c>
      <c r="AC18" s="1813">
        <v>1</v>
      </c>
    </row>
    <row r="19" spans="1:29" ht="42.75">
      <c r="A19" s="427"/>
      <c r="B19" s="450" t="s">
        <v>2691</v>
      </c>
      <c r="C19" s="2609"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v>2</v>
      </c>
      <c r="L19" s="1141"/>
      <c r="M19" s="1132"/>
      <c r="N19" s="1132"/>
      <c r="O19" s="1140"/>
      <c r="P19" s="3154"/>
      <c r="Q19" s="1812" t="str">
        <f>B19</f>
        <v>公共配套设施</v>
      </c>
      <c r="R19" s="773" t="s">
        <v>17</v>
      </c>
      <c r="S19" s="774">
        <f>F19</f>
        <v>100</v>
      </c>
      <c r="T19" s="773" t="s">
        <v>17</v>
      </c>
      <c r="U19" s="774">
        <f>H19</f>
        <v>100</v>
      </c>
      <c r="V19" s="773" t="s">
        <v>17</v>
      </c>
      <c r="W19" s="774">
        <f>J19</f>
        <v>100</v>
      </c>
      <c r="X19" s="1815"/>
      <c r="Y19" s="3154"/>
      <c r="Z19" s="1816" t="str">
        <f>Q19</f>
        <v>公共配套设施</v>
      </c>
      <c r="AA19" s="1813">
        <f t="shared" si="3"/>
        <v>1</v>
      </c>
      <c r="AB19" s="1813">
        <f t="shared" si="4"/>
        <v>1</v>
      </c>
      <c r="AC19" s="1813">
        <f t="shared" si="5"/>
        <v>1</v>
      </c>
    </row>
    <row r="20" spans="1:29" ht="15">
      <c r="A20" s="427"/>
      <c r="B20" s="455"/>
      <c r="C20" s="446" t="s">
        <v>3080</v>
      </c>
      <c r="D20" s="447"/>
      <c r="E20" s="446" t="s">
        <v>3080</v>
      </c>
      <c r="F20" s="448"/>
      <c r="G20" s="446" t="s">
        <v>3080</v>
      </c>
      <c r="H20" s="447"/>
      <c r="I20" s="446" t="s">
        <v>3080</v>
      </c>
      <c r="J20" s="447"/>
      <c r="K20" s="614"/>
      <c r="L20" s="1141"/>
      <c r="M20" s="1132"/>
      <c r="N20" s="1132"/>
      <c r="O20" s="1140"/>
      <c r="P20" s="3154"/>
      <c r="Q20" s="1812"/>
      <c r="R20" s="773"/>
      <c r="S20" s="774"/>
      <c r="T20" s="773"/>
      <c r="U20" s="774"/>
      <c r="V20" s="773"/>
      <c r="W20" s="774"/>
      <c r="X20" s="1815"/>
      <c r="Y20" s="3154"/>
      <c r="Z20" s="1816"/>
      <c r="AA20" s="1813">
        <v>1</v>
      </c>
      <c r="AB20" s="1813">
        <v>1</v>
      </c>
      <c r="AC20" s="1813">
        <v>1</v>
      </c>
    </row>
    <row r="21" spans="1:29" ht="28.5">
      <c r="A21" s="427"/>
      <c r="B21" s="1385" t="s">
        <v>2692</v>
      </c>
      <c r="C21" s="2609" t="str">
        <f>估价对象房地状况!G6</f>
        <v>估价对象所在区域基础设施一般</v>
      </c>
      <c r="D21" s="449">
        <v>100</v>
      </c>
      <c r="E21" s="456"/>
      <c r="F21" s="457">
        <f>SUMIF(76:76,E22,77:77)-SUMIF(76:76,C22,77:77)+100</f>
        <v>100</v>
      </c>
      <c r="G21" s="458"/>
      <c r="H21" s="449">
        <f>SUMIF(76:76,G22,77:77)-SUMIF(76:76,C22,77:77)+100</f>
        <v>100</v>
      </c>
      <c r="I21" s="456"/>
      <c r="J21" s="449">
        <f>SUMIF(76:76,I22,77:77)-SUMIF(76:76,C22,77:77)+100</f>
        <v>100</v>
      </c>
      <c r="K21" s="613">
        <v>2</v>
      </c>
      <c r="L21" s="1141"/>
      <c r="M21" s="1132"/>
      <c r="N21" s="1132"/>
      <c r="O21" s="1140"/>
      <c r="P21" s="3154"/>
      <c r="Q21" s="1812" t="str">
        <f>B21</f>
        <v>基础设施水平</v>
      </c>
      <c r="R21" s="773" t="s">
        <v>17</v>
      </c>
      <c r="S21" s="774">
        <f>F21</f>
        <v>100</v>
      </c>
      <c r="T21" s="773" t="s">
        <v>17</v>
      </c>
      <c r="U21" s="774">
        <f>H21</f>
        <v>100</v>
      </c>
      <c r="V21" s="773" t="s">
        <v>17</v>
      </c>
      <c r="W21" s="774">
        <f>J21</f>
        <v>100</v>
      </c>
      <c r="X21" s="1815"/>
      <c r="Y21" s="3154"/>
      <c r="Z21" s="1816" t="str">
        <f>Q21</f>
        <v>基础设施水平</v>
      </c>
      <c r="AA21" s="1813">
        <f t="shared" ref="AA21" si="8">D21/F21</f>
        <v>1</v>
      </c>
      <c r="AB21" s="1813">
        <f t="shared" ref="AB21" si="9">D21/H21</f>
        <v>1</v>
      </c>
      <c r="AC21" s="1813">
        <f t="shared" ref="AC21" si="10">D21/J21</f>
        <v>1</v>
      </c>
    </row>
    <row r="22" spans="1:29" ht="15">
      <c r="A22" s="427"/>
      <c r="B22" s="1385"/>
      <c r="C22" s="2610" t="s">
        <v>3081</v>
      </c>
      <c r="D22" s="447"/>
      <c r="E22" s="2610" t="s">
        <v>3081</v>
      </c>
      <c r="F22" s="448"/>
      <c r="G22" s="2610" t="s">
        <v>3081</v>
      </c>
      <c r="H22" s="447"/>
      <c r="I22" s="2610" t="s">
        <v>3081</v>
      </c>
      <c r="J22" s="447"/>
      <c r="K22" s="1384"/>
      <c r="L22" s="1141"/>
      <c r="M22" s="1132"/>
      <c r="N22" s="1132"/>
      <c r="O22" s="1140"/>
      <c r="P22" s="3154"/>
      <c r="Q22" s="1812"/>
      <c r="R22" s="773"/>
      <c r="S22" s="774"/>
      <c r="T22" s="773"/>
      <c r="U22" s="774"/>
      <c r="V22" s="773"/>
      <c r="W22" s="774"/>
      <c r="X22" s="1815"/>
      <c r="Y22" s="3154"/>
      <c r="Z22" s="1816"/>
      <c r="AA22" s="1813">
        <v>1</v>
      </c>
      <c r="AB22" s="1813">
        <v>1</v>
      </c>
      <c r="AC22" s="1813">
        <v>1</v>
      </c>
    </row>
    <row r="23" spans="1:29" ht="57">
      <c r="A23" s="427"/>
      <c r="B23" s="450" t="s">
        <v>2693</v>
      </c>
      <c r="C23" s="2609" t="str">
        <f>估价对象房地状况!G7</f>
        <v>该园区内是否有污染型企业，绿化情况，卫生条件，整体环境状况一般</v>
      </c>
      <c r="D23" s="449">
        <v>100</v>
      </c>
      <c r="E23" s="451"/>
      <c r="F23" s="452">
        <f>SUMIF(78:78,E24,79:79)-SUMIF(78:78,C24,79:79)+100</f>
        <v>100</v>
      </c>
      <c r="G23" s="453"/>
      <c r="H23" s="449">
        <f>SUMIF(78:78,G24,79:79)-SUMIF(78:78,C24,79:79)+100</f>
        <v>100</v>
      </c>
      <c r="I23" s="451"/>
      <c r="J23" s="449">
        <f>SUMIF(78:78,I24,79:79)-SUMIF(78:78,C24,79:79)+100</f>
        <v>100</v>
      </c>
      <c r="K23" s="613">
        <v>2</v>
      </c>
      <c r="L23" s="1141"/>
      <c r="M23" s="1132"/>
      <c r="N23" s="1132"/>
      <c r="O23" s="1140"/>
      <c r="P23" s="3154"/>
      <c r="Q23" s="1812" t="str">
        <f>B23</f>
        <v>环境质量</v>
      </c>
      <c r="R23" s="773" t="s">
        <v>17</v>
      </c>
      <c r="S23" s="774">
        <f>F23</f>
        <v>100</v>
      </c>
      <c r="T23" s="773" t="s">
        <v>17</v>
      </c>
      <c r="U23" s="774">
        <f>H23</f>
        <v>100</v>
      </c>
      <c r="V23" s="773" t="s">
        <v>17</v>
      </c>
      <c r="W23" s="774">
        <f>J23</f>
        <v>100</v>
      </c>
      <c r="X23" s="1815"/>
      <c r="Y23" s="3154"/>
      <c r="Z23" s="1816" t="str">
        <f>Q23</f>
        <v>环境质量</v>
      </c>
      <c r="AA23" s="1813">
        <f t="shared" si="3"/>
        <v>1</v>
      </c>
      <c r="AB23" s="1813">
        <f t="shared" si="4"/>
        <v>1</v>
      </c>
      <c r="AC23" s="1813">
        <f t="shared" si="5"/>
        <v>1</v>
      </c>
    </row>
    <row r="24" spans="1:29" ht="15.75" thickBot="1">
      <c r="A24" s="427"/>
      <c r="B24" s="1385"/>
      <c r="C24" s="446" t="s">
        <v>3079</v>
      </c>
      <c r="D24" s="447"/>
      <c r="E24" s="446" t="s">
        <v>3079</v>
      </c>
      <c r="F24" s="448"/>
      <c r="G24" s="446" t="s">
        <v>3079</v>
      </c>
      <c r="H24" s="447"/>
      <c r="I24" s="446" t="s">
        <v>3079</v>
      </c>
      <c r="J24" s="447"/>
      <c r="K24" s="614"/>
      <c r="L24" s="1141"/>
      <c r="M24" s="1132"/>
      <c r="N24" s="1132"/>
      <c r="O24" s="1140"/>
      <c r="P24" s="3154"/>
      <c r="Q24" s="1812"/>
      <c r="R24" s="773"/>
      <c r="S24" s="774"/>
      <c r="T24" s="773"/>
      <c r="U24" s="774"/>
      <c r="V24" s="773"/>
      <c r="W24" s="774"/>
      <c r="X24" s="1815"/>
      <c r="Y24" s="3154"/>
      <c r="Z24" s="1816"/>
      <c r="AA24" s="1813">
        <v>1</v>
      </c>
      <c r="AB24" s="1813">
        <v>1</v>
      </c>
      <c r="AC24" s="1813">
        <v>1</v>
      </c>
    </row>
    <row r="25" spans="1:29" ht="15" hidden="1">
      <c r="A25" s="403"/>
      <c r="B25" s="1387"/>
      <c r="C25" s="433"/>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54"/>
      <c r="Q25" s="1812">
        <f>B25</f>
        <v>0</v>
      </c>
      <c r="R25" s="773" t="s">
        <v>17</v>
      </c>
      <c r="S25" s="774">
        <f>F25</f>
        <v>100</v>
      </c>
      <c r="T25" s="773" t="s">
        <v>17</v>
      </c>
      <c r="U25" s="774">
        <f>H25</f>
        <v>100</v>
      </c>
      <c r="V25" s="773" t="s">
        <v>17</v>
      </c>
      <c r="W25" s="774">
        <f>J25</f>
        <v>100</v>
      </c>
      <c r="X25" s="1815"/>
      <c r="Y25" s="3154"/>
      <c r="Z25" s="1816">
        <f>Q25</f>
        <v>0</v>
      </c>
      <c r="AA25" s="1813">
        <f t="shared" si="3"/>
        <v>1</v>
      </c>
      <c r="AB25" s="1813">
        <f t="shared" si="4"/>
        <v>1</v>
      </c>
      <c r="AC25" s="1813">
        <f t="shared" si="5"/>
        <v>1</v>
      </c>
    </row>
    <row r="26" spans="1:29" ht="15" hidden="1">
      <c r="A26" s="427"/>
      <c r="B26" s="1387"/>
      <c r="C26" s="433"/>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54"/>
      <c r="Q26" s="1812">
        <f t="shared" ref="Q26:Q40" si="11">B26</f>
        <v>0</v>
      </c>
      <c r="R26" s="773" t="s">
        <v>17</v>
      </c>
      <c r="S26" s="774">
        <f>F26</f>
        <v>100</v>
      </c>
      <c r="T26" s="773" t="s">
        <v>17</v>
      </c>
      <c r="U26" s="774">
        <f>H26</f>
        <v>100</v>
      </c>
      <c r="V26" s="773" t="s">
        <v>17</v>
      </c>
      <c r="W26" s="774">
        <f>J26</f>
        <v>100</v>
      </c>
      <c r="X26" s="1815"/>
      <c r="Y26" s="3154"/>
      <c r="Z26" s="1816">
        <f>Q26</f>
        <v>0</v>
      </c>
      <c r="AA26" s="1813">
        <f t="shared" si="3"/>
        <v>1</v>
      </c>
      <c r="AB26" s="1813">
        <f t="shared" si="4"/>
        <v>1</v>
      </c>
      <c r="AC26" s="1813">
        <f t="shared" si="5"/>
        <v>1</v>
      </c>
    </row>
    <row r="27" spans="1:29" s="117" customFormat="1" ht="15" hidden="1">
      <c r="A27" s="430"/>
      <c r="B27" s="1387"/>
      <c r="C27" s="433"/>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54"/>
      <c r="Q27" s="1797">
        <f t="shared" si="11"/>
        <v>0</v>
      </c>
      <c r="R27" s="769" t="s">
        <v>17</v>
      </c>
      <c r="S27" s="770">
        <f>F27</f>
        <v>100</v>
      </c>
      <c r="T27" s="769" t="s">
        <v>17</v>
      </c>
      <c r="U27" s="770">
        <f>H27</f>
        <v>100</v>
      </c>
      <c r="V27" s="769" t="s">
        <v>17</v>
      </c>
      <c r="W27" s="770">
        <f>J27</f>
        <v>100</v>
      </c>
      <c r="X27" s="771"/>
      <c r="Y27" s="3154"/>
      <c r="Z27" s="55">
        <f>Q27</f>
        <v>0</v>
      </c>
      <c r="AA27" s="1813">
        <f>D27/F27</f>
        <v>1</v>
      </c>
      <c r="AB27" s="1813">
        <f>D27/H27</f>
        <v>1</v>
      </c>
      <c r="AC27" s="1813">
        <f>D27/J27</f>
        <v>1</v>
      </c>
    </row>
    <row r="28" spans="1:29" ht="15.75" hidden="1" thickBot="1">
      <c r="A28" s="435"/>
      <c r="B28" s="1387"/>
      <c r="C28" s="436"/>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54"/>
      <c r="Q28" s="1812">
        <f t="shared" si="11"/>
        <v>0</v>
      </c>
      <c r="R28" s="773" t="s">
        <v>17</v>
      </c>
      <c r="S28" s="774">
        <f t="shared" ref="S28:S40" si="12">F28</f>
        <v>100</v>
      </c>
      <c r="T28" s="773" t="s">
        <v>17</v>
      </c>
      <c r="U28" s="774">
        <f t="shared" ref="U28:U40" si="13">H28</f>
        <v>100</v>
      </c>
      <c r="V28" s="773" t="s">
        <v>17</v>
      </c>
      <c r="W28" s="774">
        <f t="shared" ref="W28:W40" si="14">J28</f>
        <v>100</v>
      </c>
      <c r="X28" s="1815"/>
      <c r="Y28" s="3154"/>
      <c r="Z28" s="1816">
        <f t="shared" ref="Z28:Z40" si="15">Q28</f>
        <v>0</v>
      </c>
      <c r="AA28" s="1813">
        <f t="shared" si="3"/>
        <v>1</v>
      </c>
      <c r="AB28" s="1813">
        <f t="shared" si="4"/>
        <v>1</v>
      </c>
      <c r="AC28" s="1813">
        <f t="shared" si="5"/>
        <v>1</v>
      </c>
    </row>
    <row r="29" spans="1:29" ht="15">
      <c r="A29" s="465" t="s">
        <v>2566</v>
      </c>
      <c r="B29" s="71" t="s">
        <v>2696</v>
      </c>
      <c r="C29" s="2681" t="s">
        <v>3070</v>
      </c>
      <c r="D29" s="466">
        <v>100</v>
      </c>
      <c r="E29" s="2681" t="s">
        <v>3070</v>
      </c>
      <c r="F29" s="460">
        <f>SUMIF(88:88,E29,89:89)-SUMIF(88:88,C29,89:89)+100</f>
        <v>100</v>
      </c>
      <c r="G29" s="2681" t="s">
        <v>3070</v>
      </c>
      <c r="H29" s="434">
        <f>SUMIF(88:88,G29,89:89)-SUMIF(88:88,C29,89:89)+100</f>
        <v>100</v>
      </c>
      <c r="I29" s="2681" t="s">
        <v>3070</v>
      </c>
      <c r="J29" s="466">
        <f>SUMIF(88:88,I29,89:89)-SUMIF(88:88,C29,89:89)+100</f>
        <v>100</v>
      </c>
      <c r="K29" s="611">
        <v>5</v>
      </c>
      <c r="L29" s="1141"/>
      <c r="M29" s="1132"/>
      <c r="N29" s="1132"/>
      <c r="O29" s="1140"/>
      <c r="P29" s="3155" t="s">
        <v>2568</v>
      </c>
      <c r="Q29" s="1812" t="str">
        <f t="shared" si="11"/>
        <v>建筑类型</v>
      </c>
      <c r="R29" s="773" t="s">
        <v>17</v>
      </c>
      <c r="S29" s="774">
        <f t="shared" si="12"/>
        <v>100</v>
      </c>
      <c r="T29" s="773" t="s">
        <v>17</v>
      </c>
      <c r="U29" s="774">
        <f t="shared" si="13"/>
        <v>100</v>
      </c>
      <c r="V29" s="773" t="s">
        <v>17</v>
      </c>
      <c r="W29" s="774">
        <f t="shared" si="14"/>
        <v>100</v>
      </c>
      <c r="X29" s="1815"/>
      <c r="Y29" s="3156" t="s">
        <v>2568</v>
      </c>
      <c r="Z29" s="1816" t="str">
        <f t="shared" si="15"/>
        <v>建筑类型</v>
      </c>
      <c r="AA29" s="1813">
        <f t="shared" si="3"/>
        <v>1</v>
      </c>
      <c r="AB29" s="1813">
        <f t="shared" si="4"/>
        <v>1</v>
      </c>
      <c r="AC29" s="1813">
        <f t="shared" si="5"/>
        <v>1</v>
      </c>
    </row>
    <row r="30" spans="1:29" s="470" customFormat="1" ht="15">
      <c r="A30" s="467"/>
      <c r="B30" s="421" t="s">
        <v>2569</v>
      </c>
      <c r="C30" s="468">
        <f>'数据-汇总表'!E3</f>
        <v>4799.08</v>
      </c>
      <c r="D30" s="135">
        <v>100</v>
      </c>
      <c r="E30" s="429">
        <v>1255</v>
      </c>
      <c r="F30" s="424">
        <f>LOOKUP(E30,91:91,92:92)-LOOKUP(C30,91:91,92:92)+100</f>
        <v>102</v>
      </c>
      <c r="G30" s="428">
        <v>2000</v>
      </c>
      <c r="H30" s="135">
        <f>LOOKUP(G30,91:91,92:92)-LOOKUP(C30,91:91,92:92)+100</f>
        <v>101</v>
      </c>
      <c r="I30" s="428">
        <v>2200</v>
      </c>
      <c r="J30" s="135">
        <f>LOOKUP(I30,91:91,92:92)-LOOKUP(C30,91:91,92:92)+100</f>
        <v>101</v>
      </c>
      <c r="K30" s="612"/>
      <c r="L30" s="1139"/>
      <c r="M30" s="1142"/>
      <c r="N30" s="1142"/>
      <c r="O30" s="1143"/>
      <c r="P30" s="3156"/>
      <c r="Q30" s="775" t="str">
        <f t="shared" si="11"/>
        <v>项目建筑规模</v>
      </c>
      <c r="R30" s="776" t="s">
        <v>17</v>
      </c>
      <c r="S30" s="777">
        <f t="shared" si="12"/>
        <v>102</v>
      </c>
      <c r="T30" s="776" t="s">
        <v>17</v>
      </c>
      <c r="U30" s="777">
        <f t="shared" si="13"/>
        <v>101</v>
      </c>
      <c r="V30" s="776" t="s">
        <v>17</v>
      </c>
      <c r="W30" s="777">
        <f t="shared" si="14"/>
        <v>101</v>
      </c>
      <c r="X30" s="778"/>
      <c r="Y30" s="3156"/>
      <c r="Z30" s="779" t="str">
        <f t="shared" si="15"/>
        <v>项目建筑规模</v>
      </c>
      <c r="AA30" s="1813">
        <f t="shared" si="3"/>
        <v>0.98039215686274506</v>
      </c>
      <c r="AB30" s="1813">
        <f t="shared" si="4"/>
        <v>0.99009900990099009</v>
      </c>
      <c r="AC30" s="1813">
        <f t="shared" si="5"/>
        <v>0.99009900990099009</v>
      </c>
    </row>
    <row r="31" spans="1:29" ht="15">
      <c r="A31" s="471"/>
      <c r="B31" s="421" t="s">
        <v>2570</v>
      </c>
      <c r="C31" s="459" t="s">
        <v>3083</v>
      </c>
      <c r="D31" s="434">
        <v>100</v>
      </c>
      <c r="E31" s="459" t="s">
        <v>3083</v>
      </c>
      <c r="F31" s="460">
        <f>SUMIF(93:93,E31,94:94)-SUMIF(93:93,C31,94:94)+100</f>
        <v>100</v>
      </c>
      <c r="G31" s="459" t="s">
        <v>3083</v>
      </c>
      <c r="H31" s="434">
        <f>SUMIF(93:93,G31,94:94)-SUMIF(93:93,C31,94:94)+100</f>
        <v>100</v>
      </c>
      <c r="I31" s="459" t="s">
        <v>3083</v>
      </c>
      <c r="J31" s="434">
        <f>SUMIF(93:93,I31,94:94)-SUMIF(93:93,C31,94:94)+100</f>
        <v>100</v>
      </c>
      <c r="K31" s="611">
        <v>2</v>
      </c>
      <c r="L31" s="1141"/>
      <c r="M31" s="1132"/>
      <c r="N31" s="1132"/>
      <c r="O31" s="1140"/>
      <c r="P31" s="3156"/>
      <c r="Q31" s="1812" t="str">
        <f t="shared" si="11"/>
        <v>建筑结构</v>
      </c>
      <c r="R31" s="773" t="s">
        <v>17</v>
      </c>
      <c r="S31" s="774">
        <f t="shared" si="12"/>
        <v>100</v>
      </c>
      <c r="T31" s="773" t="s">
        <v>17</v>
      </c>
      <c r="U31" s="774">
        <f t="shared" si="13"/>
        <v>100</v>
      </c>
      <c r="V31" s="773" t="s">
        <v>17</v>
      </c>
      <c r="W31" s="774">
        <f t="shared" si="14"/>
        <v>100</v>
      </c>
      <c r="X31" s="1815"/>
      <c r="Y31" s="3156"/>
      <c r="Z31" s="1816" t="str">
        <f t="shared" si="15"/>
        <v>建筑结构</v>
      </c>
      <c r="AA31" s="1813">
        <f t="shared" si="3"/>
        <v>1</v>
      </c>
      <c r="AB31" s="1813">
        <f t="shared" si="4"/>
        <v>1</v>
      </c>
      <c r="AC31" s="1813">
        <f t="shared" si="5"/>
        <v>1</v>
      </c>
    </row>
    <row r="32" spans="1:29" ht="15">
      <c r="A32" s="471"/>
      <c r="B32" s="421" t="s">
        <v>2664</v>
      </c>
      <c r="C32" s="459" t="s">
        <v>3098</v>
      </c>
      <c r="D32" s="434">
        <v>100</v>
      </c>
      <c r="E32" s="459" t="s">
        <v>3098</v>
      </c>
      <c r="F32" s="460">
        <f>SUMIF(95:95,E32,96:96)-SUMIF(95:95,C32,96:96)+100</f>
        <v>100</v>
      </c>
      <c r="G32" s="459" t="s">
        <v>3098</v>
      </c>
      <c r="H32" s="434">
        <f>SUMIF(95:95,G32,96:96)-SUMIF(95:95,C32,96:96)+100</f>
        <v>100</v>
      </c>
      <c r="I32" s="459" t="s">
        <v>3098</v>
      </c>
      <c r="J32" s="434">
        <f>SUMIF(95:95,I32,96:96)-SUMIF(95:95,C32,96:96)+100</f>
        <v>100</v>
      </c>
      <c r="K32" s="611">
        <v>2</v>
      </c>
      <c r="L32" s="1141"/>
      <c r="M32" s="1132"/>
      <c r="N32" s="1132"/>
      <c r="O32" s="1140"/>
      <c r="P32" s="3156"/>
      <c r="Q32" s="1812" t="str">
        <f t="shared" si="11"/>
        <v>公共部分装修</v>
      </c>
      <c r="R32" s="773" t="s">
        <v>17</v>
      </c>
      <c r="S32" s="774">
        <f t="shared" si="12"/>
        <v>100</v>
      </c>
      <c r="T32" s="773" t="s">
        <v>17</v>
      </c>
      <c r="U32" s="774">
        <f t="shared" si="13"/>
        <v>100</v>
      </c>
      <c r="V32" s="773" t="s">
        <v>17</v>
      </c>
      <c r="W32" s="774">
        <f t="shared" si="14"/>
        <v>100</v>
      </c>
      <c r="X32" s="1815"/>
      <c r="Y32" s="3156"/>
      <c r="Z32" s="1816" t="str">
        <f t="shared" si="15"/>
        <v>公共部分装修</v>
      </c>
      <c r="AA32" s="1813">
        <f t="shared" si="3"/>
        <v>1</v>
      </c>
      <c r="AB32" s="1813">
        <f t="shared" si="4"/>
        <v>1</v>
      </c>
      <c r="AC32" s="1813">
        <f t="shared" si="5"/>
        <v>1</v>
      </c>
    </row>
    <row r="33" spans="1:29" ht="15">
      <c r="A33" s="471"/>
      <c r="B33" s="421" t="s">
        <v>2665</v>
      </c>
      <c r="C33" s="473">
        <v>0.93</v>
      </c>
      <c r="D33" s="434">
        <v>100</v>
      </c>
      <c r="E33" s="473">
        <v>0.93</v>
      </c>
      <c r="F33" s="460">
        <f>LOOKUP(E33,98:98,99:99)-LOOKUP(C33,98:98,99:99)+100</f>
        <v>100</v>
      </c>
      <c r="G33" s="473">
        <v>0.93</v>
      </c>
      <c r="H33" s="460">
        <f>LOOKUP(G33,98:98,99:99)-LOOKUP(C33,98:98,99:99)+100</f>
        <v>100</v>
      </c>
      <c r="I33" s="473">
        <v>0.93</v>
      </c>
      <c r="J33" s="434">
        <f>LOOKUP(I33,98:98,99:99)-LOOKUP(C33,98:98,99:99)+100</f>
        <v>100</v>
      </c>
      <c r="K33" s="611">
        <v>1</v>
      </c>
      <c r="L33" s="1141"/>
      <c r="M33" s="1132"/>
      <c r="N33" s="1132"/>
      <c r="O33" s="1140"/>
      <c r="P33" s="3156"/>
      <c r="Q33" s="1812" t="str">
        <f t="shared" si="11"/>
        <v>成新度</v>
      </c>
      <c r="R33" s="773" t="s">
        <v>17</v>
      </c>
      <c r="S33" s="774">
        <f t="shared" si="12"/>
        <v>100</v>
      </c>
      <c r="T33" s="773" t="s">
        <v>17</v>
      </c>
      <c r="U33" s="774">
        <f t="shared" si="13"/>
        <v>100</v>
      </c>
      <c r="V33" s="773" t="s">
        <v>17</v>
      </c>
      <c r="W33" s="774">
        <f t="shared" si="14"/>
        <v>100</v>
      </c>
      <c r="X33" s="1815"/>
      <c r="Y33" s="3156"/>
      <c r="Z33" s="1816" t="str">
        <f t="shared" si="15"/>
        <v>成新度</v>
      </c>
      <c r="AA33" s="1813">
        <f t="shared" si="3"/>
        <v>1</v>
      </c>
      <c r="AB33" s="1813">
        <f t="shared" si="4"/>
        <v>1</v>
      </c>
      <c r="AC33" s="1813">
        <f t="shared" si="5"/>
        <v>1</v>
      </c>
    </row>
    <row r="34" spans="1:29" s="117" customFormat="1" ht="15">
      <c r="A34" s="472"/>
      <c r="B34" s="421" t="s">
        <v>2698</v>
      </c>
      <c r="C34" s="459" t="s">
        <v>3099</v>
      </c>
      <c r="D34" s="135">
        <v>100</v>
      </c>
      <c r="E34" s="459" t="s">
        <v>3099</v>
      </c>
      <c r="F34" s="460">
        <f>SUMIF(100:100,E34,101:101)-SUMIF(100:100,C34,101:101)+100</f>
        <v>100</v>
      </c>
      <c r="G34" s="459" t="s">
        <v>3099</v>
      </c>
      <c r="H34" s="434">
        <f>SUMIF(100:100,G34,101:101)-SUMIF(100:100,C34,101:101)+100</f>
        <v>100</v>
      </c>
      <c r="I34" s="459" t="s">
        <v>3099</v>
      </c>
      <c r="J34" s="434">
        <f>SUMIF(100:100,I34,101:101)-SUMIF(100:100,C34,101:101)+100</f>
        <v>100</v>
      </c>
      <c r="K34" s="611">
        <v>2</v>
      </c>
      <c r="L34" s="1133"/>
      <c r="M34" s="1134"/>
      <c r="N34" s="1134"/>
      <c r="O34" s="1135"/>
      <c r="P34" s="3156"/>
      <c r="Q34" s="1797" t="str">
        <f t="shared" si="11"/>
        <v>物业管理</v>
      </c>
      <c r="R34" s="769" t="s">
        <v>17</v>
      </c>
      <c r="S34" s="770">
        <f t="shared" si="12"/>
        <v>100</v>
      </c>
      <c r="T34" s="769" t="s">
        <v>17</v>
      </c>
      <c r="U34" s="770">
        <f t="shared" si="13"/>
        <v>100</v>
      </c>
      <c r="V34" s="769" t="s">
        <v>17</v>
      </c>
      <c r="W34" s="770">
        <f t="shared" si="14"/>
        <v>100</v>
      </c>
      <c r="X34" s="771"/>
      <c r="Y34" s="3156"/>
      <c r="Z34" s="55" t="str">
        <f t="shared" si="15"/>
        <v>物业管理</v>
      </c>
      <c r="AA34" s="772">
        <f t="shared" si="3"/>
        <v>1</v>
      </c>
      <c r="AB34" s="772">
        <f t="shared" si="4"/>
        <v>1</v>
      </c>
      <c r="AC34" s="772">
        <f t="shared" si="5"/>
        <v>1</v>
      </c>
    </row>
    <row r="35" spans="1:29" ht="15">
      <c r="A35" s="471"/>
      <c r="B35" s="421" t="s">
        <v>2666</v>
      </c>
      <c r="C35" s="459" t="s">
        <v>3081</v>
      </c>
      <c r="D35" s="434">
        <v>100</v>
      </c>
      <c r="E35" s="459" t="s">
        <v>3081</v>
      </c>
      <c r="F35" s="460">
        <f>SUMIF(102:102,E35,103:103)-SUMIF(102:102,C35,103:103)+100</f>
        <v>100</v>
      </c>
      <c r="G35" s="459" t="s">
        <v>3081</v>
      </c>
      <c r="H35" s="434">
        <f>SUMIF(102:102,G35,103:103)-SUMIF(102:102,C35,103:103)+100</f>
        <v>100</v>
      </c>
      <c r="I35" s="459" t="s">
        <v>3081</v>
      </c>
      <c r="J35" s="434">
        <f>SUMIF(102:102,I35,103:103)-SUMIF(102:102,C35,103:103)+100</f>
        <v>100</v>
      </c>
      <c r="K35" s="611">
        <v>1</v>
      </c>
      <c r="L35" s="1141"/>
      <c r="M35" s="1132"/>
      <c r="N35" s="1132"/>
      <c r="O35" s="1140"/>
      <c r="P35" s="3156" t="s">
        <v>2568</v>
      </c>
      <c r="Q35" s="1812" t="str">
        <f t="shared" si="11"/>
        <v>市政基础设施</v>
      </c>
      <c r="R35" s="773" t="s">
        <v>17</v>
      </c>
      <c r="S35" s="774">
        <f t="shared" si="12"/>
        <v>100</v>
      </c>
      <c r="T35" s="773" t="s">
        <v>17</v>
      </c>
      <c r="U35" s="774">
        <f t="shared" si="13"/>
        <v>100</v>
      </c>
      <c r="V35" s="773" t="s">
        <v>17</v>
      </c>
      <c r="W35" s="774">
        <f t="shared" si="14"/>
        <v>100</v>
      </c>
      <c r="X35" s="1815"/>
      <c r="Y35" s="3156" t="s">
        <v>2568</v>
      </c>
      <c r="Z35" s="1816" t="str">
        <f t="shared" si="15"/>
        <v>市政基础设施</v>
      </c>
      <c r="AA35" s="1813">
        <f t="shared" si="3"/>
        <v>1</v>
      </c>
      <c r="AB35" s="1813">
        <f t="shared" si="4"/>
        <v>1</v>
      </c>
      <c r="AC35" s="1813">
        <f t="shared" si="5"/>
        <v>1</v>
      </c>
    </row>
    <row r="36" spans="1:29" ht="15">
      <c r="A36" s="471"/>
      <c r="B36" s="421" t="s">
        <v>2671</v>
      </c>
      <c r="C36" s="459" t="s">
        <v>3100</v>
      </c>
      <c r="D36" s="434">
        <v>100</v>
      </c>
      <c r="E36" s="459" t="s">
        <v>3101</v>
      </c>
      <c r="F36" s="460">
        <f>SUMIF(104:104,E36,105:105)-SUMIF(104:104,C36,105:105)+100</f>
        <v>96</v>
      </c>
      <c r="G36" s="459" t="s">
        <v>3101</v>
      </c>
      <c r="H36" s="434">
        <f>SUMIF(104:104,G36,105:105)-SUMIF(104:104,C36,105:105)+100</f>
        <v>96</v>
      </c>
      <c r="I36" s="459" t="s">
        <v>3104</v>
      </c>
      <c r="J36" s="434">
        <f>SUMIF(104:104,I36,105:105)-SUMIF(104:104,C36,105:105)+100</f>
        <v>98</v>
      </c>
      <c r="K36" s="611">
        <v>2</v>
      </c>
      <c r="L36" s="1141"/>
      <c r="M36" s="1132"/>
      <c r="N36" s="1132"/>
      <c r="O36" s="1140"/>
      <c r="P36" s="3156"/>
      <c r="Q36" s="1812" t="str">
        <f t="shared" si="11"/>
        <v>内部装修</v>
      </c>
      <c r="R36" s="773" t="s">
        <v>17</v>
      </c>
      <c r="S36" s="774">
        <f t="shared" si="12"/>
        <v>96</v>
      </c>
      <c r="T36" s="773" t="s">
        <v>17</v>
      </c>
      <c r="U36" s="774">
        <f t="shared" si="13"/>
        <v>96</v>
      </c>
      <c r="V36" s="773" t="s">
        <v>17</v>
      </c>
      <c r="W36" s="774">
        <f t="shared" si="14"/>
        <v>98</v>
      </c>
      <c r="X36" s="1815"/>
      <c r="Y36" s="3156"/>
      <c r="Z36" s="1816" t="str">
        <f t="shared" si="15"/>
        <v>内部装修</v>
      </c>
      <c r="AA36" s="1813">
        <f t="shared" si="3"/>
        <v>1.0416666666666667</v>
      </c>
      <c r="AB36" s="1813">
        <f t="shared" si="4"/>
        <v>1.0416666666666667</v>
      </c>
      <c r="AC36" s="1813">
        <f t="shared" si="5"/>
        <v>1.0204081632653061</v>
      </c>
    </row>
    <row r="37" spans="1:29" ht="15">
      <c r="A37" s="471"/>
      <c r="B37" s="421" t="s">
        <v>2707</v>
      </c>
      <c r="C37" s="615" t="s">
        <v>3079</v>
      </c>
      <c r="D37" s="434">
        <v>100</v>
      </c>
      <c r="E37" s="615" t="s">
        <v>3079</v>
      </c>
      <c r="F37" s="460">
        <f>SUMIF(106:106,E37,107:107)-SUMIF(106:106,C37,107:107)+100</f>
        <v>100</v>
      </c>
      <c r="G37" s="615" t="s">
        <v>3079</v>
      </c>
      <c r="H37" s="434">
        <f>SUMIF(106:106,G37,107:107)-SUMIF(106:106,C37,107:107)+100</f>
        <v>100</v>
      </c>
      <c r="I37" s="615" t="s">
        <v>3079</v>
      </c>
      <c r="J37" s="434">
        <f>SUMIF(106:106,I37,107:107)-SUMIF(106:106,C37,107:107)+100</f>
        <v>100</v>
      </c>
      <c r="K37" s="611">
        <v>2</v>
      </c>
      <c r="L37" s="1141"/>
      <c r="M37" s="1132"/>
      <c r="N37" s="1132"/>
      <c r="O37" s="1140"/>
      <c r="P37" s="3156"/>
      <c r="Q37" s="1812" t="str">
        <f t="shared" si="11"/>
        <v>内部装修状况</v>
      </c>
      <c r="R37" s="773" t="s">
        <v>17</v>
      </c>
      <c r="S37" s="774">
        <f t="shared" si="12"/>
        <v>100</v>
      </c>
      <c r="T37" s="773" t="s">
        <v>17</v>
      </c>
      <c r="U37" s="774">
        <f t="shared" si="13"/>
        <v>100</v>
      </c>
      <c r="V37" s="773" t="s">
        <v>17</v>
      </c>
      <c r="W37" s="774">
        <f t="shared" si="14"/>
        <v>100</v>
      </c>
      <c r="X37" s="1815"/>
      <c r="Y37" s="3156"/>
      <c r="Z37" s="1816" t="str">
        <f t="shared" si="15"/>
        <v>内部装修状况</v>
      </c>
      <c r="AA37" s="1813">
        <f t="shared" si="3"/>
        <v>1</v>
      </c>
      <c r="AB37" s="1813">
        <f t="shared" si="4"/>
        <v>1</v>
      </c>
      <c r="AC37" s="1813">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56"/>
      <c r="Q38" s="775">
        <f t="shared" si="11"/>
        <v>111</v>
      </c>
      <c r="R38" s="776" t="s">
        <v>17</v>
      </c>
      <c r="S38" s="777">
        <f t="shared" si="12"/>
        <v>100</v>
      </c>
      <c r="T38" s="776" t="s">
        <v>17</v>
      </c>
      <c r="U38" s="777">
        <f t="shared" si="13"/>
        <v>100</v>
      </c>
      <c r="V38" s="776" t="s">
        <v>17</v>
      </c>
      <c r="W38" s="777">
        <f t="shared" si="14"/>
        <v>100</v>
      </c>
      <c r="X38" s="778"/>
      <c r="Y38" s="3156"/>
      <c r="Z38" s="779">
        <f t="shared" si="15"/>
        <v>111</v>
      </c>
      <c r="AA38" s="1813">
        <f t="shared" si="3"/>
        <v>1</v>
      </c>
      <c r="AB38" s="1813">
        <f t="shared" si="4"/>
        <v>1</v>
      </c>
      <c r="AC38" s="1813">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56"/>
      <c r="Q39" s="1812">
        <f t="shared" si="11"/>
        <v>111</v>
      </c>
      <c r="R39" s="773" t="s">
        <v>17</v>
      </c>
      <c r="S39" s="774">
        <f t="shared" si="12"/>
        <v>100</v>
      </c>
      <c r="T39" s="773" t="s">
        <v>17</v>
      </c>
      <c r="U39" s="774">
        <f t="shared" si="13"/>
        <v>100</v>
      </c>
      <c r="V39" s="773" t="s">
        <v>17</v>
      </c>
      <c r="W39" s="774">
        <f t="shared" si="14"/>
        <v>100</v>
      </c>
      <c r="X39" s="1815"/>
      <c r="Y39" s="3156"/>
      <c r="Z39" s="1816">
        <f t="shared" si="15"/>
        <v>111</v>
      </c>
      <c r="AA39" s="1813">
        <f t="shared" si="3"/>
        <v>1</v>
      </c>
      <c r="AB39" s="1813">
        <f t="shared" si="4"/>
        <v>1</v>
      </c>
      <c r="AC39" s="1813">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57"/>
      <c r="Q40" s="1812">
        <f t="shared" si="11"/>
        <v>111</v>
      </c>
      <c r="R40" s="773" t="s">
        <v>17</v>
      </c>
      <c r="S40" s="774">
        <f t="shared" si="12"/>
        <v>100</v>
      </c>
      <c r="T40" s="773" t="s">
        <v>17</v>
      </c>
      <c r="U40" s="774">
        <f t="shared" si="13"/>
        <v>100</v>
      </c>
      <c r="V40" s="773" t="s">
        <v>17</v>
      </c>
      <c r="W40" s="774">
        <f t="shared" si="14"/>
        <v>100</v>
      </c>
      <c r="X40" s="1815"/>
      <c r="Y40" s="3157"/>
      <c r="Z40" s="1816">
        <f t="shared" si="15"/>
        <v>111</v>
      </c>
      <c r="AA40" s="1813">
        <f t="shared" si="3"/>
        <v>1</v>
      </c>
      <c r="AB40" s="1813">
        <f t="shared" si="4"/>
        <v>1</v>
      </c>
      <c r="AC40" s="1813">
        <f t="shared" si="5"/>
        <v>1</v>
      </c>
    </row>
    <row r="41" spans="1:29" ht="15">
      <c r="A41" s="478" t="s">
        <v>2580</v>
      </c>
      <c r="B41" s="479"/>
      <c r="C41" s="1408" t="s">
        <v>1</v>
      </c>
      <c r="D41" s="1409"/>
      <c r="E41" s="1410">
        <f>ROUND(9500*O54,0)</f>
        <v>8550</v>
      </c>
      <c r="F41" s="1411"/>
      <c r="G41" s="1410">
        <f>ROUND(9000*O54,0)</f>
        <v>8100</v>
      </c>
      <c r="H41" s="1413"/>
      <c r="I41" s="1410">
        <f>ROUND(9500*O54,0)</f>
        <v>8550</v>
      </c>
      <c r="J41" s="1413"/>
      <c r="K41" s="782"/>
      <c r="L41" s="1144"/>
      <c r="M41" s="1145"/>
      <c r="N41" s="1132"/>
      <c r="O41" s="1145"/>
      <c r="P41" s="3148" t="str">
        <f>A41</f>
        <v>成交单价（元/平方米）</v>
      </c>
      <c r="Q41" s="3148"/>
      <c r="R41" s="3149">
        <f>E41</f>
        <v>8550</v>
      </c>
      <c r="S41" s="3149"/>
      <c r="T41" s="3149">
        <f>G41</f>
        <v>8100</v>
      </c>
      <c r="U41" s="3149"/>
      <c r="V41" s="3149">
        <f>I41</f>
        <v>8550</v>
      </c>
      <c r="W41" s="3149"/>
      <c r="X41" s="758"/>
      <c r="Y41" s="780"/>
      <c r="Z41" s="758"/>
      <c r="AA41" s="758"/>
      <c r="AB41" s="758"/>
      <c r="AC41" s="758"/>
    </row>
    <row r="42" spans="1:29" ht="15.75" thickBot="1">
      <c r="A42" s="485" t="s">
        <v>2672</v>
      </c>
      <c r="B42" s="486"/>
      <c r="C42" s="1414">
        <f>R43</f>
        <v>8603</v>
      </c>
      <c r="D42" s="1415"/>
      <c r="E42" s="1416">
        <f>R42</f>
        <v>8775</v>
      </c>
      <c r="F42" s="1416"/>
      <c r="G42" s="1414">
        <f>T42</f>
        <v>8396</v>
      </c>
      <c r="H42" s="1415"/>
      <c r="I42" s="1416">
        <f>V42</f>
        <v>8638</v>
      </c>
      <c r="J42" s="1415"/>
      <c r="K42" s="783"/>
      <c r="L42" s="1144"/>
      <c r="M42" s="1145"/>
      <c r="N42" s="1132"/>
      <c r="O42" s="1145"/>
      <c r="P42" s="3148" t="str">
        <f>A42</f>
        <v>比较价值（元/平方米）</v>
      </c>
      <c r="Q42" s="3148"/>
      <c r="R42" s="3149">
        <f>IF(F1="售价",ROUND(PRODUCT(R41,AA7:AA40),0),ROUND(PRODUCT(R41,AA7:AA40),1))</f>
        <v>8775</v>
      </c>
      <c r="S42" s="3149"/>
      <c r="T42" s="3149">
        <f>IF(F1="售价",ROUND(PRODUCT(T41,AB7:AB40),0),ROUND(PRODUCT(T41,AB7:AB40),1))</f>
        <v>8396</v>
      </c>
      <c r="U42" s="3149"/>
      <c r="V42" s="3149">
        <f>IF(F1="售价",ROUND(PRODUCT(V41,AC7:AC40),0),ROUND(PRODUCT(V41,AC7:AC40),1))</f>
        <v>8638</v>
      </c>
      <c r="W42" s="3149"/>
      <c r="X42" s="758"/>
      <c r="Y42" s="758"/>
      <c r="Z42" s="758"/>
      <c r="AA42" s="758"/>
      <c r="AB42" s="758"/>
      <c r="AC42" s="758"/>
    </row>
    <row r="43" spans="1:29" ht="15.75" thickBot="1">
      <c r="A43" s="491" t="s">
        <v>2673</v>
      </c>
      <c r="B43" s="492"/>
      <c r="C43" s="1418">
        <f>R43</f>
        <v>8603</v>
      </c>
      <c r="D43" s="1418"/>
      <c r="E43" s="1418"/>
      <c r="F43" s="1418"/>
      <c r="G43" s="1418"/>
      <c r="H43" s="1418"/>
      <c r="I43" s="1418"/>
      <c r="J43" s="1418"/>
      <c r="K43" s="784"/>
      <c r="L43" s="1144"/>
      <c r="M43" s="1145"/>
      <c r="N43" s="1145"/>
      <c r="O43" s="1145"/>
      <c r="P43" s="3150" t="str">
        <f>A43</f>
        <v>估价对象XX用房的比较价值（楼面单价，元/平方米）</v>
      </c>
      <c r="Q43" s="3151"/>
      <c r="R43" s="3152">
        <f>IF(F1="售价",ROUND(AVERAGE(R42:V42),0),ROUND(AVERAGE(R42:V42),1))</f>
        <v>8603</v>
      </c>
      <c r="S43" s="3152"/>
      <c r="T43" s="3152"/>
      <c r="U43" s="3152"/>
      <c r="V43" s="3152"/>
      <c r="W43" s="3152"/>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2674</v>
      </c>
      <c r="D46" s="497"/>
      <c r="E46" s="498">
        <f>IF(E41&lt;E42,E42/E41-1,E41/E42-1)</f>
        <v>2.6315789473684292E-2</v>
      </c>
      <c r="F46" s="499" t="str">
        <f>IF(OR(E46&gt;=0.3,E46&lt;=-0.3),"超过30%","")</f>
        <v/>
      </c>
      <c r="G46" s="498">
        <f>IF(G41&lt;G42,G42/G41-1,G41/G42-1)</f>
        <v>3.6543209876543248E-2</v>
      </c>
      <c r="H46" s="499" t="str">
        <f>IF(OR(G46&gt;=0.3,G46&lt;=-0.3),"超过30%","")</f>
        <v/>
      </c>
      <c r="I46" s="498">
        <f>IF(I41&lt;I42,I42/I41-1,I41/I42-1)</f>
        <v>1.0292397660818686E-2</v>
      </c>
      <c r="J46" s="499" t="str">
        <f>IF(OR(I46&gt;=0.3,I46&lt;=-0.3),"超过30%","")</f>
        <v/>
      </c>
      <c r="K46" s="1106"/>
      <c r="L46" s="1107"/>
      <c r="M46" s="1145"/>
      <c r="N46" s="1145"/>
      <c r="O46" s="1145"/>
    </row>
    <row r="47" spans="1:29" ht="13.5" customHeight="1">
      <c r="A47" s="1145"/>
      <c r="B47" s="1145"/>
      <c r="C47" s="496" t="s">
        <v>2675</v>
      </c>
      <c r="D47" s="500"/>
      <c r="E47" s="498">
        <f>IF(E42&lt;G42,G42/E42-1,E42/G42-1)</f>
        <v>4.5140543115769427E-2</v>
      </c>
      <c r="F47" s="499" t="str">
        <f>IF(OR(E47&gt;=0.2,E47&lt;=-0.2),"超过20%","")</f>
        <v/>
      </c>
      <c r="G47" s="498">
        <f>IF(G42&lt;I42,I42/G42-1,G42/I42-1)</f>
        <v>2.882324916626966E-2</v>
      </c>
      <c r="H47" s="499" t="str">
        <f>IF(OR(G47&gt;=0.2,G47&lt;=-0.2),"超过20%","")</f>
        <v/>
      </c>
      <c r="I47" s="498">
        <f>IF(I42&lt;E42,E42/I42-1,I42/E42-1)</f>
        <v>1.5860152813151229E-2</v>
      </c>
      <c r="J47" s="499" t="str">
        <f>IF(OR(I47&gt;=0.2,I47&lt;=-0.2),"超过20%","")</f>
        <v/>
      </c>
      <c r="K47" s="1106"/>
      <c r="L47" s="1107"/>
      <c r="M47" s="1145"/>
      <c r="N47" s="1145"/>
      <c r="O47" s="1145"/>
    </row>
    <row r="48" spans="1:29" s="501" customFormat="1" ht="13.5" customHeight="1">
      <c r="A48" s="1146"/>
      <c r="B48" s="1146"/>
      <c r="C48" s="496" t="s">
        <v>2676</v>
      </c>
      <c r="D48" s="500"/>
      <c r="E48" s="498">
        <f>IF(E41&lt;G41,G41/E41-1,E41/G41-1)</f>
        <v>5.555555555555558E-2</v>
      </c>
      <c r="F48" s="499" t="str">
        <f>IF(OR(E48&gt;=0.3,E48&lt;=-0.3),"超过30%","")</f>
        <v/>
      </c>
      <c r="G48" s="498">
        <f>IF(G41&lt;I41,I41/G41-1,G41/I41-1)</f>
        <v>5.555555555555558E-2</v>
      </c>
      <c r="H48" s="499" t="str">
        <f>IF(OR(G48&gt;=0.3,G48&lt;=-0.3),"超过30%","")</f>
        <v/>
      </c>
      <c r="I48" s="498">
        <f>IF(I41&lt;E41,E41/I41-1,I41/E41-1)</f>
        <v>0</v>
      </c>
      <c r="J48" s="499" t="str">
        <f>IF(OR(I48&gt;=0.3,I48&lt;=-0.3),"超过30%","")</f>
        <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2677</v>
      </c>
      <c r="B51" s="758"/>
      <c r="C51" s="763"/>
      <c r="D51" s="763"/>
      <c r="E51" s="763"/>
      <c r="F51" s="764"/>
      <c r="G51" s="764"/>
      <c r="H51" s="763"/>
      <c r="I51" s="763"/>
      <c r="J51" s="763"/>
      <c r="K51" s="1161"/>
      <c r="L51" s="1162"/>
      <c r="M51" s="1160"/>
      <c r="N51" s="1160"/>
      <c r="O51" s="1160"/>
      <c r="P51" s="502"/>
      <c r="Q51" s="503"/>
    </row>
    <row r="52" spans="1:17" s="507" customFormat="1" ht="15">
      <c r="A52" s="504" t="s">
        <v>2551</v>
      </c>
      <c r="B52" s="505"/>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6"/>
    </row>
    <row r="53" spans="1:17" s="117" customFormat="1" ht="15">
      <c r="A53" s="508"/>
      <c r="B53" s="509"/>
      <c r="C53" s="1575">
        <v>100</v>
      </c>
      <c r="D53" s="511">
        <v>100</v>
      </c>
      <c r="E53" s="511">
        <v>99.5</v>
      </c>
      <c r="F53" s="511">
        <v>99.5</v>
      </c>
      <c r="G53" s="511">
        <v>99.5</v>
      </c>
      <c r="H53" s="511">
        <v>99</v>
      </c>
      <c r="I53" s="511">
        <v>99</v>
      </c>
      <c r="J53" s="511">
        <v>99</v>
      </c>
      <c r="K53" s="511"/>
      <c r="L53" s="511"/>
      <c r="M53" s="512"/>
      <c r="N53" s="511"/>
      <c r="O53" s="513"/>
      <c r="P53" s="503"/>
    </row>
    <row r="54" spans="1:17" s="117" customFormat="1" ht="15.75" thickBot="1">
      <c r="A54" s="514" t="s">
        <v>2588</v>
      </c>
      <c r="B54" s="515"/>
      <c r="C54" s="516"/>
      <c r="D54" s="517"/>
      <c r="E54" s="517"/>
      <c r="F54" s="517"/>
      <c r="G54" s="517"/>
      <c r="H54" s="517"/>
      <c r="I54" s="517"/>
      <c r="J54" s="517"/>
      <c r="K54" s="517"/>
      <c r="L54" s="517"/>
      <c r="M54" s="518"/>
      <c r="N54" s="517"/>
      <c r="O54" s="519">
        <v>0.9</v>
      </c>
      <c r="P54" s="503"/>
      <c r="Q54" s="503"/>
    </row>
    <row r="55" spans="1:17" s="117" customFormat="1" ht="15">
      <c r="A55" s="520" t="s">
        <v>2553</v>
      </c>
      <c r="B55" s="509"/>
      <c r="C55" s="521" t="s">
        <v>2655</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2591</v>
      </c>
      <c r="B57" s="527" t="s">
        <v>2557</v>
      </c>
      <c r="C57" s="528" t="str">
        <f>C9</f>
        <v>工业</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3"/>
      <c r="O59" s="1153"/>
      <c r="P59" s="45"/>
      <c r="Q59" s="503"/>
    </row>
    <row r="60" spans="1:17" ht="15.75" thickBot="1">
      <c r="A60" s="533"/>
      <c r="B60" s="542"/>
      <c r="C60" s="543" t="s">
        <v>24</v>
      </c>
      <c r="D60" s="543" t="s">
        <v>25</v>
      </c>
      <c r="E60" s="543">
        <v>100</v>
      </c>
      <c r="F60" s="543">
        <f>E60-$K10</f>
        <v>99</v>
      </c>
      <c r="G60" s="543">
        <f>F60-$K10</f>
        <v>98</v>
      </c>
      <c r="H60" s="543">
        <f>G60-$K10</f>
        <v>97</v>
      </c>
      <c r="I60" s="543">
        <f>H60-$K10</f>
        <v>96</v>
      </c>
      <c r="J60" s="543"/>
      <c r="K60" s="543"/>
      <c r="L60" s="543"/>
      <c r="M60" s="544"/>
      <c r="N60" s="1154"/>
      <c r="O60" s="1154"/>
      <c r="P60" s="45"/>
      <c r="Q60" s="503"/>
    </row>
    <row r="61" spans="1:17" ht="15.75" thickTop="1">
      <c r="A61" s="533"/>
      <c r="B61" s="545" t="s">
        <v>2561</v>
      </c>
      <c r="C61" s="546" t="str">
        <f>C62&amp;"（含）"&amp;"-"&amp;D62</f>
        <v>1（含）-2</v>
      </c>
      <c r="D61" s="546" t="str">
        <f t="shared" ref="D61:L61" si="17">D62&amp;"（含）"&amp;"-"&amp;E62</f>
        <v>2（含）-3</v>
      </c>
      <c r="E61" s="546" t="str">
        <f t="shared" si="17"/>
        <v>3（含）-4</v>
      </c>
      <c r="F61" s="546" t="str">
        <f t="shared" si="17"/>
        <v>4（含）-5</v>
      </c>
      <c r="G61" s="546" t="str">
        <f t="shared" si="17"/>
        <v>5（含）-6</v>
      </c>
      <c r="H61" s="546" t="str">
        <f t="shared" si="17"/>
        <v>6（含）-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v>1</v>
      </c>
      <c r="D62" s="548">
        <v>2</v>
      </c>
      <c r="E62" s="548">
        <v>3</v>
      </c>
      <c r="F62" s="548">
        <v>4</v>
      </c>
      <c r="G62" s="548">
        <v>5</v>
      </c>
      <c r="H62" s="548">
        <v>6</v>
      </c>
      <c r="I62" s="548"/>
      <c r="J62" s="548"/>
      <c r="K62" s="549"/>
      <c r="L62" s="550"/>
      <c r="M62" s="551"/>
      <c r="N62" s="1153"/>
      <c r="O62" s="1153"/>
      <c r="P62" s="45"/>
      <c r="Q62" s="503"/>
    </row>
    <row r="63" spans="1:17" ht="15.75" thickBot="1">
      <c r="A63" s="533"/>
      <c r="B63" s="534"/>
      <c r="C63" s="543">
        <v>100</v>
      </c>
      <c r="D63" s="543">
        <f t="shared" ref="D63:M63" si="18">C63-$K11</f>
        <v>95</v>
      </c>
      <c r="E63" s="543">
        <f t="shared" si="18"/>
        <v>90</v>
      </c>
      <c r="F63" s="543">
        <f t="shared" si="18"/>
        <v>85</v>
      </c>
      <c r="G63" s="543">
        <f t="shared" si="18"/>
        <v>80</v>
      </c>
      <c r="H63" s="543">
        <f t="shared" si="18"/>
        <v>75</v>
      </c>
      <c r="I63" s="543">
        <f t="shared" si="18"/>
        <v>70</v>
      </c>
      <c r="J63" s="543">
        <f t="shared" si="18"/>
        <v>65</v>
      </c>
      <c r="K63" s="543">
        <f t="shared" si="18"/>
        <v>60</v>
      </c>
      <c r="L63" s="543">
        <f t="shared" si="18"/>
        <v>55</v>
      </c>
      <c r="M63" s="544">
        <f t="shared" si="18"/>
        <v>50</v>
      </c>
      <c r="N63" s="1154"/>
      <c r="O63" s="1154"/>
      <c r="P63" s="45"/>
      <c r="Q63" s="503"/>
    </row>
    <row r="64" spans="1:17" s="470" customFormat="1" ht="15.75" thickTop="1">
      <c r="A64" s="552"/>
      <c r="B64" s="537">
        <f>B12</f>
        <v>0</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0</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0</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3"/>
      <c r="O70" s="1153"/>
      <c r="P70" s="576"/>
      <c r="Q70" s="503"/>
    </row>
    <row r="71" spans="1:17" ht="15.75" thickBot="1">
      <c r="A71" s="533"/>
      <c r="B71" s="542"/>
      <c r="C71" s="543">
        <v>100</v>
      </c>
      <c r="D71" s="543">
        <f>C71-$K15</f>
        <v>98</v>
      </c>
      <c r="E71" s="543">
        <f>D71-$K15</f>
        <v>96</v>
      </c>
      <c r="F71" s="543">
        <f>E71-$K15</f>
        <v>94</v>
      </c>
      <c r="G71" s="543">
        <f>F71-$K15</f>
        <v>92</v>
      </c>
      <c r="H71" s="543"/>
      <c r="I71" s="543"/>
      <c r="J71" s="543"/>
      <c r="K71" s="543"/>
      <c r="L71" s="543"/>
      <c r="M71" s="544"/>
      <c r="N71" s="1154"/>
      <c r="O71" s="1154"/>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3"/>
      <c r="O72" s="1153"/>
      <c r="P72" s="45"/>
      <c r="Q72" s="503"/>
    </row>
    <row r="73" spans="1:17" ht="15.75" thickBot="1">
      <c r="A73" s="533"/>
      <c r="B73" s="542"/>
      <c r="C73" s="543">
        <v>100</v>
      </c>
      <c r="D73" s="543">
        <f>C73-$K17</f>
        <v>98</v>
      </c>
      <c r="E73" s="543">
        <f>D73-$K17</f>
        <v>96</v>
      </c>
      <c r="F73" s="543">
        <f>E73-$K17</f>
        <v>94</v>
      </c>
      <c r="G73" s="543">
        <f>F73-$K17</f>
        <v>92</v>
      </c>
      <c r="H73" s="543"/>
      <c r="I73" s="543"/>
      <c r="J73" s="543"/>
      <c r="K73" s="543"/>
      <c r="L73" s="543"/>
      <c r="M73" s="544"/>
      <c r="N73" s="1154"/>
      <c r="O73" s="1154"/>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3"/>
      <c r="O74" s="1153"/>
      <c r="P74" s="45"/>
      <c r="Q74" s="503"/>
    </row>
    <row r="75" spans="1:17" ht="15.75" thickBot="1">
      <c r="A75" s="533"/>
      <c r="B75" s="542"/>
      <c r="C75" s="543">
        <v>100</v>
      </c>
      <c r="D75" s="543">
        <f>C75-$K19</f>
        <v>98</v>
      </c>
      <c r="E75" s="543">
        <f>D75-$K19</f>
        <v>96</v>
      </c>
      <c r="F75" s="543">
        <f>E75-$K19</f>
        <v>94</v>
      </c>
      <c r="G75" s="543">
        <f>F75-$K19</f>
        <v>92</v>
      </c>
      <c r="H75" s="543"/>
      <c r="I75" s="543"/>
      <c r="J75" s="543"/>
      <c r="K75" s="543"/>
      <c r="L75" s="543"/>
      <c r="M75" s="544"/>
      <c r="N75" s="1154"/>
      <c r="O75" s="1154"/>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83"/>
      <c r="N76" s="1154"/>
      <c r="O76" s="1154"/>
      <c r="P76" s="45"/>
      <c r="Q76" s="503"/>
    </row>
    <row r="77" spans="1:17" ht="15.75" thickBot="1">
      <c r="A77" s="533"/>
      <c r="B77" s="545"/>
      <c r="C77" s="543">
        <v>100</v>
      </c>
      <c r="D77" s="543">
        <f>C77-$K21</f>
        <v>98</v>
      </c>
      <c r="E77" s="543">
        <f>D77-$K21</f>
        <v>96</v>
      </c>
      <c r="F77" s="543">
        <f>E77-$K21</f>
        <v>94</v>
      </c>
      <c r="G77" s="543">
        <f>F77-$K21</f>
        <v>92</v>
      </c>
      <c r="H77" s="659"/>
      <c r="I77" s="659"/>
      <c r="J77" s="659"/>
      <c r="K77" s="659"/>
      <c r="L77" s="659"/>
      <c r="M77" s="449"/>
      <c r="N77" s="1154"/>
      <c r="O77" s="1154"/>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3"/>
      <c r="O78" s="1153"/>
      <c r="P78" s="45"/>
      <c r="Q78" s="503"/>
    </row>
    <row r="79" spans="1:17" ht="15.75" thickBot="1">
      <c r="A79" s="533"/>
      <c r="B79" s="542"/>
      <c r="C79" s="543">
        <v>100</v>
      </c>
      <c r="D79" s="543">
        <f>C79-$K23</f>
        <v>98</v>
      </c>
      <c r="E79" s="543">
        <f>D79-$K23</f>
        <v>96</v>
      </c>
      <c r="F79" s="543">
        <f>E79-$K23</f>
        <v>94</v>
      </c>
      <c r="G79" s="543">
        <f>F79-$K23</f>
        <v>92</v>
      </c>
      <c r="H79" s="543"/>
      <c r="I79" s="543"/>
      <c r="J79" s="543"/>
      <c r="K79" s="543"/>
      <c r="L79" s="543"/>
      <c r="M79" s="544"/>
      <c r="N79" s="1154"/>
      <c r="O79" s="1154"/>
      <c r="P79" s="45"/>
      <c r="Q79" s="503"/>
    </row>
    <row r="80" spans="1:17" s="117" customFormat="1" ht="15.75" thickTop="1">
      <c r="A80" s="578"/>
      <c r="B80" s="537">
        <f>B25</f>
        <v>0</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0</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0</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0</v>
      </c>
      <c r="C86" s="522"/>
      <c r="D86" s="522"/>
      <c r="E86" s="522"/>
      <c r="F86" s="522"/>
      <c r="G86" s="586"/>
      <c r="H86" s="586"/>
      <c r="I86" s="586"/>
      <c r="J86" s="586"/>
      <c r="K86" s="587"/>
      <c r="L86" s="588"/>
      <c r="M86" s="589"/>
      <c r="N86" s="1153"/>
      <c r="O86" s="1153"/>
      <c r="P86" s="45"/>
      <c r="Q86" s="503"/>
    </row>
    <row r="87" spans="1:17" ht="15.75" thickBot="1">
      <c r="A87" s="2638"/>
      <c r="B87" s="568"/>
      <c r="C87" s="569"/>
      <c r="D87" s="569"/>
      <c r="E87" s="569"/>
      <c r="F87" s="569"/>
      <c r="G87" s="590"/>
      <c r="H87" s="590"/>
      <c r="I87" s="590"/>
      <c r="J87" s="590"/>
      <c r="K87" s="590"/>
      <c r="L87" s="590"/>
      <c r="M87" s="591"/>
      <c r="N87" s="1154"/>
      <c r="O87" s="1154"/>
      <c r="P87" s="45"/>
      <c r="Q87" s="503"/>
    </row>
    <row r="88" spans="1:17">
      <c r="A88" s="526" t="s">
        <v>2566</v>
      </c>
      <c r="B88" s="527" t="s">
        <v>2615</v>
      </c>
      <c r="C88" s="2935" t="s">
        <v>3082</v>
      </c>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95</v>
      </c>
      <c r="E89" s="543">
        <f t="shared" si="19"/>
        <v>90</v>
      </c>
      <c r="F89" s="543">
        <f t="shared" si="19"/>
        <v>85</v>
      </c>
      <c r="G89" s="543">
        <f t="shared" si="19"/>
        <v>80</v>
      </c>
      <c r="H89" s="543">
        <f t="shared" si="19"/>
        <v>75</v>
      </c>
      <c r="I89" s="543">
        <f t="shared" si="19"/>
        <v>70</v>
      </c>
      <c r="J89" s="543">
        <f t="shared" si="19"/>
        <v>65</v>
      </c>
      <c r="K89" s="543">
        <f t="shared" si="19"/>
        <v>60</v>
      </c>
      <c r="L89" s="543">
        <f t="shared" si="19"/>
        <v>55</v>
      </c>
      <c r="M89" s="544">
        <f t="shared" si="19"/>
        <v>50</v>
      </c>
      <c r="N89" s="1154"/>
      <c r="O89" s="1154"/>
      <c r="P89" s="45"/>
      <c r="Q89" s="503"/>
    </row>
    <row r="90" spans="1:17" ht="29.25" thickTop="1">
      <c r="A90" s="533"/>
      <c r="B90" s="537" t="s">
        <v>2616</v>
      </c>
      <c r="C90" s="577" t="str">
        <f>C91&amp;"(含)"&amp;"-"&amp;D91</f>
        <v>0(含)-2000</v>
      </c>
      <c r="D90" s="577" t="str">
        <f t="shared" ref="D90:L90" si="20">D91&amp;"(含)"&amp;"-"&amp;E91</f>
        <v>2000(含)-4000</v>
      </c>
      <c r="E90" s="577" t="str">
        <f t="shared" si="20"/>
        <v>4000(含)-6000</v>
      </c>
      <c r="F90" s="577" t="str">
        <f t="shared" si="20"/>
        <v>6000(含)-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v>0</v>
      </c>
      <c r="D91" s="594">
        <v>2000</v>
      </c>
      <c r="E91" s="594">
        <v>4000</v>
      </c>
      <c r="F91" s="594">
        <v>6000</v>
      </c>
      <c r="G91" s="594"/>
      <c r="H91" s="594"/>
      <c r="I91" s="594"/>
      <c r="J91" s="595"/>
      <c r="K91" s="595"/>
      <c r="L91" s="596"/>
      <c r="M91" s="597"/>
      <c r="N91" s="1155"/>
      <c r="O91" s="1155"/>
      <c r="P91" s="557"/>
      <c r="Q91" s="558"/>
    </row>
    <row r="92" spans="1:17" s="470" customFormat="1" ht="15.75" thickBot="1">
      <c r="A92" s="552"/>
      <c r="B92" s="542"/>
      <c r="C92" s="559">
        <v>100</v>
      </c>
      <c r="D92" s="535">
        <v>99</v>
      </c>
      <c r="E92" s="535">
        <v>98</v>
      </c>
      <c r="F92" s="535">
        <v>97</v>
      </c>
      <c r="G92" s="535"/>
      <c r="H92" s="535"/>
      <c r="I92" s="535"/>
      <c r="J92" s="535"/>
      <c r="K92" s="535"/>
      <c r="L92" s="535"/>
      <c r="M92" s="536"/>
      <c r="N92" s="1154"/>
      <c r="O92" s="1154"/>
      <c r="P92" s="557"/>
      <c r="Q92" s="558"/>
    </row>
    <row r="93" spans="1:17" ht="15" thickTop="1">
      <c r="A93" s="598"/>
      <c r="B93" s="537" t="s">
        <v>2617</v>
      </c>
      <c r="C93" s="2936" t="s">
        <v>3084</v>
      </c>
      <c r="D93" s="2936" t="s">
        <v>3085</v>
      </c>
      <c r="E93" s="2937" t="s">
        <v>3086</v>
      </c>
      <c r="F93" s="582"/>
      <c r="G93" s="582"/>
      <c r="H93" s="582"/>
      <c r="I93" s="582"/>
      <c r="J93" s="582"/>
      <c r="K93" s="583"/>
      <c r="L93" s="584"/>
      <c r="M93" s="585"/>
      <c r="N93" s="1153"/>
      <c r="O93" s="1153"/>
      <c r="P93" s="45"/>
      <c r="Q93" s="503"/>
    </row>
    <row r="94" spans="1:17" ht="15.75" thickBot="1">
      <c r="A94" s="533"/>
      <c r="B94" s="542"/>
      <c r="C94" s="543">
        <v>100</v>
      </c>
      <c r="D94" s="543">
        <f t="shared" ref="D94:M94" si="21">C94-$K31</f>
        <v>98</v>
      </c>
      <c r="E94" s="543">
        <f t="shared" si="21"/>
        <v>96</v>
      </c>
      <c r="F94" s="543">
        <f t="shared" si="21"/>
        <v>94</v>
      </c>
      <c r="G94" s="543">
        <f t="shared" si="21"/>
        <v>92</v>
      </c>
      <c r="H94" s="543">
        <f t="shared" si="21"/>
        <v>90</v>
      </c>
      <c r="I94" s="543">
        <f t="shared" si="21"/>
        <v>88</v>
      </c>
      <c r="J94" s="543">
        <f t="shared" si="21"/>
        <v>86</v>
      </c>
      <c r="K94" s="543">
        <f t="shared" si="21"/>
        <v>84</v>
      </c>
      <c r="L94" s="543">
        <f t="shared" si="21"/>
        <v>82</v>
      </c>
      <c r="M94" s="544">
        <f t="shared" si="21"/>
        <v>80</v>
      </c>
      <c r="N94" s="1154"/>
      <c r="O94" s="1154"/>
      <c r="P94" s="45"/>
      <c r="Q94" s="503"/>
    </row>
    <row r="95" spans="1:17" ht="15" thickTop="1">
      <c r="A95" s="598"/>
      <c r="B95" s="537" t="s">
        <v>2619</v>
      </c>
      <c r="C95" s="2936" t="s">
        <v>3087</v>
      </c>
      <c r="D95" s="2936" t="s">
        <v>3088</v>
      </c>
      <c r="E95" s="2936" t="s">
        <v>3089</v>
      </c>
      <c r="F95" s="2937" t="s">
        <v>3090</v>
      </c>
      <c r="G95" s="582"/>
      <c r="H95" s="582"/>
      <c r="I95" s="582"/>
      <c r="J95" s="582"/>
      <c r="K95" s="583"/>
      <c r="L95" s="584"/>
      <c r="M95" s="585"/>
      <c r="N95" s="1153"/>
      <c r="O95" s="1153"/>
      <c r="P95" s="45"/>
      <c r="Q95" s="503"/>
    </row>
    <row r="96" spans="1:17" ht="15.75" thickBot="1">
      <c r="A96" s="533"/>
      <c r="B96" s="542"/>
      <c r="C96" s="543">
        <v>100</v>
      </c>
      <c r="D96" s="543">
        <f t="shared" ref="D96:M96" si="22">C96-$K32</f>
        <v>98</v>
      </c>
      <c r="E96" s="543">
        <f t="shared" si="22"/>
        <v>96</v>
      </c>
      <c r="F96" s="543">
        <f t="shared" si="22"/>
        <v>94</v>
      </c>
      <c r="G96" s="543">
        <f t="shared" si="22"/>
        <v>92</v>
      </c>
      <c r="H96" s="543">
        <f t="shared" si="22"/>
        <v>90</v>
      </c>
      <c r="I96" s="543">
        <f t="shared" si="22"/>
        <v>88</v>
      </c>
      <c r="J96" s="543">
        <f t="shared" si="22"/>
        <v>86</v>
      </c>
      <c r="K96" s="543">
        <f t="shared" si="22"/>
        <v>84</v>
      </c>
      <c r="L96" s="543">
        <f t="shared" si="22"/>
        <v>82</v>
      </c>
      <c r="M96" s="544">
        <f t="shared" si="22"/>
        <v>80</v>
      </c>
      <c r="N96" s="1154"/>
      <c r="O96" s="1154"/>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101</v>
      </c>
      <c r="E99" s="543">
        <f t="shared" ref="E99:M99" si="23">D99+$K33</f>
        <v>102</v>
      </c>
      <c r="F99" s="543">
        <f t="shared" si="23"/>
        <v>103</v>
      </c>
      <c r="G99" s="543">
        <f t="shared" si="23"/>
        <v>104</v>
      </c>
      <c r="H99" s="543">
        <f t="shared" si="23"/>
        <v>105</v>
      </c>
      <c r="I99" s="543">
        <f t="shared" si="23"/>
        <v>106</v>
      </c>
      <c r="J99" s="543">
        <f t="shared" si="23"/>
        <v>107</v>
      </c>
      <c r="K99" s="543">
        <f t="shared" si="23"/>
        <v>108</v>
      </c>
      <c r="L99" s="543">
        <f t="shared" si="23"/>
        <v>109</v>
      </c>
      <c r="M99" s="543">
        <f t="shared" si="23"/>
        <v>110</v>
      </c>
      <c r="N99" s="1154"/>
      <c r="O99" s="1154"/>
      <c r="P99" s="45"/>
      <c r="Q99" s="503"/>
    </row>
    <row r="100" spans="1:17" s="470" customFormat="1" ht="15" thickTop="1">
      <c r="A100" s="592"/>
      <c r="B100" s="537" t="s">
        <v>2620</v>
      </c>
      <c r="C100" s="2936" t="s">
        <v>3091</v>
      </c>
      <c r="D100" s="2936" t="s">
        <v>3092</v>
      </c>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98</v>
      </c>
      <c r="E101" s="543">
        <f t="shared" ref="E101:M101" si="24">D101-$K34</f>
        <v>96</v>
      </c>
      <c r="F101" s="543">
        <f t="shared" si="24"/>
        <v>94</v>
      </c>
      <c r="G101" s="543">
        <f t="shared" si="24"/>
        <v>92</v>
      </c>
      <c r="H101" s="543">
        <f t="shared" si="24"/>
        <v>90</v>
      </c>
      <c r="I101" s="543">
        <f t="shared" si="24"/>
        <v>88</v>
      </c>
      <c r="J101" s="543">
        <f t="shared" si="24"/>
        <v>86</v>
      </c>
      <c r="K101" s="543">
        <f t="shared" si="24"/>
        <v>84</v>
      </c>
      <c r="L101" s="543">
        <f t="shared" si="24"/>
        <v>82</v>
      </c>
      <c r="M101" s="543">
        <f t="shared" si="24"/>
        <v>80</v>
      </c>
      <c r="N101" s="1155"/>
      <c r="O101" s="1155"/>
      <c r="P101" s="557"/>
      <c r="Q101" s="558"/>
    </row>
    <row r="102" spans="1:17" ht="15" thickTop="1">
      <c r="A102" s="598"/>
      <c r="B102" s="537" t="s">
        <v>2621</v>
      </c>
      <c r="C102" s="2936" t="s">
        <v>3093</v>
      </c>
      <c r="D102" s="2936" t="s">
        <v>3094</v>
      </c>
      <c r="E102" s="2936" t="s">
        <v>3095</v>
      </c>
      <c r="F102" s="2936" t="s">
        <v>3096</v>
      </c>
      <c r="G102" s="2936" t="s">
        <v>3097</v>
      </c>
      <c r="H102" s="582"/>
      <c r="I102" s="582"/>
      <c r="J102" s="582"/>
      <c r="K102" s="583"/>
      <c r="L102" s="584"/>
      <c r="M102" s="585"/>
      <c r="N102" s="1153"/>
      <c r="O102" s="1153"/>
      <c r="P102" s="45"/>
      <c r="Q102" s="503"/>
    </row>
    <row r="103" spans="1:17" ht="15.75" thickBot="1">
      <c r="A103" s="533"/>
      <c r="B103" s="542"/>
      <c r="C103" s="543">
        <v>100</v>
      </c>
      <c r="D103" s="543">
        <f t="shared" ref="D103:M103" si="25">C103-$K35</f>
        <v>99</v>
      </c>
      <c r="E103" s="543">
        <f t="shared" si="25"/>
        <v>98</v>
      </c>
      <c r="F103" s="543">
        <f t="shared" si="25"/>
        <v>97</v>
      </c>
      <c r="G103" s="543">
        <f t="shared" si="25"/>
        <v>96</v>
      </c>
      <c r="H103" s="543">
        <f t="shared" si="25"/>
        <v>95</v>
      </c>
      <c r="I103" s="543">
        <f t="shared" si="25"/>
        <v>94</v>
      </c>
      <c r="J103" s="543">
        <f t="shared" si="25"/>
        <v>93</v>
      </c>
      <c r="K103" s="543">
        <f t="shared" si="25"/>
        <v>92</v>
      </c>
      <c r="L103" s="543">
        <f t="shared" si="25"/>
        <v>91</v>
      </c>
      <c r="M103" s="544">
        <f t="shared" si="25"/>
        <v>90</v>
      </c>
      <c r="N103" s="1154"/>
      <c r="O103" s="1154"/>
      <c r="P103" s="45"/>
      <c r="Q103" s="503"/>
    </row>
    <row r="104" spans="1:17" ht="15" thickTop="1">
      <c r="A104" s="598"/>
      <c r="B104" s="537" t="s">
        <v>2623</v>
      </c>
      <c r="C104" s="2936" t="s">
        <v>3087</v>
      </c>
      <c r="D104" s="2936" t="s">
        <v>3088</v>
      </c>
      <c r="E104" s="2936" t="s">
        <v>3089</v>
      </c>
      <c r="F104" s="2937" t="s">
        <v>3090</v>
      </c>
      <c r="G104" s="553"/>
      <c r="H104" s="582"/>
      <c r="I104" s="582"/>
      <c r="J104" s="582"/>
      <c r="K104" s="583"/>
      <c r="L104" s="584"/>
      <c r="M104" s="585"/>
      <c r="N104" s="1153"/>
      <c r="O104" s="1153"/>
      <c r="P104" s="45"/>
      <c r="Q104" s="503"/>
    </row>
    <row r="105" spans="1:17" ht="15.75" thickBot="1">
      <c r="A105" s="533"/>
      <c r="B105" s="542"/>
      <c r="C105" s="543">
        <v>100</v>
      </c>
      <c r="D105" s="543">
        <f>C105-$K36</f>
        <v>98</v>
      </c>
      <c r="E105" s="543">
        <f>D105-$K36</f>
        <v>96</v>
      </c>
      <c r="F105" s="543">
        <f>E105-$K36</f>
        <v>94</v>
      </c>
      <c r="G105" s="543">
        <f>F105-$K36</f>
        <v>92</v>
      </c>
      <c r="H105" s="543"/>
      <c r="I105" s="543"/>
      <c r="J105" s="543"/>
      <c r="K105" s="543"/>
      <c r="L105" s="543"/>
      <c r="M105" s="544"/>
      <c r="N105" s="1154"/>
      <c r="O105" s="1154"/>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4"/>
      <c r="O106" s="1154"/>
      <c r="P106" s="636"/>
      <c r="Q106" s="637"/>
    </row>
    <row r="107" spans="1:17" ht="15.75" thickBot="1">
      <c r="A107" s="533"/>
      <c r="B107" s="542"/>
      <c r="C107" s="581">
        <v>100</v>
      </c>
      <c r="D107" s="543">
        <f t="shared" ref="D107:M107" si="26">C107-$K37</f>
        <v>98</v>
      </c>
      <c r="E107" s="543">
        <f t="shared" si="26"/>
        <v>96</v>
      </c>
      <c r="F107" s="543">
        <f t="shared" si="26"/>
        <v>94</v>
      </c>
      <c r="G107" s="543">
        <f t="shared" si="26"/>
        <v>92</v>
      </c>
      <c r="H107" s="543">
        <f t="shared" si="26"/>
        <v>90</v>
      </c>
      <c r="I107" s="543">
        <f t="shared" si="26"/>
        <v>88</v>
      </c>
      <c r="J107" s="543">
        <f t="shared" si="26"/>
        <v>86</v>
      </c>
      <c r="K107" s="543">
        <f t="shared" si="26"/>
        <v>84</v>
      </c>
      <c r="L107" s="543">
        <f t="shared" si="26"/>
        <v>82</v>
      </c>
      <c r="M107" s="543">
        <f t="shared" si="26"/>
        <v>80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8"/>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7" priority="16" stopIfTrue="1" operator="containsText" text="超过">
      <formula>NOT(ISERROR(SEARCH("超过",F46)))</formula>
    </cfRule>
  </conditionalFormatting>
  <conditionalFormatting sqref="H48">
    <cfRule type="containsText" dxfId="126" priority="15" stopIfTrue="1" operator="containsText" text="超过">
      <formula>NOT(ISERROR(SEARCH("超过",H48)))</formula>
    </cfRule>
  </conditionalFormatting>
  <conditionalFormatting sqref="F48">
    <cfRule type="containsText" dxfId="125" priority="14" stopIfTrue="1" operator="containsText" text="超过">
      <formula>NOT(ISERROR(SEARCH("超过",F48)))</formula>
    </cfRule>
  </conditionalFormatting>
  <conditionalFormatting sqref="F47 H47">
    <cfRule type="containsText" dxfId="124" priority="13" stopIfTrue="1" operator="containsText" text="超过">
      <formula>NOT(ISERROR(SEARCH("超过",F47)))</formula>
    </cfRule>
  </conditionalFormatting>
  <conditionalFormatting sqref="E46">
    <cfRule type="expression" dxfId="123" priority="12" stopIfTrue="1">
      <formula>$F$46="超过30%"</formula>
    </cfRule>
  </conditionalFormatting>
  <conditionalFormatting sqref="E47">
    <cfRule type="expression" dxfId="122" priority="11" stopIfTrue="1">
      <formula>$F$47="超过20%"</formula>
    </cfRule>
  </conditionalFormatting>
  <conditionalFormatting sqref="E48">
    <cfRule type="expression" dxfId="121" priority="10" stopIfTrue="1">
      <formula>$F$48="超过30%"</formula>
    </cfRule>
  </conditionalFormatting>
  <conditionalFormatting sqref="G48">
    <cfRule type="expression" dxfId="120" priority="9" stopIfTrue="1">
      <formula>$H$48="超过30%"</formula>
    </cfRule>
  </conditionalFormatting>
  <conditionalFormatting sqref="G46">
    <cfRule type="expression" dxfId="119" priority="8" stopIfTrue="1">
      <formula>$H$46="超过30%"</formula>
    </cfRule>
  </conditionalFormatting>
  <conditionalFormatting sqref="G47">
    <cfRule type="expression" dxfId="118" priority="7" stopIfTrue="1">
      <formula>$H$47="超过20%"</formula>
    </cfRule>
  </conditionalFormatting>
  <conditionalFormatting sqref="J46">
    <cfRule type="containsText" dxfId="117" priority="6" stopIfTrue="1" operator="containsText" text="超过">
      <formula>NOT(ISERROR(SEARCH("超过",J46)))</formula>
    </cfRule>
  </conditionalFormatting>
  <conditionalFormatting sqref="J48">
    <cfRule type="containsText" dxfId="116" priority="5" stopIfTrue="1" operator="containsText" text="超过">
      <formula>NOT(ISERROR(SEARCH("超过",J48)))</formula>
    </cfRule>
  </conditionalFormatting>
  <conditionalFormatting sqref="J47">
    <cfRule type="containsText" dxfId="115" priority="4" stopIfTrue="1" operator="containsText" text="超过">
      <formula>NOT(ISERROR(SEARCH("超过",J47)))</formula>
    </cfRule>
  </conditionalFormatting>
  <conditionalFormatting sqref="I46">
    <cfRule type="expression" dxfId="114" priority="3" stopIfTrue="1">
      <formula>$J$46="超过30%"</formula>
    </cfRule>
  </conditionalFormatting>
  <conditionalFormatting sqref="I47">
    <cfRule type="expression" dxfId="113" priority="2" stopIfTrue="1">
      <formula>$J$47="超过20%"</formula>
    </cfRule>
  </conditionalFormatting>
  <conditionalFormatting sqref="I48">
    <cfRule type="expression" dxfId="11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K53" sqref="K53:L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3070</v>
      </c>
      <c r="D1" s="1822" t="s">
        <v>70</v>
      </c>
      <c r="E1" s="1823" t="s">
        <v>1388</v>
      </c>
      <c r="F1" s="1284">
        <f ca="1">J53</f>
        <v>39.619999999999997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3792</v>
      </c>
      <c r="C2" s="1847" t="s">
        <v>1518</v>
      </c>
      <c r="D2" s="1847"/>
      <c r="E2" s="1848"/>
      <c r="F2" s="1849"/>
      <c r="G2" s="1850"/>
      <c r="H2" s="1842"/>
      <c r="I2" s="1842"/>
      <c r="J2" s="1842"/>
      <c r="K2" s="1843"/>
      <c r="L2" s="1842"/>
      <c r="M2" s="1842"/>
    </row>
    <row r="3" spans="1:37" ht="18" customHeight="1" thickBot="1">
      <c r="A3" s="1851" t="s">
        <v>1519</v>
      </c>
      <c r="B3" s="1852">
        <f ca="1">IF(ISERROR(B2*10000/F43),0,ROUND(B2*10000/F43,0))</f>
        <v>7902</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238</v>
      </c>
      <c r="D5" s="1824" t="s">
        <v>1403</v>
      </c>
      <c r="E5" s="1294"/>
      <c r="F5" s="1295"/>
      <c r="G5" s="1853"/>
      <c r="H5" s="343">
        <v>1</v>
      </c>
      <c r="I5" s="344" t="s">
        <v>1402</v>
      </c>
      <c r="J5" s="1293">
        <f ca="1">J6+J10+J12</f>
        <v>3</v>
      </c>
      <c r="K5" s="1824" t="s">
        <v>1403</v>
      </c>
      <c r="L5" s="1294"/>
      <c r="M5" s="1295"/>
    </row>
    <row r="6" spans="1:37" ht="18" customHeight="1">
      <c r="A6" s="1292" t="s">
        <v>1035</v>
      </c>
      <c r="B6" s="3189" t="s">
        <v>1404</v>
      </c>
      <c r="C6" s="1297">
        <f ca="1">ROUND(F6*F8*F7*(1-F9)/10000,0)</f>
        <v>238</v>
      </c>
      <c r="D6" s="163" t="s">
        <v>3039</v>
      </c>
      <c r="E6" s="346" t="s">
        <v>1406</v>
      </c>
      <c r="F6" s="347">
        <f ca="1">INDIRECT("'数据-取费表'!u"&amp;$G$1)</f>
        <v>1.6</v>
      </c>
      <c r="G6" s="1853"/>
      <c r="H6" s="1292" t="s">
        <v>1035</v>
      </c>
      <c r="I6" s="3189" t="s">
        <v>1404</v>
      </c>
      <c r="J6" s="345">
        <f ca="1">ROUND(M6*M8*M7*(1-M9)/10000,0)</f>
        <v>3</v>
      </c>
      <c r="K6" s="163" t="s">
        <v>3038</v>
      </c>
      <c r="L6" s="346" t="s">
        <v>1406</v>
      </c>
      <c r="M6" s="347">
        <f ca="1">INDIRECT("'数据-取费表'!z"&amp;$G$1)</f>
        <v>1.4999999999999999E-2</v>
      </c>
    </row>
    <row r="7" spans="1:37" ht="18" customHeight="1">
      <c r="A7" s="1296"/>
      <c r="B7" s="3190"/>
      <c r="C7" s="1298"/>
      <c r="D7" s="351"/>
      <c r="E7" s="1299" t="s">
        <v>1407</v>
      </c>
      <c r="F7" s="347">
        <f ca="1">IF(INDIRECT("'数据-取费表'!ah"&amp;$G$1)="",INDIRECT("'数据-取费表'!k"&amp;$G$1),INDIRECT("'数据-取费表'!ah"&amp;$G$1))</f>
        <v>4799.08</v>
      </c>
      <c r="G7" s="1853"/>
      <c r="H7" s="348"/>
      <c r="I7" s="3190"/>
      <c r="J7" s="350"/>
      <c r="K7" s="351"/>
      <c r="L7" s="346" t="s">
        <v>1407</v>
      </c>
      <c r="M7" s="347">
        <f ca="1">F7</f>
        <v>4799.08</v>
      </c>
    </row>
    <row r="8" spans="1:37" ht="18" customHeight="1">
      <c r="A8" s="348"/>
      <c r="B8" s="3190"/>
      <c r="C8" s="350"/>
      <c r="D8" s="351"/>
      <c r="E8" s="346" t="s">
        <v>1408</v>
      </c>
      <c r="F8" s="347">
        <f ca="1">INDIRECT("'数据-取费表'!ai"&amp;$G$1)</f>
        <v>365</v>
      </c>
      <c r="G8" s="1853"/>
      <c r="H8" s="348"/>
      <c r="I8" s="3190"/>
      <c r="J8" s="350"/>
      <c r="K8" s="351"/>
      <c r="L8" s="346" t="s">
        <v>1408</v>
      </c>
      <c r="M8" s="347">
        <f ca="1">INDIRECT("'数据-取费表'!ai"&amp;$G$1)</f>
        <v>365</v>
      </c>
    </row>
    <row r="9" spans="1:37" ht="18" customHeight="1">
      <c r="A9" s="348"/>
      <c r="B9" s="3191"/>
      <c r="C9" s="350"/>
      <c r="D9" s="351"/>
      <c r="E9" s="346" t="s">
        <v>1409</v>
      </c>
      <c r="F9" s="356">
        <f ca="1">INDIRECT("'数据-取费表'!w"&amp;$G$1)</f>
        <v>0.15</v>
      </c>
      <c r="G9" s="1853"/>
      <c r="H9" s="348"/>
      <c r="I9" s="3191"/>
      <c r="J9" s="350"/>
      <c r="K9" s="351"/>
      <c r="L9" s="357" t="s">
        <v>1409</v>
      </c>
      <c r="M9" s="358">
        <f ca="1">INDIRECT("'数据-取费表'!ab"&amp;$G$1)</f>
        <v>0.01</v>
      </c>
    </row>
    <row r="10" spans="1:37" ht="18" customHeight="1">
      <c r="A10" s="1292" t="s">
        <v>1039</v>
      </c>
      <c r="B10" s="1825" t="s">
        <v>1410</v>
      </c>
      <c r="C10" s="360">
        <f ca="1">ROUND(IF(F10="押一",F6*F8*F7/12*F11,IF(F10="押二",F6*F8*F7/12*2*F11,IF(F10="押三",F6*F8*F7/12*3*F11,C11*F11)))/10000,0)</f>
        <v>0</v>
      </c>
      <c r="D10" s="1826" t="s">
        <v>3040</v>
      </c>
      <c r="E10" s="357" t="s">
        <v>1412</v>
      </c>
      <c r="F10" s="1367" t="s">
        <v>3106</v>
      </c>
      <c r="G10" s="1853"/>
      <c r="H10" s="1292" t="s">
        <v>1039</v>
      </c>
      <c r="I10" s="1825" t="s">
        <v>1410</v>
      </c>
      <c r="J10" s="345">
        <f ca="1">ROUND(IF(M10="押一",M6*M8*M7/12*M11,IF(M10="押二",M6*M8*M7/12*2*M11,IF(M10="押三",M6*M8*M7/12*3*M11,J11*M11)))/10000,0)</f>
        <v>0</v>
      </c>
      <c r="K10" s="1826" t="s">
        <v>3041</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1600</v>
      </c>
      <c r="D13" s="1332" t="s">
        <v>1417</v>
      </c>
      <c r="E13" s="1332" t="s">
        <v>1418</v>
      </c>
      <c r="F13" s="1333">
        <f ca="1">INDIRECT("'数据-取费表'!y"&amp;$G$1)</f>
        <v>0.93</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1200</v>
      </c>
      <c r="D14" s="1802" t="s">
        <v>1420</v>
      </c>
      <c r="E14" s="1796"/>
      <c r="F14" s="363"/>
      <c r="G14" s="1853"/>
      <c r="H14" s="1202" t="s">
        <v>1035</v>
      </c>
      <c r="I14" s="346" t="s">
        <v>1421</v>
      </c>
      <c r="J14" s="24">
        <f ca="1">C29</f>
        <v>1720</v>
      </c>
      <c r="K14" s="15"/>
      <c r="L14" s="981"/>
      <c r="M14" s="982"/>
    </row>
    <row r="15" spans="1:37" s="1860" customFormat="1" ht="18" customHeight="1" thickBot="1">
      <c r="A15" s="1202" t="s">
        <v>1036</v>
      </c>
      <c r="B15" s="346" t="s">
        <v>1422</v>
      </c>
      <c r="C15" s="24">
        <f ca="1">ROUND(C14*F15,0)</f>
        <v>60</v>
      </c>
      <c r="D15" s="364" t="s">
        <v>1423</v>
      </c>
      <c r="E15" s="364" t="s">
        <v>1424</v>
      </c>
      <c r="F15" s="365">
        <f>'数据-取费表'!B33</f>
        <v>0.05</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4">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40</v>
      </c>
      <c r="K16" s="1338" t="s">
        <v>1427</v>
      </c>
      <c r="L16" s="1339"/>
      <c r="M16" s="1295"/>
    </row>
    <row r="17" spans="1:37" s="1860" customFormat="1" ht="18" customHeight="1">
      <c r="A17" s="1202" t="s">
        <v>1391</v>
      </c>
      <c r="B17" s="346" t="s">
        <v>1428</v>
      </c>
      <c r="C17" s="24">
        <f ca="1">ROUND(F17*(F43+INDIRECT("'数据-取费表'!S"&amp;$G$1))/10000,0)</f>
        <v>96</v>
      </c>
      <c r="D17" s="346" t="s">
        <v>1429</v>
      </c>
      <c r="E17" s="346" t="s">
        <v>1430</v>
      </c>
      <c r="F17" s="26">
        <f>'数据-取费表'!B35</f>
        <v>200</v>
      </c>
      <c r="G17" s="1856"/>
      <c r="H17" s="1202" t="s">
        <v>1035</v>
      </c>
      <c r="I17" s="346" t="s">
        <v>1431</v>
      </c>
      <c r="J17" s="24">
        <f ca="1">ROUND(IF(项目基本情况!B11="自然人",J5*M17,J18+J19+J20),1)</f>
        <v>14.6</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4">
        <f ca="1">ROUND(C14*F18,0)</f>
        <v>18</v>
      </c>
      <c r="D18" s="346" t="s">
        <v>1423</v>
      </c>
      <c r="E18" s="346" t="s">
        <v>1424</v>
      </c>
      <c r="F18" s="366">
        <f>'数据-取费表'!B36</f>
        <v>1.4999999999999999E-2</v>
      </c>
      <c r="G18" s="1856"/>
      <c r="H18" s="1202" t="s">
        <v>1034</v>
      </c>
      <c r="I18" s="346" t="s">
        <v>1435</v>
      </c>
      <c r="J18" s="24">
        <f ca="1">ROUND(J5*M18/(1+'数据-取费表'!C42),2)</f>
        <v>0.16</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4">
        <f ca="1">SUM(C14:C18)</f>
        <v>1374</v>
      </c>
      <c r="D19" s="139" t="s">
        <v>1438</v>
      </c>
      <c r="E19" s="1820"/>
      <c r="F19" s="26"/>
      <c r="G19" s="1853"/>
      <c r="H19" s="1202" t="s">
        <v>1036</v>
      </c>
      <c r="I19" s="346" t="s">
        <v>1439</v>
      </c>
      <c r="J19" s="24">
        <f ca="1">IF(K19="按租金收入计税",ROUND(J5*M19,2),ROUND(C29*M19*0.7,2))</f>
        <v>14.45</v>
      </c>
      <c r="K19" s="1830" t="s">
        <v>1440</v>
      </c>
      <c r="L19" s="346" t="s">
        <v>1424</v>
      </c>
      <c r="M19" s="366">
        <f>IF(K19="按租金收入计税",'数据-取费表'!B51,'数据-取费表'!B50)</f>
        <v>1.2E-2</v>
      </c>
    </row>
    <row r="20" spans="1:37" s="1860" customFormat="1" ht="18" customHeight="1">
      <c r="A20" s="1202" t="s">
        <v>1039</v>
      </c>
      <c r="B20" s="346" t="s">
        <v>1441</v>
      </c>
      <c r="C20" s="24">
        <f ca="1">ROUND(C19*F20,0)</f>
        <v>27</v>
      </c>
      <c r="D20" s="368" t="s">
        <v>1442</v>
      </c>
      <c r="E20" s="346" t="s">
        <v>1424</v>
      </c>
      <c r="F20" s="366">
        <f>'数据-取费表'!B37</f>
        <v>0.02</v>
      </c>
      <c r="G20" s="1856"/>
      <c r="H20" s="1202" t="s">
        <v>1390</v>
      </c>
      <c r="I20" s="163" t="s">
        <v>1443</v>
      </c>
      <c r="J20" s="25">
        <f ca="1">ROUND(M20*M21/10000,2)</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4" t="s">
        <v>18</v>
      </c>
      <c r="D21" s="368" t="s">
        <v>1447</v>
      </c>
      <c r="E21" s="346" t="s">
        <v>1448</v>
      </c>
      <c r="F21" s="366">
        <f>'数据-取费表'!B38</f>
        <v>0.02</v>
      </c>
      <c r="G21" s="1856"/>
      <c r="H21" s="371"/>
      <c r="I21" s="355"/>
      <c r="J21" s="29"/>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4"/>
      <c r="D22" s="139" t="str">
        <f>IF(F23&lt;=1,"单利计息。","复利计息。")&amp;"建造成本、管理费用、销售费用产生的利息。"</f>
        <v>复利计息。建造成本、管理费用、销售费用产生的利息。</v>
      </c>
      <c r="E22" s="1820"/>
      <c r="F22" s="26"/>
      <c r="G22" s="1853"/>
      <c r="H22" s="1202" t="s">
        <v>1039</v>
      </c>
      <c r="I22" s="346" t="s">
        <v>1451</v>
      </c>
      <c r="J22" s="24">
        <f ca="1">ROUND(J14*M22,1)</f>
        <v>25.8</v>
      </c>
      <c r="K22" s="1800" t="s">
        <v>1452</v>
      </c>
      <c r="L22" s="346" t="s">
        <v>1424</v>
      </c>
      <c r="M22" s="373">
        <f ca="1">INDIRECT("'数据-取费表'!Ak"&amp;$G$1)</f>
        <v>1.4999999999999999E-2</v>
      </c>
    </row>
    <row r="23" spans="1:37" s="1860" customFormat="1" ht="18" customHeight="1">
      <c r="A23" s="1202" t="s">
        <v>1034</v>
      </c>
      <c r="B23" s="346" t="s">
        <v>1453</v>
      </c>
      <c r="C23" s="24">
        <f ca="1">IF('数据-取费表'!B22&lt;=1,ROUND(C19*F24*F23/2,0)+ROUND(C20*F24*F23/2,0),ROUND(C19*(POWER((1+F24),F23/2)-1),0)+ROUND(C20*(POWER((1+F24),F23/2)-1),0))</f>
        <v>50</v>
      </c>
      <c r="D23" s="374" t="str">
        <f>IF(F23&lt;=1,"(建造成本+管理费用)×利率×(建设周期÷2)","(建造成本+管理费用)×((1+利率)^(建设周期÷2)-1)")</f>
        <v>(建造成本+管理费用)×((1+利率)^(建设周期÷2)-1)</v>
      </c>
      <c r="E23" s="346" t="s">
        <v>1454</v>
      </c>
      <c r="F23" s="370">
        <f>'数据-取费表'!B20</f>
        <v>1.5</v>
      </c>
      <c r="G23" s="1856"/>
      <c r="H23" s="1202" t="s">
        <v>1075</v>
      </c>
      <c r="I23" s="346" t="s">
        <v>1455</v>
      </c>
      <c r="J23" s="24">
        <f ca="1">ROUND(J13*M23,1)</f>
        <v>0</v>
      </c>
      <c r="K23" s="1800" t="s">
        <v>1456</v>
      </c>
      <c r="L23" s="346" t="s">
        <v>1457</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4">
        <f ca="1">ROUND(IF('数据-取费表'!B22&lt;=1,F21*F24*F23/2,F21*(POWER((1+F24),F23/2)-1)),4)</f>
        <v>6.9999999999999999E-4</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4"/>
      <c r="D25" s="139" t="s">
        <v>1464</v>
      </c>
      <c r="E25" s="1820"/>
      <c r="F25" s="26"/>
      <c r="G25" s="1853"/>
      <c r="H25" s="1330" t="s">
        <v>1031</v>
      </c>
      <c r="I25" s="1345" t="s">
        <v>1465</v>
      </c>
      <c r="J25" s="354">
        <f ca="1">J5-J16</f>
        <v>-37</v>
      </c>
      <c r="K25" s="1346" t="s">
        <v>1466</v>
      </c>
      <c r="L25" s="1347"/>
      <c r="M25" s="1348"/>
    </row>
    <row r="26" spans="1:37">
      <c r="A26" s="1202" t="s">
        <v>1034</v>
      </c>
      <c r="B26" s="346" t="s">
        <v>1467</v>
      </c>
      <c r="C26" s="24">
        <f ca="1">ROUND((C19+C20)*F26,0)</f>
        <v>140</v>
      </c>
      <c r="D26" s="368" t="s">
        <v>1468</v>
      </c>
      <c r="E26" s="357" t="s">
        <v>1469</v>
      </c>
      <c r="F26" s="356">
        <f ca="1">INDIRECT("'数据-取费表'!q"&amp;$G$1)</f>
        <v>0.1</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2" t="s">
        <v>1036</v>
      </c>
      <c r="B27" s="346" t="s">
        <v>1473</v>
      </c>
      <c r="C27" s="24">
        <f ca="1">ROUND(F21*F26,4)</f>
        <v>2E-3</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4">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1.5E-3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1720</v>
      </c>
      <c r="D29" s="1343"/>
      <c r="E29" s="1341"/>
      <c r="F29" s="1344"/>
      <c r="G29" s="1856"/>
      <c r="H29" s="379" t="s">
        <v>1033</v>
      </c>
      <c r="I29" s="380" t="s">
        <v>1481</v>
      </c>
      <c r="J29" s="381">
        <f ca="1">ROUND(J26/(1+F40)^F41,0)</f>
        <v>0</v>
      </c>
      <c r="K29" s="382" t="s">
        <v>1482</v>
      </c>
      <c r="L29" s="383"/>
      <c r="M29" s="384">
        <f ca="1">INDIRECT("'数据-取费表'!k"&amp;$G$1)</f>
        <v>4799.08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58</v>
      </c>
      <c r="D30" s="1338" t="s">
        <v>1427</v>
      </c>
      <c r="E30" s="1339"/>
      <c r="F30" s="1295"/>
      <c r="G30" s="1853"/>
      <c r="H30" s="744"/>
      <c r="I30" s="745"/>
      <c r="J30" s="746"/>
      <c r="K30" s="747"/>
      <c r="L30" s="748"/>
      <c r="M30" s="749"/>
    </row>
    <row r="31" spans="1:37" ht="18" customHeight="1">
      <c r="A31" s="1202" t="s">
        <v>1035</v>
      </c>
      <c r="B31" s="346" t="s">
        <v>1431</v>
      </c>
      <c r="C31" s="24">
        <f ca="1">ROUND(IF(项目基本情况!B11="自然人",C5*F31,C32+C33+C34),1)</f>
        <v>26.9</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4">
        <f ca="1">IF(项目基本情况!B11="自然人","——",ROUND(C5*F32/(1+'数据-取费表'!C42),2))</f>
        <v>12.47</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4">
        <f ca="1">IF(项目基本情况!B11="自然人","——",IF(D33="按租金收入计税",ROUND(C5*F33,2),IF(D33="按房产原值计税",ROUND(C29*F33*0.7,2),INDIRECT("'数据-取费表'!Aj"&amp;$G$1))))</f>
        <v>14.45</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5">
        <f ca="1">IF(项目基本情况!B11="自然人","——",ROUND(F34*F35/10000,2))</f>
        <v>0</v>
      </c>
      <c r="D34" s="369" t="s">
        <v>1444</v>
      </c>
      <c r="E34" s="346" t="s">
        <v>1445</v>
      </c>
      <c r="F34" s="370">
        <f>'数据-取费表'!B52</f>
        <v>1.5</v>
      </c>
      <c r="G34" s="1853"/>
      <c r="H34" s="744"/>
      <c r="I34" s="1862"/>
      <c r="J34" s="1863"/>
      <c r="K34" s="1865"/>
      <c r="L34" s="1866"/>
      <c r="M34" s="1866"/>
    </row>
    <row r="35" spans="1:18" ht="18" customHeight="1">
      <c r="A35" s="1354"/>
      <c r="B35" s="1352"/>
      <c r="C35" s="29"/>
      <c r="D35" s="372"/>
      <c r="E35" s="346" t="s">
        <v>1449</v>
      </c>
      <c r="F35" s="347">
        <f ca="1">INDIRECT("'数据-取费表'!r"&amp;$G$1)</f>
        <v>0</v>
      </c>
      <c r="G35" s="1853"/>
      <c r="H35" s="744"/>
      <c r="I35" s="1862"/>
      <c r="J35" s="1863"/>
      <c r="K35" s="1864"/>
      <c r="L35" s="1861"/>
      <c r="M35" s="1861"/>
    </row>
    <row r="36" spans="1:18" ht="18" customHeight="1">
      <c r="A36" s="1353" t="s">
        <v>1039</v>
      </c>
      <c r="B36" s="346" t="s">
        <v>1451</v>
      </c>
      <c r="C36" s="24">
        <f ca="1">ROUND(C29*F36,1)</f>
        <v>25.8</v>
      </c>
      <c r="D36" s="1800" t="s">
        <v>1484</v>
      </c>
      <c r="E36" s="346" t="s">
        <v>1424</v>
      </c>
      <c r="F36" s="373">
        <f ca="1">INDIRECT("'数据-取费表'!Ak"&amp;$G$1)</f>
        <v>1.4999999999999999E-2</v>
      </c>
      <c r="G36" s="1853"/>
      <c r="H36" s="1861"/>
      <c r="I36" s="1862"/>
      <c r="J36" s="1863"/>
      <c r="K36" s="750"/>
      <c r="L36" s="1861"/>
      <c r="M36" s="1861"/>
    </row>
    <row r="37" spans="1:18" ht="18" customHeight="1">
      <c r="A37" s="1202" t="s">
        <v>1075</v>
      </c>
      <c r="B37" s="346" t="s">
        <v>1455</v>
      </c>
      <c r="C37" s="24">
        <f ca="1">ROUND(C13*F37,1)</f>
        <v>2.4</v>
      </c>
      <c r="D37" s="1800" t="s">
        <v>1456</v>
      </c>
      <c r="E37" s="346" t="s">
        <v>1457</v>
      </c>
      <c r="F37" s="375">
        <f ca="1">INDIRECT("'数据-取费表'!Al"&amp;$G$1)</f>
        <v>1.5E-3</v>
      </c>
      <c r="G37" s="1853"/>
      <c r="H37" s="1861"/>
      <c r="I37" s="1862"/>
      <c r="J37" s="1863"/>
      <c r="K37" s="750"/>
      <c r="L37" s="1861"/>
      <c r="M37" s="1861"/>
    </row>
    <row r="38" spans="1:18" ht="18" customHeight="1" thickBot="1">
      <c r="A38" s="1340" t="s">
        <v>1394</v>
      </c>
      <c r="B38" s="1341" t="s">
        <v>1441</v>
      </c>
      <c r="C38" s="1342">
        <f ca="1">ROUND(C5*F38,1)</f>
        <v>2.4</v>
      </c>
      <c r="D38" s="1343" t="s">
        <v>1461</v>
      </c>
      <c r="E38" s="1341" t="s">
        <v>1457</v>
      </c>
      <c r="F38" s="1337">
        <f ca="1">INDIRECT("'数据-取费表'!Am"&amp;$G$1)</f>
        <v>0.01</v>
      </c>
      <c r="G38" s="1853"/>
      <c r="H38" s="1861"/>
      <c r="I38" s="1862"/>
      <c r="J38" s="1863"/>
      <c r="K38" s="1867"/>
      <c r="L38" s="1861"/>
      <c r="M38" s="1861"/>
    </row>
    <row r="39" spans="1:18" ht="24.6" customHeight="1" thickTop="1">
      <c r="A39" s="1330" t="s">
        <v>1031</v>
      </c>
      <c r="B39" s="1345" t="s">
        <v>1485</v>
      </c>
      <c r="C39" s="354">
        <f ca="1">C5-C30</f>
        <v>180</v>
      </c>
      <c r="D39" s="1346" t="s">
        <v>1486</v>
      </c>
      <c r="E39" s="1347"/>
      <c r="F39" s="1348"/>
      <c r="G39" s="1853"/>
      <c r="H39" s="1861"/>
      <c r="I39" s="1862"/>
      <c r="J39" s="1863"/>
      <c r="K39" s="1867"/>
      <c r="L39" s="1861"/>
      <c r="M39" s="1861"/>
    </row>
    <row r="40" spans="1:18" ht="18" customHeight="1">
      <c r="A40" s="343" t="s">
        <v>1032</v>
      </c>
      <c r="B40" s="344" t="s">
        <v>1487</v>
      </c>
      <c r="C40" s="345">
        <f ca="1">ROUND(C39*(1-((1+F42)/(1+F40))^F41)/(F40-F42),0)</f>
        <v>3792</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39.619999999999997</v>
      </c>
      <c r="G41" s="1853"/>
      <c r="H41" s="731"/>
      <c r="I41" s="1862"/>
      <c r="J41" s="1863"/>
      <c r="K41" s="750"/>
      <c r="L41" s="731"/>
      <c r="M41" s="731"/>
    </row>
    <row r="42" spans="1:18" ht="18" customHeight="1">
      <c r="A42" s="352"/>
      <c r="B42" s="353"/>
      <c r="C42" s="354"/>
      <c r="D42" s="372"/>
      <c r="E42" s="346" t="s">
        <v>1479</v>
      </c>
      <c r="F42" s="356">
        <f ca="1">INDIRECT("'数据-取费表'!v"&amp;$G$1)</f>
        <v>0.02</v>
      </c>
      <c r="G42" s="1853"/>
      <c r="H42" s="731"/>
      <c r="I42" s="1862"/>
      <c r="J42" s="1863"/>
      <c r="K42" s="750"/>
      <c r="L42" s="731"/>
      <c r="M42" s="731"/>
    </row>
    <row r="43" spans="1:18" ht="18" customHeight="1" thickBot="1">
      <c r="A43" s="379" t="s">
        <v>1033</v>
      </c>
      <c r="B43" s="380" t="s">
        <v>1489</v>
      </c>
      <c r="C43" s="381">
        <f ca="1">ROUND(C40*10000/F43,0)</f>
        <v>7902</v>
      </c>
      <c r="D43" s="382" t="s">
        <v>1490</v>
      </c>
      <c r="E43" s="383" t="s">
        <v>1491</v>
      </c>
      <c r="F43" s="384">
        <f ca="1">INDIRECT("'数据-取费表'!k"&amp;$G$1)</f>
        <v>4799.08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-4480</v>
      </c>
      <c r="D46" s="1874" t="str">
        <f>C2</f>
        <v>万元</v>
      </c>
      <c r="E46" s="1868"/>
      <c r="F46" s="1868"/>
      <c r="I46" s="1875" t="s">
        <v>1523</v>
      </c>
      <c r="J46" s="1876"/>
      <c r="K46" s="1877"/>
      <c r="L46" s="1878" t="str">
        <f ca="1">IF(M47="住宅",0,IF(L48&gt;J51,L60,J60))</f>
        <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3083</v>
      </c>
      <c r="K47" s="1884" t="s">
        <v>1529</v>
      </c>
      <c r="L47" s="1885">
        <f ca="1">INDIRECT("'数据-取费表'!d"&amp;$G$1)</f>
        <v>50</v>
      </c>
      <c r="M47" s="1840" t="str">
        <f>IF(ISNUMBER(FIND("住宅",C1)),"住宅","非住宅")</f>
        <v>非住宅</v>
      </c>
      <c r="O47" s="1886" t="s">
        <v>1040</v>
      </c>
      <c r="P47" s="1887" t="s">
        <v>1530</v>
      </c>
      <c r="Q47" s="1888">
        <f ca="1">C40+J29</f>
        <v>3792</v>
      </c>
      <c r="R47" s="1888" t="s">
        <v>1531</v>
      </c>
    </row>
    <row r="48" spans="1:18" s="1844" customFormat="1" ht="28.5" thickBot="1">
      <c r="A48" s="1361" t="s">
        <v>1135</v>
      </c>
      <c r="B48" s="344" t="s">
        <v>1402</v>
      </c>
      <c r="C48" s="1819">
        <f ca="1">C49+C53+C55</f>
        <v>0</v>
      </c>
      <c r="D48" s="1363"/>
      <c r="E48" s="1364"/>
      <c r="F48" s="1182"/>
      <c r="G48" s="791"/>
      <c r="H48" s="792"/>
      <c r="I48" s="1889" t="s">
        <v>1532</v>
      </c>
      <c r="J48" s="1890" t="s">
        <v>3108</v>
      </c>
      <c r="K48" s="1891" t="s">
        <v>1533</v>
      </c>
      <c r="L48" s="1892">
        <f ca="1">INDIRECT("'数据-取费表'!f"&amp;$G$1)</f>
        <v>39.619999999999997</v>
      </c>
      <c r="O48" s="1886" t="s">
        <v>1041</v>
      </c>
      <c r="P48" s="1887" t="s">
        <v>1534</v>
      </c>
      <c r="Q48" s="1888" t="str">
        <f ca="1">J60</f>
        <v>0</v>
      </c>
      <c r="R48" s="1888" t="s">
        <v>1535</v>
      </c>
    </row>
    <row r="49" spans="1:18" s="1844" customFormat="1" ht="13.5" thickBot="1">
      <c r="A49" s="1195" t="s">
        <v>1136</v>
      </c>
      <c r="B49" s="1831" t="s">
        <v>1492</v>
      </c>
      <c r="C49" s="1365">
        <f ca="1">ROUND(F49*F51*F50*(1-F52)/10000,0)</f>
        <v>0</v>
      </c>
      <c r="D49" s="1277" t="s">
        <v>3042</v>
      </c>
      <c r="E49" s="1832" t="s">
        <v>1493</v>
      </c>
      <c r="F49" s="1282"/>
      <c r="G49" s="1893"/>
      <c r="H49" s="792"/>
      <c r="I49" s="1889" t="s">
        <v>1536</v>
      </c>
      <c r="J49" s="1894">
        <v>2013</v>
      </c>
      <c r="K49" s="1891" t="s">
        <v>1537</v>
      </c>
      <c r="L49" s="1895"/>
      <c r="O49" s="1896" t="s">
        <v>1042</v>
      </c>
      <c r="P49" s="1887" t="s">
        <v>1538</v>
      </c>
      <c r="Q49" s="1888">
        <f ca="1">C29</f>
        <v>1720</v>
      </c>
      <c r="R49" s="1888" t="s">
        <v>1531</v>
      </c>
    </row>
    <row r="50" spans="1:18" s="1844" customFormat="1" ht="13.5" thickBot="1">
      <c r="A50" s="1196"/>
      <c r="B50" s="1199"/>
      <c r="C50" s="1369"/>
      <c r="D50" s="1173"/>
      <c r="E50" s="1278" t="s">
        <v>1407</v>
      </c>
      <c r="F50" s="1279">
        <f ca="1">F7</f>
        <v>4799.08</v>
      </c>
      <c r="H50" s="792"/>
      <c r="I50" s="1889" t="s">
        <v>1539</v>
      </c>
      <c r="J50" s="1897">
        <f>SUMPRODUCT((I63:I65=J47)*(J62:L62=J48)*(J63:L65))</f>
        <v>50</v>
      </c>
      <c r="K50" s="1891" t="s">
        <v>1540</v>
      </c>
      <c r="L50" s="1895"/>
      <c r="M50" s="1898"/>
      <c r="O50" s="1896" t="s">
        <v>1043</v>
      </c>
      <c r="P50" s="1887" t="s">
        <v>1541</v>
      </c>
      <c r="Q50" s="1899" t="e">
        <f ca="1">J58</f>
        <v>#VALUE!</v>
      </c>
      <c r="R50" s="1888"/>
    </row>
    <row r="51" spans="1:18" s="1844" customFormat="1" ht="13.5" thickBot="1">
      <c r="A51" s="1197"/>
      <c r="B51" s="1199"/>
      <c r="C51" s="1200"/>
      <c r="D51" s="1173"/>
      <c r="E51" s="1201" t="s">
        <v>1408</v>
      </c>
      <c r="F51" s="347">
        <f ca="1">F8</f>
        <v>365</v>
      </c>
      <c r="I51" s="1900" t="s">
        <v>1542</v>
      </c>
      <c r="J51" s="1901">
        <f>IF(J49="",J50,J49+J50-YEAR('数据-取费表'!B2))</f>
        <v>46</v>
      </c>
      <c r="K51" s="1902" t="s">
        <v>1543</v>
      </c>
      <c r="L51" s="1903">
        <f ca="1">ROUND(-PV(INDIRECT("'数据-取费表'!h"&amp;$G$1),L48,(C39-C13*C76),0),0)</f>
        <v>890</v>
      </c>
      <c r="M51" s="1904"/>
      <c r="O51" s="1896" t="s">
        <v>1044</v>
      </c>
      <c r="P51" s="1887" t="s">
        <v>1544</v>
      </c>
      <c r="Q51" s="1899">
        <f>J52</f>
        <v>8.5000000000000006E-2</v>
      </c>
      <c r="R51" s="1888"/>
    </row>
    <row r="52" spans="1:18" s="1844" customFormat="1" ht="13.5" thickBot="1">
      <c r="A52" s="1197"/>
      <c r="B52" s="1199"/>
      <c r="C52" s="1200"/>
      <c r="D52" s="1173"/>
      <c r="E52" s="1201" t="s">
        <v>1409</v>
      </c>
      <c r="F52" s="1276"/>
      <c r="I52" s="1905" t="s">
        <v>1545</v>
      </c>
      <c r="J52" s="1906">
        <v>8.5000000000000006E-2</v>
      </c>
      <c r="K52" s="1905" t="s">
        <v>1546</v>
      </c>
      <c r="L52" s="1906"/>
      <c r="O52" s="1896" t="s">
        <v>1045</v>
      </c>
      <c r="P52" s="1887" t="s">
        <v>1547</v>
      </c>
      <c r="Q52" s="1888">
        <f ca="1">J53</f>
        <v>39.619999999999997</v>
      </c>
      <c r="R52" s="1888" t="s">
        <v>1548</v>
      </c>
    </row>
    <row r="53" spans="1:18" s="1844" customFormat="1" ht="24.75" thickBot="1">
      <c r="A53" s="1406" t="s">
        <v>1137</v>
      </c>
      <c r="B53" s="1833" t="s">
        <v>1410</v>
      </c>
      <c r="C53" s="360">
        <f ca="1">ROUND(IF(F53="押一",F49*F51*F50/12*F11,IF(F53="押二",F49*F51*F50/12*2*F11,IF(F53="押三",F49*F51*F50/12*3*F11,C54*F11)))/10000,0)</f>
        <v>0</v>
      </c>
      <c r="D53" s="1826" t="s">
        <v>3040</v>
      </c>
      <c r="E53" s="357" t="s">
        <v>1412</v>
      </c>
      <c r="F53" s="1367"/>
      <c r="I53" s="1907" t="s">
        <v>1549</v>
      </c>
      <c r="J53" s="1908">
        <f ca="1">IF(M47="住宅",J51,IF(D1="——",MIN(J51,L48),IF(D1="在建（套用方法）",MIN(J51,L48-'数据-取费表'!B24),IF(D1="土地（套用方法）",MIN(J51,L48-'数据-取费表'!B20)))))</f>
        <v>39.619999999999997</v>
      </c>
      <c r="K53" s="3187" t="s">
        <v>1550</v>
      </c>
      <c r="L53" s="3188"/>
      <c r="O53" s="1886" t="s">
        <v>1046</v>
      </c>
      <c r="P53" s="1887" t="s">
        <v>1551</v>
      </c>
      <c r="Q53" s="1888">
        <f ca="1">Q47+Q48</f>
        <v>3792</v>
      </c>
      <c r="R53" s="1888" t="s">
        <v>1047</v>
      </c>
    </row>
    <row r="54" spans="1:18" s="1844" customFormat="1" ht="13.5" thickBot="1">
      <c r="A54" s="1407"/>
      <c r="B54" s="1827" t="s">
        <v>1389</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#VALUE!</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1600</v>
      </c>
      <c r="D56" s="1916"/>
      <c r="E56" s="1917"/>
      <c r="F56" s="1909"/>
      <c r="I56" s="1918" t="s">
        <v>1556</v>
      </c>
      <c r="J56" s="1919" t="s">
        <v>3067</v>
      </c>
      <c r="K56" s="1889" t="s">
        <v>1557</v>
      </c>
      <c r="L56" s="1892" t="str">
        <f ca="1">IF(L48&lt;J51,"——",L48-J53)</f>
        <v>——</v>
      </c>
      <c r="O56" s="1886" t="s">
        <v>1040</v>
      </c>
      <c r="P56" s="1887" t="s">
        <v>1530</v>
      </c>
      <c r="Q56" s="1888">
        <f ca="1">C40+J29</f>
        <v>3792</v>
      </c>
      <c r="R56" s="1888" t="s">
        <v>1531</v>
      </c>
    </row>
    <row r="57" spans="1:18" s="1844" customFormat="1" ht="24.75" thickBot="1">
      <c r="A57" s="1920"/>
      <c r="B57" s="1170" t="s">
        <v>1480</v>
      </c>
      <c r="C57" s="281">
        <f ca="1">C29</f>
        <v>1720</v>
      </c>
      <c r="D57" s="1921"/>
      <c r="E57" s="1922"/>
      <c r="F57" s="1923"/>
      <c r="I57" s="1924" t="s">
        <v>1558</v>
      </c>
      <c r="J57" s="1925" t="str">
        <f ca="1">IF(OR(M47="住宅",J51&lt;L48,J56="是"),"——",J51-L48)</f>
        <v>——</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59" t="s">
        <v>1030</v>
      </c>
      <c r="B58" s="1178" t="s">
        <v>1426</v>
      </c>
      <c r="C58" s="360">
        <f ca="1">ROUND(C59+C64+C65+C66,0)</f>
        <v>43</v>
      </c>
      <c r="D58" s="1180" t="s">
        <v>1427</v>
      </c>
      <c r="E58" s="1181"/>
      <c r="F58" s="1182"/>
      <c r="I58" s="1924" t="s">
        <v>1562</v>
      </c>
      <c r="J58" s="1926" t="e">
        <f ca="1">IF(J55&lt;0.4,0.4,J55)</f>
        <v>#VALUE!</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ROUND(IF(项目基本情况!B11="自然人",C48*F59,C60+C61+C62),1)</f>
        <v>14.5</v>
      </c>
      <c r="D59" s="1183" t="s">
        <v>1432</v>
      </c>
      <c r="E59" s="1184" t="s">
        <v>1433</v>
      </c>
      <c r="F59" s="367" t="str">
        <f ca="1">IF(项目基本情况!B11="企业","",IF(INDIRECT("'数据-取费表'!c"&amp;$G$1)="住宅",5%,IF(F49*F50*F51/12/(1+'数据-取费表'!C42)&gt;20000,12%,7%)))</f>
        <v/>
      </c>
      <c r="I59" s="1924" t="s">
        <v>1565</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IF(项目基本情况!B11="自然人","——",ROUND(C48*F60/(1+'数据-取费表'!C42),2))</f>
        <v>0</v>
      </c>
      <c r="D60" s="1184" t="s">
        <v>1436</v>
      </c>
      <c r="E60" s="1170" t="s">
        <v>1424</v>
      </c>
      <c r="F60" s="376">
        <f t="shared" ref="F60:F66" si="0">F32</f>
        <v>5.5000000000000007E-2</v>
      </c>
      <c r="I60" s="1927" t="s">
        <v>1567</v>
      </c>
      <c r="J60" s="1928" t="str">
        <f ca="1">IF(OR(M47="住宅",J51&lt;L48,J56="是"),"0",ROUND(J59/(1+J52)^J53,0))</f>
        <v>0</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14.45</v>
      </c>
      <c r="D61" s="1830" t="s">
        <v>1440</v>
      </c>
      <c r="E61" s="1170" t="s">
        <v>1496</v>
      </c>
      <c r="F61" s="366">
        <f t="shared" si="0"/>
        <v>1.2E-2</v>
      </c>
      <c r="I61" s="1930"/>
      <c r="J61" s="1930"/>
      <c r="K61" s="1930"/>
      <c r="L61" s="1930"/>
      <c r="O61" s="1896" t="s">
        <v>1045</v>
      </c>
      <c r="P61" s="1887" t="str">
        <f>K59</f>
        <v>建筑物剩余耐用年限下的土地年期修正系数Kn</v>
      </c>
      <c r="Q61" s="1888" t="e">
        <f ca="1">L59</f>
        <v>#DIV/0!</v>
      </c>
      <c r="R61" s="1888" t="s">
        <v>1571</v>
      </c>
    </row>
    <row r="62" spans="1:18" s="1844" customFormat="1" ht="13.5" thickBot="1">
      <c r="A62" s="1202" t="s">
        <v>1497</v>
      </c>
      <c r="B62" s="1169" t="s">
        <v>1498</v>
      </c>
      <c r="C62" s="25">
        <f ca="1">IF(项目基本情况!B11="自然人","——",ROUND(F62*F63/10000,2))</f>
        <v>0</v>
      </c>
      <c r="D62" s="1185" t="s">
        <v>1499</v>
      </c>
      <c r="E62" s="1170" t="s">
        <v>1500</v>
      </c>
      <c r="F62" s="370">
        <f t="shared" si="0"/>
        <v>1.5</v>
      </c>
      <c r="I62" s="1931" t="s">
        <v>1572</v>
      </c>
      <c r="J62" s="1932" t="s">
        <v>1573</v>
      </c>
      <c r="K62" s="1932" t="s">
        <v>1574</v>
      </c>
      <c r="L62" s="1932" t="s">
        <v>1575</v>
      </c>
      <c r="M62" s="1933" t="s">
        <v>1576</v>
      </c>
      <c r="O62" s="1886" t="s">
        <v>1046</v>
      </c>
      <c r="P62" s="1887" t="s">
        <v>1577</v>
      </c>
      <c r="Q62" s="1888">
        <f ca="1">Q56+Q57</f>
        <v>3792</v>
      </c>
      <c r="R62" s="1888" t="s">
        <v>1047</v>
      </c>
    </row>
    <row r="63" spans="1:18" s="1844" customFormat="1" ht="13.5" thickBot="1">
      <c r="A63" s="371"/>
      <c r="B63" s="1176"/>
      <c r="C63" s="29"/>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25.8</v>
      </c>
      <c r="D64" s="1184" t="s">
        <v>1504</v>
      </c>
      <c r="E64" s="1170" t="s">
        <v>1496</v>
      </c>
      <c r="F64" s="373">
        <f t="shared" ca="1" si="0"/>
        <v>1.4999999999999999E-2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2.4</v>
      </c>
      <c r="D65" s="1184" t="s">
        <v>1456</v>
      </c>
      <c r="E65" s="1170" t="s">
        <v>1457</v>
      </c>
      <c r="F65" s="375">
        <f t="shared" ca="1" si="0"/>
        <v>1.5E-3</v>
      </c>
      <c r="I65" s="1931" t="s">
        <v>1581</v>
      </c>
      <c r="J65" s="1932">
        <v>40</v>
      </c>
      <c r="K65" s="1932">
        <v>30</v>
      </c>
      <c r="L65" s="1932">
        <v>50</v>
      </c>
      <c r="M65" s="1934">
        <v>0.02</v>
      </c>
      <c r="O65" s="1886" t="s">
        <v>1040</v>
      </c>
      <c r="P65" s="1887" t="s">
        <v>1582</v>
      </c>
      <c r="Q65" s="1888">
        <f ca="1">C40+J29</f>
        <v>3792</v>
      </c>
      <c r="R65" s="1888" t="s">
        <v>1531</v>
      </c>
    </row>
    <row r="66" spans="1:18" s="1844" customFormat="1" ht="16.5" thickBot="1">
      <c r="A66" s="1202" t="s">
        <v>1506</v>
      </c>
      <c r="B66" s="1170" t="s">
        <v>1441</v>
      </c>
      <c r="C66" s="24">
        <f ca="1">ROUND(C48*F66,1)</f>
        <v>0</v>
      </c>
      <c r="D66" s="1184" t="s">
        <v>1507</v>
      </c>
      <c r="E66" s="1170" t="s">
        <v>1424</v>
      </c>
      <c r="F66" s="356">
        <f t="shared" ca="1" si="0"/>
        <v>0.01</v>
      </c>
      <c r="O66" s="1886" t="s">
        <v>1041</v>
      </c>
      <c r="P66" s="1887" t="s">
        <v>1560</v>
      </c>
      <c r="Q66" s="1888">
        <f ca="1">L60</f>
        <v>0</v>
      </c>
      <c r="R66" s="1888" t="s">
        <v>1583</v>
      </c>
    </row>
    <row r="67" spans="1:18" s="1844" customFormat="1" ht="16.5" thickBot="1">
      <c r="A67" s="1177" t="s">
        <v>1031</v>
      </c>
      <c r="B67" s="1187" t="s">
        <v>1465</v>
      </c>
      <c r="C67" s="360">
        <f ca="1">C48-C58</f>
        <v>-43</v>
      </c>
      <c r="D67" s="1183" t="s">
        <v>1466</v>
      </c>
      <c r="E67" s="1188"/>
      <c r="F67" s="1189"/>
      <c r="O67" s="1896" t="s">
        <v>1042</v>
      </c>
      <c r="P67" s="1887" t="s">
        <v>1564</v>
      </c>
      <c r="Q67" s="1935">
        <f ca="1">L51</f>
        <v>890</v>
      </c>
      <c r="R67" s="1888" t="s">
        <v>1584</v>
      </c>
    </row>
    <row r="68" spans="1:18" s="1844" customFormat="1" ht="16.5" thickBot="1">
      <c r="A68" s="1167" t="s">
        <v>1032</v>
      </c>
      <c r="B68" s="1168" t="s">
        <v>1487</v>
      </c>
      <c r="C68" s="345">
        <f ca="1">ROUND(C67*(1-((1+F70)/(1+F68))^F69)/(F68-F70),0)</f>
        <v>-688</v>
      </c>
      <c r="D68" s="1185" t="s">
        <v>1471</v>
      </c>
      <c r="E68" s="1170" t="s">
        <v>1472</v>
      </c>
      <c r="F68" s="356">
        <f ca="1">F40</f>
        <v>5.5E-2</v>
      </c>
      <c r="O68" s="1896" t="s">
        <v>1043</v>
      </c>
      <c r="P68" s="1936" t="s">
        <v>1585</v>
      </c>
      <c r="Q68" s="1888">
        <f ca="1">ROUND(Q69-Q70*Q71,0)</f>
        <v>52</v>
      </c>
      <c r="R68" s="1888" t="s">
        <v>1051</v>
      </c>
    </row>
    <row r="69" spans="1:18" s="1844" customFormat="1" ht="13.5" thickBot="1">
      <c r="A69" s="1171"/>
      <c r="B69" s="1172"/>
      <c r="C69" s="350"/>
      <c r="D69" s="1190" t="s">
        <v>1475</v>
      </c>
      <c r="E69" s="1170" t="s">
        <v>1476</v>
      </c>
      <c r="F69" s="378">
        <f ca="1">F41</f>
        <v>39.619999999999997</v>
      </c>
      <c r="O69" s="1896" t="s">
        <v>1048</v>
      </c>
      <c r="P69" s="1936" t="s">
        <v>1586</v>
      </c>
      <c r="Q69" s="1888">
        <f ca="1">C39</f>
        <v>180</v>
      </c>
      <c r="R69" s="1888" t="s">
        <v>1531</v>
      </c>
    </row>
    <row r="70" spans="1:18" s="1844" customFormat="1" ht="13.5" thickBot="1">
      <c r="A70" s="1174"/>
      <c r="B70" s="1175"/>
      <c r="C70" s="354"/>
      <c r="D70" s="1186"/>
      <c r="E70" s="1170" t="s">
        <v>1479</v>
      </c>
      <c r="F70" s="1276"/>
      <c r="O70" s="1896" t="s">
        <v>1049</v>
      </c>
      <c r="P70" s="1936" t="s">
        <v>1587</v>
      </c>
      <c r="Q70" s="1888">
        <f ca="1">C13</f>
        <v>1600</v>
      </c>
      <c r="R70" s="1888" t="s">
        <v>1531</v>
      </c>
    </row>
    <row r="71" spans="1:18" s="1844" customFormat="1" ht="13.5" thickBot="1">
      <c r="A71" s="1191" t="s">
        <v>1033</v>
      </c>
      <c r="B71" s="1192" t="s">
        <v>1489</v>
      </c>
      <c r="C71" s="381">
        <f ca="1">ROUND(C68*10000/F71,0)</f>
        <v>-1434</v>
      </c>
      <c r="D71" s="1193" t="s">
        <v>1490</v>
      </c>
      <c r="E71" s="1194" t="s">
        <v>1491</v>
      </c>
      <c r="F71" s="384">
        <f ca="1">F43</f>
        <v>4799.08</v>
      </c>
      <c r="O71" s="1896" t="s">
        <v>1050</v>
      </c>
      <c r="P71" s="1936" t="s">
        <v>1588</v>
      </c>
      <c r="Q71" s="1899">
        <f ca="1">C76</f>
        <v>0.08</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#DIV/0!</v>
      </c>
      <c r="R74" s="1888" t="s">
        <v>1571</v>
      </c>
    </row>
    <row r="75" spans="1:18" ht="13.5" thickBot="1">
      <c r="A75" s="1844"/>
      <c r="B75" s="385" t="s">
        <v>1508</v>
      </c>
      <c r="C75" s="386">
        <f ca="1">ROUND(C13*C76,0)</f>
        <v>128</v>
      </c>
      <c r="D75" s="1844"/>
      <c r="E75" s="1844"/>
      <c r="F75" s="1844"/>
      <c r="K75" s="1870"/>
      <c r="L75" s="1844"/>
      <c r="O75" s="1886" t="s">
        <v>1046</v>
      </c>
      <c r="P75" s="1887" t="s">
        <v>1551</v>
      </c>
      <c r="Q75" s="1888">
        <f ca="1">Q65+Q66</f>
        <v>3792</v>
      </c>
      <c r="R75" s="1888" t="s">
        <v>1047</v>
      </c>
    </row>
    <row r="76" spans="1:18">
      <c r="B76" s="387" t="s">
        <v>1509</v>
      </c>
      <c r="C76" s="388">
        <f ca="1">INDIRECT("'数据-取费表'!j"&amp;$G$1)</f>
        <v>0.08</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0.28900000000000003</v>
      </c>
    </row>
    <row r="80" spans="1:18">
      <c r="B80" s="385" t="s">
        <v>1513</v>
      </c>
      <c r="C80" s="317">
        <f ca="1">ROUND(C75/C39,3)</f>
        <v>0.71099999999999997</v>
      </c>
    </row>
    <row r="81" spans="2:3">
      <c r="B81" s="313" t="s">
        <v>1514</v>
      </c>
      <c r="C81" s="281"/>
    </row>
    <row r="82" spans="2:3">
      <c r="B82" s="316" t="s">
        <v>1515</v>
      </c>
      <c r="C82" s="318">
        <f ca="1">1-C83</f>
        <v>0.57800000000000007</v>
      </c>
    </row>
    <row r="83" spans="2:3">
      <c r="B83" s="316" t="s">
        <v>1516</v>
      </c>
      <c r="C83" s="317">
        <f ca="1">ROUND(C13/C40,3)</f>
        <v>0.42199999999999999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4"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1592</v>
      </c>
      <c r="B2" s="1846" t="e">
        <f ca="1">ROUND(D2/10000,0)</f>
        <v>#DIV/0!</v>
      </c>
      <c r="C2" s="1847" t="s">
        <v>1593</v>
      </c>
      <c r="D2" s="1940" t="e">
        <f ca="1">C40+J29+L46</f>
        <v>#DIV/0!</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3"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3">
        <f ca="1">C6+C10+C12</f>
        <v>0</v>
      </c>
      <c r="D5" s="1824" t="s">
        <v>1603</v>
      </c>
      <c r="E5" s="1294"/>
      <c r="F5" s="1295"/>
      <c r="G5" s="1853"/>
      <c r="H5" s="343">
        <v>1</v>
      </c>
      <c r="I5" s="344" t="s">
        <v>1602</v>
      </c>
      <c r="J5" s="1293">
        <f ca="1">J6+J10+J12</f>
        <v>0</v>
      </c>
      <c r="K5" s="1824" t="s">
        <v>1603</v>
      </c>
      <c r="L5" s="1294"/>
      <c r="M5" s="1295"/>
    </row>
    <row r="6" spans="1:37" ht="18" customHeight="1">
      <c r="A6" s="1292" t="s">
        <v>1035</v>
      </c>
      <c r="B6" s="3189" t="s">
        <v>1404</v>
      </c>
      <c r="C6" s="1297">
        <f ca="1">ROUND(F6*F8*F7*(1-F9),0)</f>
        <v>0</v>
      </c>
      <c r="D6" s="163" t="s">
        <v>3034</v>
      </c>
      <c r="E6" s="346" t="s">
        <v>1406</v>
      </c>
      <c r="F6" s="347">
        <f ca="1">INDIRECT("'数据-取费表'!u"&amp;$G$1)</f>
        <v>0</v>
      </c>
      <c r="G6" s="1853"/>
      <c r="H6" s="1292" t="s">
        <v>1035</v>
      </c>
      <c r="I6" s="3189" t="s">
        <v>1404</v>
      </c>
      <c r="J6" s="345">
        <f ca="1">ROUND(M6*M8*M7*(1-M9),0)</f>
        <v>0</v>
      </c>
      <c r="K6" s="1836" t="s">
        <v>3037</v>
      </c>
      <c r="L6" s="346" t="s">
        <v>1406</v>
      </c>
      <c r="M6" s="347">
        <f ca="1">INDIRECT("'数据-取费表'!z"&amp;$G$1)</f>
        <v>0</v>
      </c>
    </row>
    <row r="7" spans="1:37" ht="18" customHeight="1">
      <c r="A7" s="1296"/>
      <c r="B7" s="3190"/>
      <c r="C7" s="1298"/>
      <c r="D7" s="351"/>
      <c r="E7" s="1299" t="s">
        <v>1407</v>
      </c>
      <c r="F7" s="347">
        <f ca="1">IF(INDIRECT("'数据-取费表'!ah"&amp;$G$1)="",INDIRECT("'数据-取费表'!k"&amp;$G$1),INDIRECT("'数据-取费表'!ah"&amp;$G$1))</f>
        <v>0</v>
      </c>
      <c r="G7" s="1853"/>
      <c r="H7" s="348"/>
      <c r="I7" s="3190"/>
      <c r="J7" s="350"/>
      <c r="K7" s="351"/>
      <c r="L7" s="346" t="s">
        <v>1407</v>
      </c>
      <c r="M7" s="347">
        <f ca="1">F7</f>
        <v>0</v>
      </c>
    </row>
    <row r="8" spans="1:37" ht="18" customHeight="1">
      <c r="A8" s="348"/>
      <c r="B8" s="3190"/>
      <c r="C8" s="350"/>
      <c r="D8" s="351"/>
      <c r="E8" s="346" t="s">
        <v>1408</v>
      </c>
      <c r="F8" s="347">
        <f ca="1">INDIRECT("'数据-取费表'!ai"&amp;$G$1)</f>
        <v>0</v>
      </c>
      <c r="G8" s="1853"/>
      <c r="H8" s="348"/>
      <c r="I8" s="3190"/>
      <c r="J8" s="350"/>
      <c r="K8" s="351"/>
      <c r="L8" s="346" t="s">
        <v>1408</v>
      </c>
      <c r="M8" s="347">
        <f ca="1">INDIRECT("'数据-取费表'!ai"&amp;$G$1)</f>
        <v>0</v>
      </c>
    </row>
    <row r="9" spans="1:37" ht="18" customHeight="1">
      <c r="A9" s="348"/>
      <c r="B9" s="3191"/>
      <c r="C9" s="350"/>
      <c r="D9" s="351"/>
      <c r="E9" s="346" t="s">
        <v>1409</v>
      </c>
      <c r="F9" s="356">
        <f ca="1">INDIRECT("'数据-取费表'!w"&amp;$G$1)</f>
        <v>0</v>
      </c>
      <c r="G9" s="1853"/>
      <c r="H9" s="348"/>
      <c r="I9" s="3191"/>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ROUND(IF(F10="押一",F6*F8*F7/12*F11,IF(F10="押二",F6*F8*F7/12*2*F11,IF(F10="押三",F6*F8*F7/12*3*F11,C11*F11))),0)</f>
        <v>0</v>
      </c>
      <c r="D10" s="1826" t="s">
        <v>3035</v>
      </c>
      <c r="E10" s="357" t="s">
        <v>1412</v>
      </c>
      <c r="F10" s="1367"/>
      <c r="G10" s="1853"/>
      <c r="H10" s="1292" t="s">
        <v>1039</v>
      </c>
      <c r="I10" s="1825" t="s">
        <v>1410</v>
      </c>
      <c r="J10" s="345">
        <f ca="1">ROUND(IF(M10="押一",M6*M8*M7/12*M11,IF(M10="押二",M6*M8*M7/12*2*M11,IF(M10="押三",M6*M8*M7/12*3*M11,J11*M11))),0)</f>
        <v>0</v>
      </c>
      <c r="K10" s="1837" t="s">
        <v>3036</v>
      </c>
      <c r="L10" s="357" t="s">
        <v>1412</v>
      </c>
      <c r="M10" s="1367"/>
    </row>
    <row r="11" spans="1:37" ht="18" customHeight="1">
      <c r="A11" s="352"/>
      <c r="B11" s="1827" t="s">
        <v>1604</v>
      </c>
      <c r="C11" s="1179"/>
      <c r="D11" s="351"/>
      <c r="E11" s="357" t="s">
        <v>1414</v>
      </c>
      <c r="F11" s="358">
        <f ca="1">'数据-取费表'!B39</f>
        <v>1.4999999999999999E-2</v>
      </c>
      <c r="G11" s="1853"/>
      <c r="H11" s="1300"/>
      <c r="I11" s="1827" t="s">
        <v>1605</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6" t="s">
        <v>1419</v>
      </c>
      <c r="C14" s="362">
        <f ca="1">ROUND(INDIRECT("'数据-取费表'!l"&amp;$G$1)*F43+'数据-取费表'!L14*INDIRECT("'数据-取费表'!S"&amp;$G$1),0)</f>
        <v>0</v>
      </c>
      <c r="D14" s="1802" t="s">
        <v>1420</v>
      </c>
      <c r="E14" s="1796"/>
      <c r="F14" s="363"/>
      <c r="G14" s="1853"/>
      <c r="H14" s="1202" t="s">
        <v>1035</v>
      </c>
      <c r="I14" s="346" t="s">
        <v>1421</v>
      </c>
      <c r="J14" s="24">
        <f ca="1">C29</f>
        <v>0</v>
      </c>
      <c r="K14" s="15"/>
      <c r="L14" s="981"/>
      <c r="M14" s="982"/>
    </row>
    <row r="15" spans="1:37" s="1860" customFormat="1" ht="18" customHeight="1" thickBot="1">
      <c r="A15" s="1202" t="s">
        <v>1036</v>
      </c>
      <c r="B15" s="346" t="s">
        <v>1422</v>
      </c>
      <c r="C15" s="24">
        <f ca="1">ROUND(C14*F15,0)</f>
        <v>0</v>
      </c>
      <c r="D15" s="364" t="s">
        <v>1423</v>
      </c>
      <c r="E15" s="364" t="s">
        <v>1424</v>
      </c>
      <c r="F15" s="365">
        <f>'数据-取费表'!B33</f>
        <v>0.05</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4">
        <f ca="1">ROUND(INDIRECT("'数据-取费表'!l"&amp;$G$1)*F43*F16,0)</f>
        <v>0</v>
      </c>
      <c r="D16" s="346" t="s">
        <v>1423</v>
      </c>
      <c r="E16" s="346" t="s">
        <v>1424</v>
      </c>
      <c r="F16" s="366">
        <f ca="1">IF(INDIRECT("'数据-取费表'!c"&amp;$G$1)="住宅",'数据-取费表'!B34,0)</f>
        <v>0</v>
      </c>
      <c r="G16" s="1853"/>
      <c r="H16" s="1330" t="s">
        <v>1030</v>
      </c>
      <c r="I16" s="1331" t="s">
        <v>1426</v>
      </c>
      <c r="J16" s="354">
        <f ca="1">ROUND(J17+J22+J23+J24,0)</f>
        <v>0</v>
      </c>
      <c r="K16" s="1338" t="s">
        <v>1427</v>
      </c>
      <c r="L16" s="1339"/>
      <c r="M16" s="1295"/>
    </row>
    <row r="17" spans="1:37" s="1860" customFormat="1" ht="18" customHeight="1">
      <c r="A17" s="1202" t="s">
        <v>1391</v>
      </c>
      <c r="B17" s="346" t="s">
        <v>1428</v>
      </c>
      <c r="C17" s="24">
        <f ca="1">ROUND(F17*(F43+INDIRECT("'数据-取费表'!S"&amp;$G$1)),0)</f>
        <v>0</v>
      </c>
      <c r="D17" s="346" t="s">
        <v>1429</v>
      </c>
      <c r="E17" s="346" t="s">
        <v>1430</v>
      </c>
      <c r="F17" s="26">
        <f>'数据-取费表'!B35</f>
        <v>200</v>
      </c>
      <c r="G17" s="1856"/>
      <c r="H17" s="1202" t="s">
        <v>1035</v>
      </c>
      <c r="I17" s="346" t="s">
        <v>1431</v>
      </c>
      <c r="J17" s="24">
        <f ca="1">ROUND(IF(项目基本情况!B11="自然人",J5*M17,J18+J19+J20),0)</f>
        <v>0</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4">
        <f ca="1">ROUND(C14*F18,0)</f>
        <v>0</v>
      </c>
      <c r="D18" s="346" t="s">
        <v>1423</v>
      </c>
      <c r="E18" s="346" t="s">
        <v>1424</v>
      </c>
      <c r="F18" s="366">
        <f>'数据-取费表'!B36</f>
        <v>1.4999999999999999E-2</v>
      </c>
      <c r="G18" s="1856"/>
      <c r="H18" s="1202" t="s">
        <v>1034</v>
      </c>
      <c r="I18" s="346" t="s">
        <v>1435</v>
      </c>
      <c r="J18" s="24">
        <f ca="1">ROUND(J5*M18/(1+'数据-取费表'!C42),0)</f>
        <v>0</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4">
        <f ca="1">SUM(C14:C18)</f>
        <v>0</v>
      </c>
      <c r="D19" s="139" t="s">
        <v>1438</v>
      </c>
      <c r="E19" s="1820"/>
      <c r="F19" s="26"/>
      <c r="G19" s="1853"/>
      <c r="H19" s="1202" t="s">
        <v>1036</v>
      </c>
      <c r="I19" s="346" t="s">
        <v>1439</v>
      </c>
      <c r="J19" s="24">
        <f ca="1">IF(K19="按租金收入计税",ROUND(J5*M19,0),ROUND(C29*M19*0.7,0))</f>
        <v>0</v>
      </c>
      <c r="K19" s="1830" t="s">
        <v>1440</v>
      </c>
      <c r="L19" s="346" t="s">
        <v>1424</v>
      </c>
      <c r="M19" s="366">
        <f>IF(K19="按租金收入计税",'数据-取费表'!B51,'数据-取费表'!B50)</f>
        <v>1.2E-2</v>
      </c>
    </row>
    <row r="20" spans="1:37" s="1860" customFormat="1" ht="18" customHeight="1">
      <c r="A20" s="1202" t="s">
        <v>1039</v>
      </c>
      <c r="B20" s="346" t="s">
        <v>1441</v>
      </c>
      <c r="C20" s="24">
        <f ca="1">ROUND(C19*F20,0)</f>
        <v>0</v>
      </c>
      <c r="D20" s="368" t="s">
        <v>1442</v>
      </c>
      <c r="E20" s="346" t="s">
        <v>1424</v>
      </c>
      <c r="F20" s="366">
        <f>'数据-取费表'!B37</f>
        <v>0.02</v>
      </c>
      <c r="G20" s="1856"/>
      <c r="H20" s="1202" t="s">
        <v>1390</v>
      </c>
      <c r="I20" s="163" t="s">
        <v>1443</v>
      </c>
      <c r="J20" s="25">
        <f ca="1">ROUND(M20*M21,0)</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4" t="s">
        <v>1</v>
      </c>
      <c r="D21" s="368" t="s">
        <v>1447</v>
      </c>
      <c r="E21" s="346" t="s">
        <v>1448</v>
      </c>
      <c r="F21" s="366">
        <f>'数据-取费表'!B38</f>
        <v>0.02</v>
      </c>
      <c r="G21" s="1856"/>
      <c r="H21" s="371"/>
      <c r="I21" s="355"/>
      <c r="J21" s="29"/>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4"/>
      <c r="D22" s="139" t="str">
        <f>IF(F23&lt;=1,"单利计息。","复利计息。")&amp;"建造成本、管理费用、销售费用产生的利息。"</f>
        <v>复利计息。建造成本、管理费用、销售费用产生的利息。</v>
      </c>
      <c r="E22" s="1820"/>
      <c r="F22" s="26"/>
      <c r="G22" s="1853"/>
      <c r="H22" s="1202" t="s">
        <v>1039</v>
      </c>
      <c r="I22" s="346" t="s">
        <v>1451</v>
      </c>
      <c r="J22" s="24">
        <f ca="1">ROUND(J14*M22,0)</f>
        <v>0</v>
      </c>
      <c r="K22" s="1800" t="s">
        <v>1452</v>
      </c>
      <c r="L22" s="346" t="s">
        <v>1424</v>
      </c>
      <c r="M22" s="373">
        <f ca="1">INDIRECT("'数据-取费表'!Ak"&amp;$G$1)</f>
        <v>0</v>
      </c>
    </row>
    <row r="23" spans="1:37" s="1860" customFormat="1" ht="18" customHeight="1">
      <c r="A23" s="1202"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1.5</v>
      </c>
      <c r="G23" s="1856"/>
      <c r="H23" s="1202" t="s">
        <v>1075</v>
      </c>
      <c r="I23" s="346" t="s">
        <v>1455</v>
      </c>
      <c r="J23" s="24">
        <f ca="1">ROUND(J13*M23,0)</f>
        <v>0</v>
      </c>
      <c r="K23" s="1800"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4">
        <f ca="1">ROUND(IF('数据-取费表'!B22&lt;=1,F21*F24*F23/2,F21*(POWER((1+F24),F23/2)-1)),4)</f>
        <v>6.9999999999999999E-4</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ROUND(J5*M24,0)</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6" t="s">
        <v>1463</v>
      </c>
      <c r="C25" s="24"/>
      <c r="D25" s="139" t="s">
        <v>1464</v>
      </c>
      <c r="E25" s="1820"/>
      <c r="F25" s="26"/>
      <c r="G25" s="1853"/>
      <c r="H25" s="1330" t="s">
        <v>1031</v>
      </c>
      <c r="I25" s="1345" t="s">
        <v>1465</v>
      </c>
      <c r="J25" s="354">
        <f ca="1">J5-J16</f>
        <v>0</v>
      </c>
      <c r="K25" s="1346" t="s">
        <v>1466</v>
      </c>
      <c r="L25" s="1347"/>
      <c r="M25" s="1348"/>
    </row>
    <row r="26" spans="1:37" ht="18" customHeight="1">
      <c r="A26" s="1202" t="s">
        <v>1034</v>
      </c>
      <c r="B26" s="346" t="s">
        <v>1467</v>
      </c>
      <c r="C26" s="24">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2" t="s">
        <v>1036</v>
      </c>
      <c r="B27" s="346" t="s">
        <v>1473</v>
      </c>
      <c r="C27" s="24">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4">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79" t="s">
        <v>1033</v>
      </c>
      <c r="I29" s="380" t="s">
        <v>1481</v>
      </c>
      <c r="J29" s="381">
        <f ca="1">ROUND(J26/(1+F40)^F41,0)</f>
        <v>0</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0</v>
      </c>
      <c r="D30" s="1338" t="s">
        <v>1427</v>
      </c>
      <c r="E30" s="1339"/>
      <c r="F30" s="1295"/>
      <c r="G30" s="1853"/>
      <c r="H30" s="744"/>
      <c r="I30" s="745"/>
      <c r="J30" s="746"/>
      <c r="K30" s="747"/>
      <c r="L30" s="748"/>
      <c r="M30" s="749"/>
    </row>
    <row r="31" spans="1:37" ht="18" customHeight="1">
      <c r="A31" s="1202" t="s">
        <v>1035</v>
      </c>
      <c r="B31" s="346" t="s">
        <v>1431</v>
      </c>
      <c r="C31" s="24">
        <f ca="1">ROUND(IF(项目基本情况!B11="自然人",C5*F31,C32+C33+C34),0)</f>
        <v>0</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4">
        <f ca="1">IF(项目基本情况!B11="自然人","——",ROUND(C5*F32/(1+'数据-取费表'!C42),0))</f>
        <v>0</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4">
        <f ca="1">IF(项目基本情况!B11="自然人","——",IF(D33="按租金收入计税",ROUND(C5*F33,0),IF(D33="按房产原值计税",ROUND(C29*F33*0.7,0),INDIRECT("'数据-取费表'!Aj"&amp;$G$1))))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5">
        <f ca="1">IF(项目基本情况!B11="自然人","——",ROUND(F34*F35,))</f>
        <v>0</v>
      </c>
      <c r="D34" s="369" t="s">
        <v>1444</v>
      </c>
      <c r="E34" s="346" t="s">
        <v>1445</v>
      </c>
      <c r="F34" s="370">
        <f>'数据-取费表'!B52</f>
        <v>1.5</v>
      </c>
      <c r="G34" s="1853"/>
      <c r="H34" s="744"/>
      <c r="I34" s="1862"/>
      <c r="J34" s="1863"/>
      <c r="K34" s="1865"/>
      <c r="L34" s="1866"/>
      <c r="M34" s="1866"/>
    </row>
    <row r="35" spans="1:18" ht="18" customHeight="1">
      <c r="A35" s="1354"/>
      <c r="B35" s="1352"/>
      <c r="C35" s="29"/>
      <c r="D35" s="372"/>
      <c r="E35" s="346" t="s">
        <v>1449</v>
      </c>
      <c r="F35" s="347">
        <f ca="1">INDIRECT("'数据-取费表'!r"&amp;$G$1)</f>
        <v>0</v>
      </c>
      <c r="G35" s="1853"/>
      <c r="H35" s="744"/>
      <c r="I35" s="1862"/>
      <c r="J35" s="1863"/>
      <c r="K35" s="1864"/>
      <c r="L35" s="1861"/>
      <c r="M35" s="1861"/>
    </row>
    <row r="36" spans="1:18" ht="18" customHeight="1">
      <c r="A36" s="1353" t="s">
        <v>1039</v>
      </c>
      <c r="B36" s="346" t="s">
        <v>1451</v>
      </c>
      <c r="C36" s="24">
        <f ca="1">ROUND(C29*F36,0)</f>
        <v>0</v>
      </c>
      <c r="D36" s="1800" t="s">
        <v>1484</v>
      </c>
      <c r="E36" s="346" t="s">
        <v>1424</v>
      </c>
      <c r="F36" s="373">
        <f ca="1">INDIRECT("'数据-取费表'!Ak"&amp;$G$1)</f>
        <v>0</v>
      </c>
      <c r="G36" s="1853"/>
      <c r="H36" s="1861"/>
      <c r="I36" s="1862"/>
      <c r="J36" s="1863"/>
      <c r="K36" s="750"/>
      <c r="L36" s="1861"/>
      <c r="M36" s="1861"/>
    </row>
    <row r="37" spans="1:18" ht="18" customHeight="1">
      <c r="A37" s="1202" t="s">
        <v>1075</v>
      </c>
      <c r="B37" s="346" t="s">
        <v>1455</v>
      </c>
      <c r="C37" s="24">
        <f ca="1">ROUND(C13*F37,0)</f>
        <v>0</v>
      </c>
      <c r="D37" s="1800" t="s">
        <v>1456</v>
      </c>
      <c r="E37" s="346" t="s">
        <v>1457</v>
      </c>
      <c r="F37" s="375">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4">
        <f ca="1">C5-C30</f>
        <v>0</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#DIV/0!</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ROUND(C40/F43,0)</f>
        <v>#DIV/0!</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1606</v>
      </c>
      <c r="E45" s="1868"/>
      <c r="F45" s="1868"/>
      <c r="O45" s="1871" t="s">
        <v>1521</v>
      </c>
      <c r="P45" s="1841"/>
      <c r="Q45" s="1841"/>
      <c r="R45" s="1841"/>
    </row>
    <row r="46" spans="1:18" s="1844" customFormat="1" ht="13.5" thickBot="1">
      <c r="A46" s="1872" t="s">
        <v>1522</v>
      </c>
      <c r="C46" s="1873" t="e">
        <f ca="1">ROUND(C45/10000,0)</f>
        <v>#DIV/0!</v>
      </c>
      <c r="D46" s="1874" t="str">
        <f>C2</f>
        <v>万元</v>
      </c>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4" t="s">
        <v>1402</v>
      </c>
      <c r="C48" s="1819">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ROUND(F49*F51*F50*(1-F52),0)</f>
        <v>0</v>
      </c>
      <c r="D49" s="1277" t="s">
        <v>1405</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200"/>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68" t="s">
        <v>1410</v>
      </c>
      <c r="C53" s="360">
        <f ca="1">ROUND(IF(F53="押一",F49*F51*F50/12*F11,IF(F53="押二",F49*F51*F50/12*2*F11,IF(F53="押三",F49*F51*F50/12*3*F11,C54*F11))),0)</f>
        <v>0</v>
      </c>
      <c r="D53" s="1826" t="s">
        <v>1411</v>
      </c>
      <c r="E53" s="357" t="s">
        <v>1412</v>
      </c>
      <c r="F53" s="1367"/>
      <c r="I53" s="1907" t="s">
        <v>1549</v>
      </c>
      <c r="J53" s="1908" t="b">
        <f>IF(M47="住宅",J51,IF(D1="——",MIN(J51,L48),IF(D1="在建（套用方法）",MIN(J51,L48-'数据-取费表'!B24),IF(D1="土地（套用方法）",MIN(J51,L48-'数据-取费表'!B20)))))</f>
        <v>0</v>
      </c>
      <c r="K53" s="3187" t="s">
        <v>1550</v>
      </c>
      <c r="L53" s="3188"/>
      <c r="O53" s="1886" t="s">
        <v>1046</v>
      </c>
      <c r="P53" s="1887" t="s">
        <v>1551</v>
      </c>
      <c r="Q53" s="1888" t="e">
        <f ca="1">Q47+Q48</f>
        <v>#DIV/0!</v>
      </c>
      <c r="R53" s="1888" t="s">
        <v>1047</v>
      </c>
    </row>
    <row r="54" spans="1:18" s="1844" customFormat="1" ht="13.5" thickBot="1">
      <c r="A54" s="1195"/>
      <c r="B54" s="1943" t="s">
        <v>1605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#DIV/0!</v>
      </c>
      <c r="K55" s="1914" t="s">
        <v>1554</v>
      </c>
      <c r="L55" s="1915"/>
      <c r="O55" s="1879" t="s">
        <v>1524</v>
      </c>
      <c r="P55" s="1880" t="s">
        <v>1525</v>
      </c>
      <c r="Q55" s="1881" t="s">
        <v>1526</v>
      </c>
      <c r="R55" s="1881" t="s">
        <v>1527</v>
      </c>
    </row>
    <row r="56" spans="1:18" s="1844" customFormat="1" ht="36" customHeight="1" thickTop="1" thickBot="1">
      <c r="A56" s="1177">
        <v>2</v>
      </c>
      <c r="B56" s="1178" t="s">
        <v>1416</v>
      </c>
      <c r="C56" s="275">
        <f ca="1">C13</f>
        <v>0</v>
      </c>
      <c r="D56" s="1916"/>
      <c r="E56" s="1917"/>
      <c r="F56" s="1909"/>
      <c r="I56" s="1918" t="s">
        <v>1556</v>
      </c>
      <c r="J56" s="1919"/>
      <c r="K56" s="1889" t="s">
        <v>1557</v>
      </c>
      <c r="L56" s="1892">
        <f ca="1">IF(L48&lt;J51,"——",L48-J51)</f>
        <v>0</v>
      </c>
      <c r="O56" s="1886" t="s">
        <v>1040</v>
      </c>
      <c r="P56" s="1887" t="s">
        <v>1530</v>
      </c>
      <c r="Q56" s="1888" t="e">
        <f ca="1">C40+J29</f>
        <v>#DIV/0!</v>
      </c>
      <c r="R56" s="1888" t="s">
        <v>1531</v>
      </c>
    </row>
    <row r="57" spans="1:18" s="1844" customFormat="1" ht="24.75" thickBot="1">
      <c r="A57" s="1920"/>
      <c r="B57" s="1170" t="s">
        <v>1480</v>
      </c>
      <c r="C57" s="281">
        <f ca="1">C29</f>
        <v>0</v>
      </c>
      <c r="D57" s="1921"/>
      <c r="E57" s="1922"/>
      <c r="F57" s="1923"/>
      <c r="I57" s="1924" t="s">
        <v>1558</v>
      </c>
      <c r="J57" s="1925">
        <f ca="1">IF(OR(M47="住宅",J51&lt;L48,J56="是"),"——",J51-L48)</f>
        <v>0</v>
      </c>
      <c r="K57" s="1889" t="s">
        <v>1607</v>
      </c>
      <c r="L57" s="1892">
        <f ca="1">IF(L48&lt;J51,"——",IF(L55="比较法",L49,IF(L55="基准地价",L50,L51)))</f>
        <v>0</v>
      </c>
      <c r="O57" s="1886" t="s">
        <v>1041</v>
      </c>
      <c r="P57" s="1887" t="s">
        <v>1608</v>
      </c>
      <c r="Q57" s="1888" t="e">
        <f ca="1">L60</f>
        <v>#DIV/0!</v>
      </c>
      <c r="R57" s="1888" t="s">
        <v>1609</v>
      </c>
    </row>
    <row r="58" spans="1:18" s="1844" customFormat="1" ht="24.75" thickBot="1">
      <c r="A58" s="359" t="s">
        <v>1030</v>
      </c>
      <c r="B58" s="1178" t="s">
        <v>1426</v>
      </c>
      <c r="C58" s="360">
        <f ca="1">ROUND(C59+C64+C65+C66,0)</f>
        <v>0</v>
      </c>
      <c r="D58" s="1180" t="s">
        <v>1427</v>
      </c>
      <c r="E58" s="1181"/>
      <c r="F58" s="1182"/>
      <c r="I58" s="1924" t="s">
        <v>1562</v>
      </c>
      <c r="J58" s="1926" t="e">
        <f ca="1">IF(J55&lt;0.4,0.4,J55)</f>
        <v>#DIV/0!</v>
      </c>
      <c r="K58" s="1902" t="s">
        <v>1610</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ROUND(IF(项目基本情况!B11="自然人",C48*F59,C60+C61+C62),0)</f>
        <v>0</v>
      </c>
      <c r="D59" s="1183" t="s">
        <v>1432</v>
      </c>
      <c r="E59" s="1184"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IF(项目基本情况!B11="自然人","——",ROUND(C48*F60/(1+'数据-取费表'!C42),0))</f>
        <v>0</v>
      </c>
      <c r="D60" s="1184" t="s">
        <v>1436</v>
      </c>
      <c r="E60" s="1170" t="s">
        <v>1424</v>
      </c>
      <c r="F60" s="376">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IF(项目基本情况!B11="自然人","——",IF(D61="按租金收入计税",ROUND(C48*F61,0),IF(D61="按房产原值计税",ROUND(C57*F61*0.7,0),INDIRECT("'数据-取费表'!Aj"&amp;$G$1))))</f>
        <v>0</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IF(项目基本情况!B11="自然人","——",ROUND(F62*F63,0))</f>
        <v>0</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1"/>
      <c r="B63" s="1176"/>
      <c r="C63" s="29"/>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ROUND(C57*F64,0)</f>
        <v>0</v>
      </c>
      <c r="D64" s="1184" t="s">
        <v>1504</v>
      </c>
      <c r="E64" s="1170"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ROUND(C56*F65,0)</f>
        <v>0</v>
      </c>
      <c r="D65" s="1184" t="s">
        <v>1456</v>
      </c>
      <c r="E65" s="1170" t="s">
        <v>1457</v>
      </c>
      <c r="F65" s="375">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ROUND(C48*F66,0)</f>
        <v>0</v>
      </c>
      <c r="D66" s="1184" t="s">
        <v>1507</v>
      </c>
      <c r="E66" s="1170" t="s">
        <v>1424</v>
      </c>
      <c r="F66" s="356">
        <f t="shared" ca="1" si="0"/>
        <v>0</v>
      </c>
      <c r="O66" s="1886" t="s">
        <v>1041</v>
      </c>
      <c r="P66" s="1887" t="s">
        <v>1560</v>
      </c>
      <c r="Q66" s="1888" t="e">
        <f ca="1">L60</f>
        <v>#DIV/0!</v>
      </c>
      <c r="R66" s="1888" t="s">
        <v>1583</v>
      </c>
    </row>
    <row r="67" spans="1:18" s="1844" customFormat="1" ht="16.5" thickBot="1">
      <c r="A67" s="1177" t="s">
        <v>1031</v>
      </c>
      <c r="B67" s="1187" t="s">
        <v>1465</v>
      </c>
      <c r="C67" s="360">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5" t="e">
        <f ca="1">ROUND(C67*(1-((1+F70)/(1+F68))^F69)/(F68-F70),0)</f>
        <v>#DIV/0!</v>
      </c>
      <c r="D68" s="1185" t="s">
        <v>1471</v>
      </c>
      <c r="E68" s="1170" t="s">
        <v>1472</v>
      </c>
      <c r="F68" s="356">
        <f ca="1">F40</f>
        <v>0</v>
      </c>
      <c r="O68" s="1896" t="s">
        <v>1043</v>
      </c>
      <c r="P68" s="1936" t="s">
        <v>1585</v>
      </c>
      <c r="Q68" s="1888">
        <f ca="1">ROUND(Q69-Q70*Q71,0)</f>
        <v>0</v>
      </c>
      <c r="R68" s="1888" t="s">
        <v>1051</v>
      </c>
    </row>
    <row r="69" spans="1:18" s="1844" customFormat="1" ht="13.5" thickBot="1">
      <c r="A69" s="1171"/>
      <c r="B69" s="1172"/>
      <c r="C69" s="350"/>
      <c r="D69" s="1190" t="s">
        <v>1475</v>
      </c>
      <c r="E69" s="1170" t="s">
        <v>1476</v>
      </c>
      <c r="F69" s="378">
        <f ca="1">F41</f>
        <v>0</v>
      </c>
      <c r="O69" s="1896" t="s">
        <v>1048</v>
      </c>
      <c r="P69" s="1936" t="s">
        <v>1586</v>
      </c>
      <c r="Q69" s="1888">
        <f ca="1">C39</f>
        <v>0</v>
      </c>
      <c r="R69" s="1888" t="s">
        <v>1531</v>
      </c>
    </row>
    <row r="70" spans="1:18" s="1844" customFormat="1" ht="13.5" thickBot="1">
      <c r="A70" s="1174"/>
      <c r="B70" s="1175"/>
      <c r="C70" s="354"/>
      <c r="D70" s="1186"/>
      <c r="E70" s="1170" t="s">
        <v>1479</v>
      </c>
      <c r="F70" s="1276">
        <f ca="1">F42</f>
        <v>0</v>
      </c>
      <c r="O70" s="1896" t="s">
        <v>1049</v>
      </c>
      <c r="P70" s="1936" t="s">
        <v>1587</v>
      </c>
      <c r="Q70" s="1888">
        <f ca="1">C13</f>
        <v>0</v>
      </c>
      <c r="R70" s="1888" t="s">
        <v>1531</v>
      </c>
    </row>
    <row r="71" spans="1:18" s="1844" customFormat="1" ht="13.5" thickBot="1">
      <c r="A71" s="1191" t="s">
        <v>1033</v>
      </c>
      <c r="B71" s="1192" t="s">
        <v>1489</v>
      </c>
      <c r="C71" s="381" t="e">
        <f ca="1">ROUND(C68/F71,0)</f>
        <v>#DIV/0!</v>
      </c>
      <c r="D71" s="1193" t="s">
        <v>1490</v>
      </c>
      <c r="E71" s="1194"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#DIV/0!</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2529</v>
      </c>
      <c r="B1" s="2564"/>
      <c r="C1" s="2564"/>
      <c r="D1" s="2564"/>
      <c r="E1" s="2565"/>
    </row>
    <row r="2" spans="1:6" ht="15.75">
      <c r="A2" s="2566" t="s">
        <v>2330</v>
      </c>
      <c r="B2" s="2567">
        <f ca="1">SUMIF(B6:B13,"&lt;&gt;#ref!",B6:B13)</f>
        <v>3792</v>
      </c>
      <c r="C2" s="2568" t="s">
        <v>2522</v>
      </c>
      <c r="D2" s="2569" t="s">
        <v>2523</v>
      </c>
      <c r="E2" s="2570">
        <f>SUM(E6:E13)</f>
        <v>4799.08</v>
      </c>
    </row>
    <row r="3" spans="1:6" ht="15.75">
      <c r="A3" s="2566" t="s">
        <v>1396</v>
      </c>
      <c r="B3" s="2567">
        <f ca="1">ROUND(B2*10000/E2,0)</f>
        <v>7902</v>
      </c>
      <c r="C3" s="2568" t="s">
        <v>2530</v>
      </c>
      <c r="D3" s="2571"/>
      <c r="E3" s="2572"/>
    </row>
    <row r="4" spans="1:6" ht="15.75">
      <c r="A4" s="2573"/>
      <c r="B4" s="2571"/>
      <c r="C4" s="2571"/>
      <c r="D4" s="2571"/>
      <c r="E4" s="2572"/>
    </row>
    <row r="5" spans="1:6" ht="15">
      <c r="A5" s="2574" t="s">
        <v>2524</v>
      </c>
      <c r="B5" s="3192" t="s">
        <v>2525</v>
      </c>
      <c r="C5" s="3192"/>
      <c r="D5" s="2575"/>
      <c r="E5" s="2576" t="s">
        <v>2526</v>
      </c>
      <c r="F5" s="2577" t="s">
        <v>2527</v>
      </c>
    </row>
    <row r="6" spans="1:6">
      <c r="A6" s="2578" t="str">
        <f>'数据-取费表'!AN6</f>
        <v>收益法</v>
      </c>
      <c r="B6" s="2577">
        <f ca="1">IF(F6="是",'数据-取费表'!AO6,0)</f>
        <v>3792</v>
      </c>
      <c r="C6" s="2568" t="s">
        <v>2522</v>
      </c>
      <c r="D6" s="2571"/>
      <c r="E6" s="2579">
        <f>IF(OR(A6=0,F6="否"),0,'数据-取费表'!K6+'数据-取费表'!S6)</f>
        <v>4799.08</v>
      </c>
      <c r="F6" s="2580" t="s">
        <v>2528</v>
      </c>
    </row>
    <row r="7" spans="1:6">
      <c r="A7" s="2578">
        <f>'数据-取费表'!AN7</f>
        <v>0</v>
      </c>
      <c r="B7" s="2577" t="e">
        <f ca="1">IF(F7="是",'数据-取费表'!AO7,0)</f>
        <v>#REF!</v>
      </c>
      <c r="C7" s="2568" t="s">
        <v>2522</v>
      </c>
      <c r="D7" s="2571"/>
      <c r="E7" s="2579">
        <f>IF(OR(A7=0,F7="否"),0,'数据-取费表'!K7+'数据-取费表'!S7)</f>
        <v>0</v>
      </c>
      <c r="F7" s="2580" t="s">
        <v>2528</v>
      </c>
    </row>
    <row r="8" spans="1:6">
      <c r="A8" s="2578">
        <f>'数据-取费表'!AN8</f>
        <v>0</v>
      </c>
      <c r="B8" s="2577" t="e">
        <f ca="1">IF(F8="是",'数据-取费表'!AO8,0)</f>
        <v>#REF!</v>
      </c>
      <c r="C8" s="2568" t="s">
        <v>2522</v>
      </c>
      <c r="D8" s="2571"/>
      <c r="E8" s="2579">
        <f>IF(OR(A8=0,F8="否"),0,'数据-取费表'!K8+'数据-取费表'!S8)</f>
        <v>0</v>
      </c>
      <c r="F8" s="2580" t="s">
        <v>2528</v>
      </c>
    </row>
    <row r="9" spans="1:6">
      <c r="A9" s="2578">
        <f>'数据-取费表'!AN9</f>
        <v>0</v>
      </c>
      <c r="B9" s="2577" t="e">
        <f ca="1">IF(F9="是",'数据-取费表'!AO9,0)</f>
        <v>#REF!</v>
      </c>
      <c r="C9" s="2568" t="s">
        <v>2522</v>
      </c>
      <c r="D9" s="2571"/>
      <c r="E9" s="2579">
        <f>IF(OR(A9=0,F9="否"),0,'数据-取费表'!K9+'数据-取费表'!S9)</f>
        <v>0</v>
      </c>
      <c r="F9" s="2580" t="s">
        <v>2528</v>
      </c>
    </row>
    <row r="10" spans="1:6">
      <c r="A10" s="2578">
        <f>'数据-取费表'!AN10</f>
        <v>0</v>
      </c>
      <c r="B10" s="2577" t="e">
        <f ca="1">IF(F10="是",'数据-取费表'!AO10,0)</f>
        <v>#REF!</v>
      </c>
      <c r="C10" s="2568" t="s">
        <v>2522</v>
      </c>
      <c r="D10" s="2571"/>
      <c r="E10" s="2579">
        <f>IF(OR(A10=0,F10="否"),0,'数据-取费表'!K10+'数据-取费表'!S10)</f>
        <v>0</v>
      </c>
      <c r="F10" s="2580" t="s">
        <v>2528</v>
      </c>
    </row>
    <row r="11" spans="1:6">
      <c r="A11" s="2578">
        <f>'数据-取费表'!AN11</f>
        <v>0</v>
      </c>
      <c r="B11" s="2577" t="e">
        <f ca="1">IF(F11="是",'数据-取费表'!AO11,0)</f>
        <v>#REF!</v>
      </c>
      <c r="C11" s="2568" t="s">
        <v>2522</v>
      </c>
      <c r="D11" s="2571"/>
      <c r="E11" s="2579">
        <f>IF(OR(A11=0,F11="否"),0,'数据-取费表'!K11+'数据-取费表'!S11)</f>
        <v>0</v>
      </c>
      <c r="F11" s="2580" t="s">
        <v>2528</v>
      </c>
    </row>
    <row r="12" spans="1:6">
      <c r="A12" s="2578">
        <f>'数据-取费表'!AN12</f>
        <v>0</v>
      </c>
      <c r="B12" s="2577" t="e">
        <f ca="1">IF(F12="是",'数据-取费表'!AO12,0)</f>
        <v>#REF!</v>
      </c>
      <c r="C12" s="2568" t="s">
        <v>2522</v>
      </c>
      <c r="D12" s="2571"/>
      <c r="E12" s="2579">
        <f>IF(OR(A12=0,F12="否"),0,'数据-取费表'!K12+'数据-取费表'!S12)</f>
        <v>0</v>
      </c>
      <c r="F12" s="2580" t="s">
        <v>2528</v>
      </c>
    </row>
    <row r="13" spans="1:6" ht="15" thickBot="1">
      <c r="A13" s="2581">
        <f>'数据-取费表'!AN13</f>
        <v>0</v>
      </c>
      <c r="B13" s="2577" t="e">
        <f ca="1">IF(F13="是",'数据-取费表'!AO13,0)</f>
        <v>#REF!</v>
      </c>
      <c r="C13" s="2582" t="s">
        <v>2522</v>
      </c>
      <c r="D13" s="2583"/>
      <c r="E13" s="2579">
        <f>IF(OR(A13=0,F13="否"),0,'数据-取费表'!K13+'数据-取费表'!S13)</f>
        <v>0</v>
      </c>
      <c r="F13" s="2580"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9" t="s">
        <v>1076</v>
      </c>
      <c r="B1" s="3210"/>
      <c r="C1" s="3211"/>
      <c r="D1" s="3212">
        <f>SUM(I10,I15,I20,I21,I23)</f>
        <v>0</v>
      </c>
      <c r="E1" s="3212"/>
      <c r="F1" s="3212"/>
      <c r="G1" s="3212"/>
      <c r="H1" s="3212"/>
      <c r="I1" s="3213"/>
    </row>
    <row r="2" spans="1:9">
      <c r="A2" s="3199" t="s">
        <v>1077</v>
      </c>
      <c r="B2" s="3200" t="s">
        <v>1078</v>
      </c>
      <c r="C2" s="3200"/>
      <c r="D2" s="1302" t="s">
        <v>1079</v>
      </c>
      <c r="E2" s="1302" t="s">
        <v>1080</v>
      </c>
      <c r="F2" s="1302" t="s">
        <v>1081</v>
      </c>
      <c r="G2" s="1302" t="s">
        <v>1082</v>
      </c>
      <c r="H2" s="1302" t="s">
        <v>1083</v>
      </c>
      <c r="I2" s="1303" t="s">
        <v>1084</v>
      </c>
    </row>
    <row r="3" spans="1:9">
      <c r="A3" s="3199"/>
      <c r="B3" s="3200" t="s">
        <v>1085</v>
      </c>
      <c r="C3" s="3200"/>
      <c r="D3" s="1304"/>
      <c r="E3" s="1302"/>
      <c r="F3" s="1305"/>
      <c r="G3" s="1305"/>
      <c r="H3" s="1306"/>
      <c r="I3" s="1307">
        <f>ROUND(D3*E3*F3*G3*H3/10000,0)</f>
        <v>0</v>
      </c>
    </row>
    <row r="4" spans="1:9">
      <c r="A4" s="3199"/>
      <c r="B4" s="3200" t="s">
        <v>1086</v>
      </c>
      <c r="C4" s="3200"/>
      <c r="D4" s="1304"/>
      <c r="E4" s="1302"/>
      <c r="F4" s="1305"/>
      <c r="G4" s="1305"/>
      <c r="H4" s="1306"/>
      <c r="I4" s="1307">
        <f t="shared" ref="I4:I9" si="0">ROUND(D4*E4*F4*G4*H4/10000,0)</f>
        <v>0</v>
      </c>
    </row>
    <row r="5" spans="1:9">
      <c r="A5" s="3199"/>
      <c r="B5" s="3200" t="s">
        <v>1087</v>
      </c>
      <c r="C5" s="3200"/>
      <c r="D5" s="1304"/>
      <c r="E5" s="1302"/>
      <c r="F5" s="1305"/>
      <c r="G5" s="1305"/>
      <c r="H5" s="1306"/>
      <c r="I5" s="1307">
        <f t="shared" si="0"/>
        <v>0</v>
      </c>
    </row>
    <row r="6" spans="1:9">
      <c r="A6" s="3199"/>
      <c r="B6" s="3200" t="s">
        <v>1088</v>
      </c>
      <c r="C6" s="3200"/>
      <c r="D6" s="1304"/>
      <c r="E6" s="1302"/>
      <c r="F6" s="1305"/>
      <c r="G6" s="1305"/>
      <c r="H6" s="1306"/>
      <c r="I6" s="1307">
        <f t="shared" si="0"/>
        <v>0</v>
      </c>
    </row>
    <row r="7" spans="1:9">
      <c r="A7" s="3199"/>
      <c r="B7" s="3200" t="s">
        <v>1089</v>
      </c>
      <c r="C7" s="3200"/>
      <c r="D7" s="1304"/>
      <c r="E7" s="1302"/>
      <c r="F7" s="1305"/>
      <c r="G7" s="1305"/>
      <c r="H7" s="1306"/>
      <c r="I7" s="1307">
        <f t="shared" si="0"/>
        <v>0</v>
      </c>
    </row>
    <row r="8" spans="1:9">
      <c r="A8" s="3199"/>
      <c r="B8" s="3200" t="s">
        <v>1090</v>
      </c>
      <c r="C8" s="3200"/>
      <c r="D8" s="1304"/>
      <c r="E8" s="1302"/>
      <c r="F8" s="1305"/>
      <c r="G8" s="1305"/>
      <c r="H8" s="1306"/>
      <c r="I8" s="1307">
        <f t="shared" si="0"/>
        <v>0</v>
      </c>
    </row>
    <row r="9" spans="1:9">
      <c r="A9" s="3199"/>
      <c r="B9" s="3200" t="s">
        <v>1091</v>
      </c>
      <c r="C9" s="3200"/>
      <c r="D9" s="1304"/>
      <c r="E9" s="1302"/>
      <c r="F9" s="1305"/>
      <c r="G9" s="1305"/>
      <c r="H9" s="1306"/>
      <c r="I9" s="1307">
        <f t="shared" si="0"/>
        <v>0</v>
      </c>
    </row>
    <row r="10" spans="1:9">
      <c r="A10" s="3199"/>
      <c r="B10" s="3201" t="s">
        <v>1092</v>
      </c>
      <c r="C10" s="3201"/>
      <c r="D10" s="1308"/>
      <c r="E10" s="1308" t="e">
        <f>ROUND(D1*10000/D10/H9,0)</f>
        <v>#DIV/0!</v>
      </c>
      <c r="F10" s="1309"/>
      <c r="G10" s="1309"/>
      <c r="H10" s="1310"/>
      <c r="I10" s="1311">
        <f>SUM(I3:I9)</f>
        <v>0</v>
      </c>
    </row>
    <row r="11" spans="1:9" ht="14.25">
      <c r="A11" s="3199" t="s">
        <v>1093</v>
      </c>
      <c r="B11" s="3200" t="s">
        <v>1094</v>
      </c>
      <c r="C11" s="3200"/>
      <c r="D11" s="1304" t="s">
        <v>1095</v>
      </c>
      <c r="E11" s="1304" t="s">
        <v>1096</v>
      </c>
      <c r="F11" s="1305" t="s">
        <v>1097</v>
      </c>
      <c r="G11" s="1305" t="s">
        <v>1083</v>
      </c>
      <c r="H11" s="1312" t="s">
        <v>1098</v>
      </c>
      <c r="I11" s="1303" t="s">
        <v>1084</v>
      </c>
    </row>
    <row r="12" spans="1:9">
      <c r="A12" s="3199"/>
      <c r="B12" s="3200" t="s">
        <v>1099</v>
      </c>
      <c r="C12" s="3200"/>
      <c r="D12" s="1304"/>
      <c r="E12" s="1304"/>
      <c r="F12" s="1305"/>
      <c r="G12" s="1306"/>
      <c r="H12" s="1313"/>
      <c r="I12" s="1303">
        <f>ROUND(D12*E12*F12*G12/10000,0)</f>
        <v>0</v>
      </c>
    </row>
    <row r="13" spans="1:9">
      <c r="A13" s="3199"/>
      <c r="B13" s="3200" t="s">
        <v>1100</v>
      </c>
      <c r="C13" s="3200"/>
      <c r="D13" s="1304"/>
      <c r="E13" s="1304"/>
      <c r="F13" s="1305"/>
      <c r="G13" s="1306"/>
      <c r="H13" s="1313"/>
      <c r="I13" s="1303">
        <f>ROUND(D13*E13*F13*G13/10000,0)</f>
        <v>0</v>
      </c>
    </row>
    <row r="14" spans="1:9">
      <c r="A14" s="3199"/>
      <c r="B14" s="3200" t="s">
        <v>1101</v>
      </c>
      <c r="C14" s="3200"/>
      <c r="D14" s="1304"/>
      <c r="E14" s="1304"/>
      <c r="F14" s="1305"/>
      <c r="G14" s="1306"/>
      <c r="H14" s="1313"/>
      <c r="I14" s="1303">
        <f>ROUND(D14*E14*F14*G14/10000,0)</f>
        <v>0</v>
      </c>
    </row>
    <row r="15" spans="1:9">
      <c r="A15" s="3199"/>
      <c r="B15" s="3201" t="s">
        <v>1092</v>
      </c>
      <c r="C15" s="3201"/>
      <c r="D15" s="1308"/>
      <c r="E15" s="1308">
        <f>SUM(E12:E14)</f>
        <v>0</v>
      </c>
      <c r="F15" s="1309"/>
      <c r="G15" s="1306"/>
      <c r="H15" s="1313"/>
      <c r="I15" s="1314">
        <f>SUM(I12:I14)</f>
        <v>0</v>
      </c>
    </row>
    <row r="16" spans="1:9" ht="24">
      <c r="A16" s="3199" t="s">
        <v>1102</v>
      </c>
      <c r="B16" s="3200" t="s">
        <v>1103</v>
      </c>
      <c r="C16" s="3200"/>
      <c r="D16" s="1304" t="s">
        <v>1079</v>
      </c>
      <c r="E16" s="1315" t="s">
        <v>1104</v>
      </c>
      <c r="F16" s="1305" t="s">
        <v>1105</v>
      </c>
      <c r="G16" s="1306" t="s">
        <v>1083</v>
      </c>
      <c r="H16" s="1312" t="s">
        <v>1098</v>
      </c>
      <c r="I16" s="1303" t="s">
        <v>1084</v>
      </c>
    </row>
    <row r="17" spans="1:9" ht="14.25">
      <c r="A17" s="3199"/>
      <c r="B17" s="3200" t="s">
        <v>1106</v>
      </c>
      <c r="C17" s="3200"/>
      <c r="D17" s="1304"/>
      <c r="E17" s="1304"/>
      <c r="F17" s="1305"/>
      <c r="G17" s="1306"/>
      <c r="H17" s="1316"/>
      <c r="I17" s="1317">
        <f>ROUND(D17*E17*F17*G17/10000,0)</f>
        <v>0</v>
      </c>
    </row>
    <row r="18" spans="1:9" ht="14.25">
      <c r="A18" s="3199"/>
      <c r="B18" s="3200" t="s">
        <v>1107</v>
      </c>
      <c r="C18" s="3200"/>
      <c r="D18" s="1304"/>
      <c r="E18" s="1304"/>
      <c r="F18" s="1305"/>
      <c r="G18" s="1306"/>
      <c r="H18" s="1316"/>
      <c r="I18" s="1317">
        <f>ROUND(D18*E18*F18*G18/10000,0)</f>
        <v>0</v>
      </c>
    </row>
    <row r="19" spans="1:9" ht="14.25">
      <c r="A19" s="3199"/>
      <c r="B19" s="3200" t="s">
        <v>1108</v>
      </c>
      <c r="C19" s="3200"/>
      <c r="D19" s="1304"/>
      <c r="E19" s="1304"/>
      <c r="F19" s="1305"/>
      <c r="G19" s="1306"/>
      <c r="H19" s="1316"/>
      <c r="I19" s="1317">
        <f>ROUND(D19*E19*F19*G19/10000,0)</f>
        <v>0</v>
      </c>
    </row>
    <row r="20" spans="1:9">
      <c r="A20" s="3199"/>
      <c r="B20" s="3201" t="s">
        <v>1092</v>
      </c>
      <c r="C20" s="3201"/>
      <c r="D20" s="1308">
        <f>SUM(D17:D19)</f>
        <v>0</v>
      </c>
      <c r="E20" s="1308"/>
      <c r="F20" s="1309"/>
      <c r="G20" s="1306"/>
      <c r="H20" s="1313"/>
      <c r="I20" s="1314">
        <f>SUM(I17:I19)</f>
        <v>0</v>
      </c>
    </row>
    <row r="21" spans="1:9">
      <c r="A21" s="3199" t="s">
        <v>1109</v>
      </c>
      <c r="B21" s="3202"/>
      <c r="C21" s="3202"/>
      <c r="D21" s="3202"/>
      <c r="E21" s="3202"/>
      <c r="F21" s="3202"/>
      <c r="G21" s="3202"/>
      <c r="H21" s="1767">
        <v>0.1</v>
      </c>
      <c r="I21" s="1311">
        <f>ROUND(I10*H21,0)</f>
        <v>0</v>
      </c>
    </row>
    <row r="22" spans="1:9" ht="14.25">
      <c r="A22" s="3203" t="s">
        <v>1110</v>
      </c>
      <c r="B22" s="3204"/>
      <c r="C22" s="3205"/>
      <c r="D22" s="1318" t="s">
        <v>1111</v>
      </c>
      <c r="E22" s="1318" t="s">
        <v>1112</v>
      </c>
      <c r="F22" s="1319" t="s">
        <v>1113</v>
      </c>
      <c r="G22" s="1319" t="s">
        <v>1114</v>
      </c>
      <c r="H22" s="1312" t="s">
        <v>1115</v>
      </c>
      <c r="I22" s="1303" t="s">
        <v>1116</v>
      </c>
    </row>
    <row r="23" spans="1:9" ht="14.25" thickBot="1">
      <c r="A23" s="3206"/>
      <c r="B23" s="3207"/>
      <c r="C23" s="3208"/>
      <c r="D23" s="1320"/>
      <c r="E23" s="1320"/>
      <c r="F23" s="1320"/>
      <c r="G23" s="1321"/>
      <c r="H23" s="1322"/>
      <c r="I23" s="1323">
        <f>ROUND(E23*D23*F23*(1-G23)/10000,0)</f>
        <v>0</v>
      </c>
    </row>
    <row r="26" spans="1:9">
      <c r="A26" s="1324" t="s">
        <v>1117</v>
      </c>
      <c r="B26" s="1324"/>
      <c r="C26" s="1324"/>
      <c r="D26" s="1324"/>
      <c r="E26" s="3196">
        <f>C27-C30-C31-C32</f>
        <v>0</v>
      </c>
      <c r="F26" s="3196"/>
      <c r="G26" s="3196"/>
      <c r="H26" s="1739" t="s">
        <v>1341</v>
      </c>
    </row>
    <row r="27" spans="1:9">
      <c r="A27" s="1325">
        <v>1</v>
      </c>
      <c r="B27" s="1326" t="s">
        <v>1118</v>
      </c>
      <c r="C27" s="1326">
        <f>C28+C29</f>
        <v>0</v>
      </c>
      <c r="D27" s="1326"/>
      <c r="E27" s="3197"/>
      <c r="F27" s="3197"/>
      <c r="G27" s="3197"/>
    </row>
    <row r="28" spans="1:9">
      <c r="A28" s="1327" t="s">
        <v>1119</v>
      </c>
      <c r="B28" s="1326" t="s">
        <v>1120</v>
      </c>
      <c r="C28" s="1326"/>
      <c r="D28" s="1326"/>
      <c r="E28" s="3197"/>
      <c r="F28" s="3197"/>
      <c r="G28" s="319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98"/>
      <c r="F32" s="3198"/>
      <c r="G32" s="3198"/>
    </row>
    <row r="33" spans="1:7" hidden="1">
      <c r="A33" s="3193" t="s">
        <v>1129</v>
      </c>
      <c r="B33" s="3194"/>
      <c r="C33" s="3194"/>
      <c r="D33" s="3195"/>
      <c r="E33" s="3196"/>
      <c r="F33" s="3196"/>
      <c r="G33" s="3196"/>
    </row>
    <row r="34" spans="1:7" hidden="1">
      <c r="A34" s="1329">
        <v>1</v>
      </c>
      <c r="B34" s="1326" t="s">
        <v>1130</v>
      </c>
      <c r="C34" s="1326"/>
      <c r="D34" s="1326"/>
      <c r="E34" s="3197"/>
      <c r="F34" s="3197"/>
      <c r="G34" s="3197"/>
    </row>
    <row r="35" spans="1:7" hidden="1">
      <c r="A35" s="1329">
        <v>2</v>
      </c>
      <c r="B35" s="1326" t="s">
        <v>1131</v>
      </c>
      <c r="C35" s="1326"/>
      <c r="D35" s="1326"/>
      <c r="E35" s="3197"/>
      <c r="F35" s="3197"/>
      <c r="G35" s="3197"/>
    </row>
    <row r="36" spans="1:7" hidden="1">
      <c r="A36" s="1329">
        <v>3</v>
      </c>
      <c r="B36" s="1326" t="s">
        <v>1132</v>
      </c>
      <c r="C36" s="1326"/>
      <c r="D36" s="1326"/>
      <c r="E36" s="3197"/>
      <c r="F36" s="3197"/>
      <c r="G36" s="3197"/>
    </row>
    <row r="37" spans="1:7" hidden="1">
      <c r="A37" s="1329">
        <v>4</v>
      </c>
      <c r="B37" s="1326" t="s">
        <v>1133</v>
      </c>
      <c r="C37" s="1326"/>
      <c r="D37" s="1326"/>
      <c r="E37" s="3197"/>
      <c r="F37" s="3197"/>
      <c r="G37" s="3197"/>
    </row>
    <row r="38" spans="1:7" hidden="1">
      <c r="A38" s="3193" t="s">
        <v>1134</v>
      </c>
      <c r="B38" s="3194"/>
      <c r="C38" s="3194"/>
      <c r="D38" s="3195"/>
      <c r="E38" s="3196"/>
      <c r="F38" s="3196"/>
      <c r="G38" s="31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584" t="s">
        <v>2532</v>
      </c>
      <c r="C1" s="1636" t="s">
        <v>2533</v>
      </c>
      <c r="D1" s="1623"/>
      <c r="E1" s="2585"/>
      <c r="F1" s="2586" t="s">
        <v>2534</v>
      </c>
      <c r="G1" s="1633" t="s">
        <v>2535</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2" customFormat="1" ht="28.5" customHeight="1" thickTop="1">
      <c r="A2" s="1619" t="s">
        <v>1395</v>
      </c>
      <c r="B2" s="1419" t="e">
        <f ca="1">IF(C2="——",ROUND(C49*D3/10000,0),ROUND(C49*D3/10000,0)-D2)</f>
        <v>#DIV/0!</v>
      </c>
      <c r="C2" s="2588"/>
      <c r="D2" s="1366" t="e">
        <f ca="1">SUMIF(INDIRECT("'"&amp;F2&amp;"'"&amp;"!A:A"),"承租人权益价值",INDIRECT("'"&amp;F2&amp;"'"&amp;"!c:c"))</f>
        <v>#REF!</v>
      </c>
      <c r="E2" s="2589" t="s">
        <v>2536</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1396</v>
      </c>
      <c r="B3" s="398" t="e">
        <f ca="1">IF(C2="——",C49,ROUND(B2*10000/D3,0))</f>
        <v>#DIV/0!</v>
      </c>
      <c r="C3" s="399" t="s">
        <v>2537</v>
      </c>
      <c r="D3" s="398">
        <f>IF(D1="",'数据-汇总表'!E3,SUMIF('数据-汇总表'!$C19:$C33,D1,'数据-汇总表'!$E19:$E33))</f>
        <v>4799.08</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2538</v>
      </c>
      <c r="B4" s="401"/>
      <c r="C4" s="3161" t="s">
        <v>2539</v>
      </c>
      <c r="D4" s="3162"/>
      <c r="E4" s="3163" t="s">
        <v>2540</v>
      </c>
      <c r="F4" s="3164"/>
      <c r="G4" s="3161" t="s">
        <v>2541</v>
      </c>
      <c r="H4" s="3162"/>
      <c r="I4" s="3161" t="s">
        <v>2542</v>
      </c>
      <c r="J4" s="3162"/>
      <c r="K4" s="2598" t="s">
        <v>2543</v>
      </c>
      <c r="L4" s="1131"/>
      <c r="M4" s="1132"/>
      <c r="N4" s="1132"/>
      <c r="O4" s="1132"/>
      <c r="P4" s="3165" t="s">
        <v>2544</v>
      </c>
      <c r="Q4" s="3166"/>
      <c r="R4" s="3171" t="s">
        <v>2540</v>
      </c>
      <c r="S4" s="3172"/>
      <c r="T4" s="3171" t="s">
        <v>2541</v>
      </c>
      <c r="U4" s="3172"/>
      <c r="V4" s="3177" t="s">
        <v>2542</v>
      </c>
      <c r="W4" s="3177"/>
      <c r="X4" s="1815"/>
      <c r="Y4" s="3171" t="s">
        <v>2544</v>
      </c>
      <c r="Z4" s="3172"/>
      <c r="AA4" s="3158" t="s">
        <v>2540</v>
      </c>
      <c r="AB4" s="3158" t="s">
        <v>2541</v>
      </c>
      <c r="AC4" s="3158" t="s">
        <v>2542</v>
      </c>
    </row>
    <row r="5" spans="1:29" ht="15">
      <c r="A5" s="403"/>
      <c r="B5" s="404"/>
      <c r="C5" s="3220" t="s">
        <v>2545</v>
      </c>
      <c r="D5" s="3221"/>
      <c r="E5" s="3222" t="s">
        <v>2546</v>
      </c>
      <c r="F5" s="3181"/>
      <c r="G5" s="3220" t="s">
        <v>2547</v>
      </c>
      <c r="H5" s="3221"/>
      <c r="I5" s="3220" t="s">
        <v>2548</v>
      </c>
      <c r="J5" s="3221"/>
      <c r="K5" s="2599"/>
      <c r="L5" s="1131"/>
      <c r="M5" s="1132"/>
      <c r="N5" s="1132"/>
      <c r="O5" s="1132"/>
      <c r="P5" s="3167"/>
      <c r="Q5" s="3168"/>
      <c r="R5" s="3173"/>
      <c r="S5" s="3174"/>
      <c r="T5" s="3173"/>
      <c r="U5" s="3174"/>
      <c r="V5" s="3177"/>
      <c r="W5" s="3177"/>
      <c r="X5" s="1815"/>
      <c r="Y5" s="3173"/>
      <c r="Z5" s="3174"/>
      <c r="AA5" s="3159"/>
      <c r="AB5" s="3159"/>
      <c r="AC5" s="3159"/>
    </row>
    <row r="6" spans="1:29" ht="15.75" thickBot="1">
      <c r="A6" s="405"/>
      <c r="B6" s="406"/>
      <c r="C6" s="3178" t="s">
        <v>2549</v>
      </c>
      <c r="D6" s="3179"/>
      <c r="E6" s="3185" t="s">
        <v>2549</v>
      </c>
      <c r="F6" s="3186"/>
      <c r="G6" s="3178" t="s">
        <v>2549</v>
      </c>
      <c r="H6" s="3179"/>
      <c r="I6" s="3178" t="s">
        <v>2549</v>
      </c>
      <c r="J6" s="3179"/>
      <c r="K6" s="2599" t="s">
        <v>2550</v>
      </c>
      <c r="L6" s="1131"/>
      <c r="M6" s="1132"/>
      <c r="N6" s="1132"/>
      <c r="O6" s="1132"/>
      <c r="P6" s="3169"/>
      <c r="Q6" s="3170"/>
      <c r="R6" s="3173"/>
      <c r="S6" s="3174"/>
      <c r="T6" s="3175"/>
      <c r="U6" s="3176"/>
      <c r="V6" s="3177"/>
      <c r="W6" s="3177"/>
      <c r="X6" s="1815"/>
      <c r="Y6" s="3175"/>
      <c r="Z6" s="3176"/>
      <c r="AA6" s="3160"/>
      <c r="AB6" s="3160"/>
      <c r="AC6" s="3160"/>
    </row>
    <row r="7" spans="1:29" s="117" customFormat="1" ht="15.75" thickBot="1">
      <c r="A7" s="407" t="s">
        <v>2551</v>
      </c>
      <c r="B7" s="408"/>
      <c r="C7" s="409">
        <f>'数据-取费表'!B2</f>
        <v>43061</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182" t="s">
        <v>2552</v>
      </c>
      <c r="Q7" s="3184"/>
      <c r="R7" s="769" t="s">
        <v>23</v>
      </c>
      <c r="S7" s="770">
        <f t="shared" ref="S7:S15" si="0">F7</f>
        <v>0</v>
      </c>
      <c r="T7" s="769" t="s">
        <v>23</v>
      </c>
      <c r="U7" s="770">
        <f t="shared" ref="U7:U15" si="1">H7</f>
        <v>0</v>
      </c>
      <c r="V7" s="769" t="s">
        <v>23</v>
      </c>
      <c r="W7" s="770">
        <f t="shared" ref="W7:W15" si="2">J7</f>
        <v>0</v>
      </c>
      <c r="X7" s="771"/>
      <c r="Y7" s="3182" t="s">
        <v>2552</v>
      </c>
      <c r="Z7" s="3183"/>
      <c r="AA7" s="772" t="e">
        <f>D7/F7</f>
        <v>#DIV/0!</v>
      </c>
      <c r="AB7" s="772" t="e">
        <f>D7/H7</f>
        <v>#DIV/0!</v>
      </c>
      <c r="AC7" s="772" t="e">
        <f>D7/J7</f>
        <v>#DIV/0!</v>
      </c>
    </row>
    <row r="8" spans="1:29" s="117" customFormat="1" ht="15.75" thickBot="1">
      <c r="A8" s="407" t="s">
        <v>2553</v>
      </c>
      <c r="B8" s="408"/>
      <c r="C8" s="413" t="s">
        <v>2554</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182" t="s">
        <v>2555</v>
      </c>
      <c r="Q8" s="3183"/>
      <c r="R8" s="769" t="s">
        <v>23</v>
      </c>
      <c r="S8" s="770">
        <f t="shared" si="0"/>
        <v>0</v>
      </c>
      <c r="T8" s="769" t="s">
        <v>23</v>
      </c>
      <c r="U8" s="770">
        <f t="shared" si="1"/>
        <v>0</v>
      </c>
      <c r="V8" s="769" t="s">
        <v>23</v>
      </c>
      <c r="W8" s="770">
        <f t="shared" si="2"/>
        <v>0</v>
      </c>
      <c r="X8" s="771"/>
      <c r="Y8" s="3182" t="s">
        <v>2555</v>
      </c>
      <c r="Z8" s="3183"/>
      <c r="AA8" s="772" t="e">
        <f t="shared" ref="AA8:AA19" si="3">D8/F8</f>
        <v>#DIV/0!</v>
      </c>
      <c r="AB8" s="772" t="e">
        <f t="shared" ref="AB8:AB19" si="4">D8/H8</f>
        <v>#DIV/0!</v>
      </c>
      <c r="AC8" s="772" t="e">
        <f t="shared" ref="AC8:AC19" si="5">D8/J8</f>
        <v>#DIV/0!</v>
      </c>
    </row>
    <row r="9" spans="1:29" s="117" customFormat="1">
      <c r="A9" s="414" t="s">
        <v>2556</v>
      </c>
      <c r="B9" s="71" t="s">
        <v>2557</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219" t="s">
        <v>2558</v>
      </c>
      <c r="Q9" s="1797" t="str">
        <f t="shared" ref="Q9:Q15" si="6">B9</f>
        <v>用途</v>
      </c>
      <c r="R9" s="769" t="s">
        <v>17</v>
      </c>
      <c r="S9" s="770">
        <f t="shared" si="0"/>
        <v>100</v>
      </c>
      <c r="T9" s="769" t="s">
        <v>17</v>
      </c>
      <c r="U9" s="770">
        <f t="shared" si="1"/>
        <v>100</v>
      </c>
      <c r="V9" s="769" t="s">
        <v>17</v>
      </c>
      <c r="W9" s="770">
        <f t="shared" si="2"/>
        <v>100</v>
      </c>
      <c r="X9" s="771"/>
      <c r="Y9" s="2983" t="s">
        <v>2559</v>
      </c>
      <c r="Z9" s="55" t="str">
        <f t="shared" ref="Z9:Z15" si="7">Q9</f>
        <v>用途</v>
      </c>
      <c r="AA9" s="772">
        <f t="shared" si="3"/>
        <v>1</v>
      </c>
      <c r="AB9" s="772">
        <f t="shared" si="4"/>
        <v>1</v>
      </c>
      <c r="AC9" s="772">
        <f t="shared" si="5"/>
        <v>1</v>
      </c>
    </row>
    <row r="10" spans="1:29" s="426" customFormat="1" ht="27">
      <c r="A10" s="420"/>
      <c r="B10" s="421" t="s">
        <v>2560</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19"/>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772">
        <f t="shared" si="5"/>
        <v>1</v>
      </c>
    </row>
    <row r="11" spans="1:29" ht="15">
      <c r="A11" s="427"/>
      <c r="B11" s="421" t="s">
        <v>2561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19"/>
      <c r="Q11" s="1797" t="str">
        <f t="shared" si="6"/>
        <v>容积率</v>
      </c>
      <c r="R11" s="769" t="s">
        <v>21</v>
      </c>
      <c r="S11" s="770" t="e">
        <f t="shared" si="0"/>
        <v>#N/A</v>
      </c>
      <c r="T11" s="769" t="s">
        <v>21</v>
      </c>
      <c r="U11" s="770" t="e">
        <f t="shared" si="1"/>
        <v>#N/A</v>
      </c>
      <c r="V11" s="769" t="s">
        <v>21</v>
      </c>
      <c r="W11" s="770" t="e">
        <f t="shared" si="2"/>
        <v>#N/A</v>
      </c>
      <c r="X11" s="771"/>
      <c r="Y11" s="2983"/>
      <c r="Z11" s="55" t="str">
        <f t="shared" si="7"/>
        <v>容积率</v>
      </c>
      <c r="AA11" s="772" t="e">
        <f t="shared" si="3"/>
        <v>#N/A</v>
      </c>
      <c r="AB11" s="772" t="e">
        <f t="shared" si="4"/>
        <v>#N/A</v>
      </c>
      <c r="AC11" s="772" t="e">
        <f t="shared" si="5"/>
        <v>#N/A</v>
      </c>
    </row>
    <row r="12" spans="1:29" s="117"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219"/>
      <c r="Q12" s="1797">
        <f t="shared" si="6"/>
        <v>111</v>
      </c>
      <c r="R12" s="769" t="s">
        <v>21</v>
      </c>
      <c r="S12" s="770">
        <f t="shared" si="0"/>
        <v>100</v>
      </c>
      <c r="T12" s="769" t="s">
        <v>21</v>
      </c>
      <c r="U12" s="770">
        <f t="shared" si="1"/>
        <v>100</v>
      </c>
      <c r="V12" s="769" t="s">
        <v>21</v>
      </c>
      <c r="W12" s="770">
        <f t="shared" si="2"/>
        <v>100</v>
      </c>
      <c r="X12" s="771"/>
      <c r="Y12" s="2983"/>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219"/>
      <c r="Q13" s="1797">
        <f t="shared" si="6"/>
        <v>111</v>
      </c>
      <c r="R13" s="769" t="s">
        <v>21</v>
      </c>
      <c r="S13" s="770">
        <f t="shared" si="0"/>
        <v>100</v>
      </c>
      <c r="T13" s="769" t="s">
        <v>21</v>
      </c>
      <c r="U13" s="770">
        <f t="shared" si="1"/>
        <v>100</v>
      </c>
      <c r="V13" s="769" t="s">
        <v>21</v>
      </c>
      <c r="W13" s="770">
        <f t="shared" si="2"/>
        <v>100</v>
      </c>
      <c r="X13" s="771"/>
      <c r="Y13" s="2983"/>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219"/>
      <c r="Q14" s="1797">
        <f t="shared" si="6"/>
        <v>111</v>
      </c>
      <c r="R14" s="769" t="s">
        <v>21</v>
      </c>
      <c r="S14" s="770">
        <f t="shared" si="0"/>
        <v>100</v>
      </c>
      <c r="T14" s="769" t="s">
        <v>21</v>
      </c>
      <c r="U14" s="770">
        <f t="shared" si="1"/>
        <v>100</v>
      </c>
      <c r="V14" s="769" t="s">
        <v>21</v>
      </c>
      <c r="W14" s="770">
        <f t="shared" si="2"/>
        <v>100</v>
      </c>
      <c r="X14" s="771"/>
      <c r="Y14" s="2983"/>
      <c r="Z14" s="55">
        <f t="shared" si="7"/>
        <v>111</v>
      </c>
      <c r="AA14" s="772">
        <f t="shared" si="3"/>
        <v>1</v>
      </c>
      <c r="AB14" s="772">
        <f t="shared" si="4"/>
        <v>1</v>
      </c>
      <c r="AC14" s="772">
        <f t="shared" si="5"/>
        <v>1</v>
      </c>
    </row>
    <row r="15" spans="1:29" ht="99.75">
      <c r="A15" s="439" t="s">
        <v>2562</v>
      </c>
      <c r="B15" s="69" t="s">
        <v>2089</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17" t="s">
        <v>2563</v>
      </c>
      <c r="Q15" s="1812" t="str">
        <f t="shared" si="6"/>
        <v>居住社区成熟度</v>
      </c>
      <c r="R15" s="773" t="s">
        <v>21</v>
      </c>
      <c r="S15" s="774">
        <f t="shared" si="0"/>
        <v>100</v>
      </c>
      <c r="T15" s="773" t="s">
        <v>21</v>
      </c>
      <c r="U15" s="774">
        <f t="shared" si="1"/>
        <v>100</v>
      </c>
      <c r="V15" s="773" t="s">
        <v>21</v>
      </c>
      <c r="W15" s="774">
        <f t="shared" si="2"/>
        <v>100</v>
      </c>
      <c r="X15" s="1815"/>
      <c r="Y15" s="3153" t="s">
        <v>2563</v>
      </c>
      <c r="Z15" s="1816" t="str">
        <f t="shared" si="7"/>
        <v>居住社区成熟度</v>
      </c>
      <c r="AA15" s="1813">
        <f t="shared" si="3"/>
        <v>1</v>
      </c>
      <c r="AB15" s="1813">
        <f t="shared" si="4"/>
        <v>1</v>
      </c>
      <c r="AC15" s="1813">
        <f t="shared" si="5"/>
        <v>1</v>
      </c>
    </row>
    <row r="16" spans="1:29" ht="15">
      <c r="A16" s="427"/>
      <c r="B16" s="445"/>
      <c r="C16" s="446"/>
      <c r="D16" s="447"/>
      <c r="E16" s="2606"/>
      <c r="F16" s="447"/>
      <c r="G16" s="2607"/>
      <c r="H16" s="449"/>
      <c r="I16" s="2607"/>
      <c r="J16" s="447"/>
      <c r="K16" s="2608"/>
      <c r="L16" s="1141"/>
      <c r="M16" s="1132"/>
      <c r="N16" s="1132"/>
      <c r="O16" s="1132"/>
      <c r="P16" s="3218"/>
      <c r="Q16" s="1812"/>
      <c r="R16" s="773"/>
      <c r="S16" s="774"/>
      <c r="T16" s="773"/>
      <c r="U16" s="774"/>
      <c r="V16" s="773"/>
      <c r="W16" s="774"/>
      <c r="X16" s="1815"/>
      <c r="Y16" s="3154"/>
      <c r="Z16" s="1816"/>
      <c r="AA16" s="1813">
        <v>1</v>
      </c>
      <c r="AB16" s="1813">
        <v>1</v>
      </c>
      <c r="AC16" s="1813">
        <v>1</v>
      </c>
    </row>
    <row r="17" spans="1:29" ht="85.5">
      <c r="A17" s="427"/>
      <c r="B17" s="450" t="s">
        <v>2100</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18"/>
      <c r="Q17" s="1812" t="str">
        <f>B17</f>
        <v>交通便捷度</v>
      </c>
      <c r="R17" s="773" t="s">
        <v>21</v>
      </c>
      <c r="S17" s="774">
        <f>F17</f>
        <v>100</v>
      </c>
      <c r="T17" s="773" t="s">
        <v>21</v>
      </c>
      <c r="U17" s="774">
        <f>H17</f>
        <v>100</v>
      </c>
      <c r="V17" s="773" t="s">
        <v>21</v>
      </c>
      <c r="W17" s="774">
        <f>J17</f>
        <v>100</v>
      </c>
      <c r="X17" s="1815"/>
      <c r="Y17" s="3154"/>
      <c r="Z17" s="1816" t="str">
        <f>Q17</f>
        <v>交通便捷度</v>
      </c>
      <c r="AA17" s="1813">
        <f t="shared" si="3"/>
        <v>1</v>
      </c>
      <c r="AB17" s="1813">
        <f t="shared" si="4"/>
        <v>1</v>
      </c>
      <c r="AC17" s="1813">
        <f t="shared" si="5"/>
        <v>1</v>
      </c>
    </row>
    <row r="18" spans="1:29" ht="15">
      <c r="A18" s="427"/>
      <c r="B18" s="455"/>
      <c r="C18" s="2610"/>
      <c r="D18" s="449"/>
      <c r="E18" s="2611"/>
      <c r="F18" s="449"/>
      <c r="G18" s="2612"/>
      <c r="H18" s="447"/>
      <c r="I18" s="2612"/>
      <c r="J18" s="447"/>
      <c r="K18" s="2608"/>
      <c r="L18" s="1141"/>
      <c r="M18" s="1132"/>
      <c r="N18" s="1132"/>
      <c r="O18" s="1132"/>
      <c r="P18" s="3218"/>
      <c r="Q18" s="1812"/>
      <c r="R18" s="773"/>
      <c r="S18" s="774"/>
      <c r="T18" s="773"/>
      <c r="U18" s="774"/>
      <c r="V18" s="773"/>
      <c r="W18" s="774"/>
      <c r="X18" s="1815"/>
      <c r="Y18" s="3154"/>
      <c r="Z18" s="1816"/>
      <c r="AA18" s="1813">
        <v>1</v>
      </c>
      <c r="AB18" s="1813">
        <v>1</v>
      </c>
      <c r="AC18" s="1813">
        <v>1</v>
      </c>
    </row>
    <row r="19" spans="1:29" ht="42.75">
      <c r="A19" s="427"/>
      <c r="B19" s="450" t="s">
        <v>2098</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18"/>
      <c r="Q19" s="1812" t="str">
        <f>B19</f>
        <v>公共配套设施</v>
      </c>
      <c r="R19" s="773" t="s">
        <v>21</v>
      </c>
      <c r="S19" s="774">
        <f>F19</f>
        <v>100</v>
      </c>
      <c r="T19" s="773" t="s">
        <v>21</v>
      </c>
      <c r="U19" s="774">
        <f>H19</f>
        <v>100</v>
      </c>
      <c r="V19" s="773" t="s">
        <v>21</v>
      </c>
      <c r="W19" s="774">
        <f>J19</f>
        <v>100</v>
      </c>
      <c r="X19" s="1815"/>
      <c r="Y19" s="3154"/>
      <c r="Z19" s="1816" t="str">
        <f>Q19</f>
        <v>公共配套设施</v>
      </c>
      <c r="AA19" s="1813">
        <f t="shared" si="3"/>
        <v>1</v>
      </c>
      <c r="AB19" s="1813">
        <f t="shared" si="4"/>
        <v>1</v>
      </c>
      <c r="AC19" s="1813">
        <f t="shared" si="5"/>
        <v>1</v>
      </c>
    </row>
    <row r="20" spans="1:29" ht="15">
      <c r="A20" s="427"/>
      <c r="B20" s="455"/>
      <c r="C20" s="446"/>
      <c r="D20" s="447"/>
      <c r="E20" s="2606"/>
      <c r="F20" s="447"/>
      <c r="G20" s="2607"/>
      <c r="H20" s="447"/>
      <c r="I20" s="2607"/>
      <c r="J20" s="447"/>
      <c r="K20" s="2608"/>
      <c r="L20" s="1141"/>
      <c r="M20" s="1132"/>
      <c r="N20" s="1132"/>
      <c r="O20" s="1132"/>
      <c r="P20" s="3218"/>
      <c r="Q20" s="1812"/>
      <c r="R20" s="773"/>
      <c r="S20" s="774"/>
      <c r="T20" s="773"/>
      <c r="U20" s="774"/>
      <c r="V20" s="773"/>
      <c r="W20" s="774"/>
      <c r="X20" s="1815"/>
      <c r="Y20" s="3154"/>
      <c r="Z20" s="1816"/>
      <c r="AA20" s="1813">
        <v>1</v>
      </c>
      <c r="AB20" s="1813">
        <v>1</v>
      </c>
      <c r="AC20" s="1813">
        <v>1</v>
      </c>
    </row>
    <row r="21" spans="1:29" ht="28.5">
      <c r="A21" s="427"/>
      <c r="B21" s="1385" t="s">
        <v>2101</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18"/>
      <c r="Q21" s="1812" t="str">
        <f>B21</f>
        <v>基础设施水平</v>
      </c>
      <c r="R21" s="773" t="s">
        <v>17</v>
      </c>
      <c r="S21" s="774">
        <f>F21</f>
        <v>100</v>
      </c>
      <c r="T21" s="773" t="s">
        <v>17</v>
      </c>
      <c r="U21" s="774">
        <f>H21</f>
        <v>100</v>
      </c>
      <c r="V21" s="773" t="s">
        <v>17</v>
      </c>
      <c r="W21" s="774">
        <f>J21</f>
        <v>100</v>
      </c>
      <c r="X21" s="1815"/>
      <c r="Y21" s="3154"/>
      <c r="Z21" s="1816" t="str">
        <f>Q21</f>
        <v>基础设施水平</v>
      </c>
      <c r="AA21" s="1813">
        <f t="shared" ref="AA21" si="8">D21/F21</f>
        <v>1</v>
      </c>
      <c r="AB21" s="1813">
        <f t="shared" ref="AB21" si="9">D21/H21</f>
        <v>1</v>
      </c>
      <c r="AC21" s="1813">
        <f t="shared" ref="AC21" si="10">D21/J21</f>
        <v>1</v>
      </c>
    </row>
    <row r="22" spans="1:29" ht="15">
      <c r="A22" s="427"/>
      <c r="B22" s="1385"/>
      <c r="C22" s="2610"/>
      <c r="D22" s="447"/>
      <c r="E22" s="446"/>
      <c r="F22" s="447"/>
      <c r="G22" s="2613"/>
      <c r="H22" s="447"/>
      <c r="I22" s="446"/>
      <c r="J22" s="447"/>
      <c r="K22" s="2614"/>
      <c r="L22" s="1141"/>
      <c r="M22" s="1132"/>
      <c r="N22" s="1132"/>
      <c r="O22" s="1132"/>
      <c r="P22" s="3218"/>
      <c r="Q22" s="1812"/>
      <c r="R22" s="773"/>
      <c r="S22" s="774"/>
      <c r="T22" s="773"/>
      <c r="U22" s="774"/>
      <c r="V22" s="773"/>
      <c r="W22" s="774"/>
      <c r="X22" s="1815"/>
      <c r="Y22" s="3154"/>
      <c r="Z22" s="1816"/>
      <c r="AA22" s="1813">
        <v>1</v>
      </c>
      <c r="AB22" s="1813">
        <v>1</v>
      </c>
      <c r="AC22" s="1813">
        <v>1</v>
      </c>
    </row>
    <row r="23" spans="1:29" ht="57">
      <c r="A23" s="427"/>
      <c r="B23" s="450" t="s">
        <v>2104</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18"/>
      <c r="Q23" s="1812" t="str">
        <f>B23</f>
        <v>自然及人文环境</v>
      </c>
      <c r="R23" s="773" t="s">
        <v>21</v>
      </c>
      <c r="S23" s="774">
        <f>F23</f>
        <v>100</v>
      </c>
      <c r="T23" s="773" t="s">
        <v>21</v>
      </c>
      <c r="U23" s="774">
        <f>H23</f>
        <v>100</v>
      </c>
      <c r="V23" s="773" t="s">
        <v>21</v>
      </c>
      <c r="W23" s="774">
        <f>J23</f>
        <v>100</v>
      </c>
      <c r="X23" s="1815"/>
      <c r="Y23" s="3154"/>
      <c r="Z23" s="1816" t="str">
        <f>Q23</f>
        <v>自然及人文环境</v>
      </c>
      <c r="AA23" s="1813">
        <f>D23/F23</f>
        <v>1</v>
      </c>
      <c r="AB23" s="1813">
        <f>D23/H23</f>
        <v>1</v>
      </c>
      <c r="AC23" s="1813">
        <f>D23/J23</f>
        <v>1</v>
      </c>
    </row>
    <row r="24" spans="1:29" ht="15">
      <c r="A24" s="427"/>
      <c r="B24" s="455"/>
      <c r="C24" s="446"/>
      <c r="D24" s="447"/>
      <c r="E24" s="2606"/>
      <c r="F24" s="447"/>
      <c r="G24" s="2607"/>
      <c r="H24" s="447"/>
      <c r="I24" s="2607"/>
      <c r="J24" s="447"/>
      <c r="K24" s="2608"/>
      <c r="L24" s="1141"/>
      <c r="M24" s="1132"/>
      <c r="N24" s="1132"/>
      <c r="O24" s="1132"/>
      <c r="P24" s="3218"/>
      <c r="Q24" s="1812"/>
      <c r="R24" s="773"/>
      <c r="S24" s="774"/>
      <c r="T24" s="773"/>
      <c r="U24" s="774"/>
      <c r="V24" s="773"/>
      <c r="W24" s="774"/>
      <c r="X24" s="1815"/>
      <c r="Y24" s="3154"/>
      <c r="Z24" s="1816"/>
      <c r="AA24" s="1813">
        <v>1</v>
      </c>
      <c r="AB24" s="1813">
        <v>1</v>
      </c>
      <c r="AC24" s="1813">
        <v>1</v>
      </c>
    </row>
    <row r="25" spans="1:29" ht="15">
      <c r="A25" s="427"/>
      <c r="B25" s="421" t="s">
        <v>2564</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21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54"/>
      <c r="Z25" s="1816" t="str">
        <f>Q25</f>
        <v>楼层-1</v>
      </c>
      <c r="AA25" s="1813">
        <f t="shared" ref="AA25:AA46" si="15">D25/F25</f>
        <v>1</v>
      </c>
      <c r="AB25" s="1813">
        <f t="shared" ref="AB25:AB46" si="16">D25/H25</f>
        <v>1</v>
      </c>
      <c r="AC25" s="1813">
        <f t="shared" ref="AC25:AC46" si="17">D25/J25</f>
        <v>1</v>
      </c>
    </row>
    <row r="26" spans="1:29" ht="15">
      <c r="A26" s="427"/>
      <c r="B26" s="421" t="s">
        <v>2565</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218"/>
      <c r="Q26" s="1812" t="str">
        <f t="shared" si="11"/>
        <v>朝向</v>
      </c>
      <c r="R26" s="773" t="s">
        <v>21</v>
      </c>
      <c r="S26" s="774">
        <f t="shared" si="12"/>
        <v>100</v>
      </c>
      <c r="T26" s="773" t="s">
        <v>21</v>
      </c>
      <c r="U26" s="774">
        <f t="shared" si="13"/>
        <v>100</v>
      </c>
      <c r="V26" s="773" t="s">
        <v>21</v>
      </c>
      <c r="W26" s="774">
        <f t="shared" si="14"/>
        <v>100</v>
      </c>
      <c r="X26" s="1815"/>
      <c r="Y26" s="3154"/>
      <c r="Z26" s="1816" t="str">
        <f>Q26</f>
        <v>朝向</v>
      </c>
      <c r="AA26" s="1813">
        <f t="shared" si="15"/>
        <v>1</v>
      </c>
      <c r="AB26" s="1813">
        <f t="shared" si="16"/>
        <v>1</v>
      </c>
      <c r="AC26" s="1813">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218"/>
      <c r="Q27" s="1797">
        <f t="shared" si="11"/>
        <v>111</v>
      </c>
      <c r="R27" s="769" t="s">
        <v>21</v>
      </c>
      <c r="S27" s="770">
        <f t="shared" si="12"/>
        <v>100</v>
      </c>
      <c r="T27" s="769" t="s">
        <v>21</v>
      </c>
      <c r="U27" s="770">
        <f t="shared" si="13"/>
        <v>100</v>
      </c>
      <c r="V27" s="769" t="s">
        <v>21</v>
      </c>
      <c r="W27" s="770">
        <f t="shared" si="14"/>
        <v>100</v>
      </c>
      <c r="X27" s="771"/>
      <c r="Y27" s="3154"/>
      <c r="Z27" s="55">
        <f>Q27</f>
        <v>111</v>
      </c>
      <c r="AA27" s="1813">
        <f t="shared" si="15"/>
        <v>1</v>
      </c>
      <c r="AB27" s="1813">
        <f t="shared" si="16"/>
        <v>1</v>
      </c>
      <c r="AC27" s="1813">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218"/>
      <c r="Q28" s="1812">
        <f t="shared" si="11"/>
        <v>111</v>
      </c>
      <c r="R28" s="773" t="s">
        <v>21</v>
      </c>
      <c r="S28" s="774">
        <f t="shared" si="12"/>
        <v>100</v>
      </c>
      <c r="T28" s="773" t="s">
        <v>21</v>
      </c>
      <c r="U28" s="774">
        <f t="shared" si="13"/>
        <v>100</v>
      </c>
      <c r="V28" s="773" t="s">
        <v>21</v>
      </c>
      <c r="W28" s="774">
        <f t="shared" si="14"/>
        <v>100</v>
      </c>
      <c r="X28" s="1815"/>
      <c r="Y28" s="3154"/>
      <c r="Z28" s="1816">
        <f t="shared" ref="Z28:Z46" si="18">Q28</f>
        <v>111</v>
      </c>
      <c r="AA28" s="1813">
        <f t="shared" si="15"/>
        <v>1</v>
      </c>
      <c r="AB28" s="1813">
        <f t="shared" si="16"/>
        <v>1</v>
      </c>
      <c r="AC28" s="1813">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218"/>
      <c r="Q29" s="1812">
        <f t="shared" si="11"/>
        <v>111</v>
      </c>
      <c r="R29" s="773" t="s">
        <v>21</v>
      </c>
      <c r="S29" s="774">
        <f t="shared" si="12"/>
        <v>100</v>
      </c>
      <c r="T29" s="773" t="s">
        <v>21</v>
      </c>
      <c r="U29" s="774">
        <f t="shared" si="13"/>
        <v>100</v>
      </c>
      <c r="V29" s="773" t="s">
        <v>21</v>
      </c>
      <c r="W29" s="774">
        <f t="shared" si="14"/>
        <v>100</v>
      </c>
      <c r="X29" s="1815"/>
      <c r="Y29" s="3154"/>
      <c r="Z29" s="1816">
        <f t="shared" si="18"/>
        <v>111</v>
      </c>
      <c r="AA29" s="1813">
        <f t="shared" si="15"/>
        <v>1</v>
      </c>
      <c r="AB29" s="1813">
        <f t="shared" si="16"/>
        <v>1</v>
      </c>
      <c r="AC29" s="1813">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218"/>
      <c r="Q30" s="1812">
        <f t="shared" si="11"/>
        <v>111</v>
      </c>
      <c r="R30" s="773" t="s">
        <v>21</v>
      </c>
      <c r="S30" s="774">
        <f t="shared" si="12"/>
        <v>100</v>
      </c>
      <c r="T30" s="773" t="s">
        <v>21</v>
      </c>
      <c r="U30" s="774">
        <f t="shared" si="13"/>
        <v>100</v>
      </c>
      <c r="V30" s="773" t="s">
        <v>21</v>
      </c>
      <c r="W30" s="774">
        <f t="shared" si="14"/>
        <v>100</v>
      </c>
      <c r="X30" s="1815"/>
      <c r="Y30" s="3154"/>
      <c r="Z30" s="1816">
        <f t="shared" si="18"/>
        <v>111</v>
      </c>
      <c r="AA30" s="1813">
        <f t="shared" si="15"/>
        <v>1</v>
      </c>
      <c r="AB30" s="1813">
        <f t="shared" si="16"/>
        <v>1</v>
      </c>
      <c r="AC30" s="1813">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218"/>
      <c r="Q31" s="1812">
        <f t="shared" si="11"/>
        <v>111</v>
      </c>
      <c r="R31" s="773" t="s">
        <v>21</v>
      </c>
      <c r="S31" s="774">
        <f t="shared" si="12"/>
        <v>100</v>
      </c>
      <c r="T31" s="773" t="s">
        <v>21</v>
      </c>
      <c r="U31" s="774">
        <f t="shared" si="13"/>
        <v>100</v>
      </c>
      <c r="V31" s="773" t="s">
        <v>21</v>
      </c>
      <c r="W31" s="774">
        <f t="shared" si="14"/>
        <v>100</v>
      </c>
      <c r="X31" s="1815"/>
      <c r="Y31" s="3154"/>
      <c r="Z31" s="1816">
        <f t="shared" si="18"/>
        <v>111</v>
      </c>
      <c r="AA31" s="1813">
        <f t="shared" si="15"/>
        <v>1</v>
      </c>
      <c r="AB31" s="1813">
        <f t="shared" si="16"/>
        <v>1</v>
      </c>
      <c r="AC31" s="1813">
        <f t="shared" si="17"/>
        <v>1</v>
      </c>
    </row>
    <row r="32" spans="1:29" ht="15">
      <c r="A32" s="439" t="s">
        <v>2566</v>
      </c>
      <c r="B32" s="71" t="s">
        <v>2567</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214" t="s">
        <v>2568</v>
      </c>
      <c r="Q32" s="1812" t="str">
        <f t="shared" si="11"/>
        <v>建筑类型</v>
      </c>
      <c r="R32" s="773" t="s">
        <v>21</v>
      </c>
      <c r="S32" s="774">
        <f t="shared" si="12"/>
        <v>100</v>
      </c>
      <c r="T32" s="773" t="s">
        <v>21</v>
      </c>
      <c r="U32" s="774">
        <f t="shared" si="13"/>
        <v>100</v>
      </c>
      <c r="V32" s="773" t="s">
        <v>21</v>
      </c>
      <c r="W32" s="774">
        <f t="shared" si="14"/>
        <v>100</v>
      </c>
      <c r="X32" s="1815"/>
      <c r="Y32" s="3156" t="s">
        <v>2568</v>
      </c>
      <c r="Z32" s="1816" t="str">
        <f t="shared" si="18"/>
        <v>建筑类型</v>
      </c>
      <c r="AA32" s="1813">
        <f t="shared" si="15"/>
        <v>1</v>
      </c>
      <c r="AB32" s="1813">
        <f t="shared" si="16"/>
        <v>1</v>
      </c>
      <c r="AC32" s="1813">
        <f t="shared" si="17"/>
        <v>1</v>
      </c>
    </row>
    <row r="33" spans="1:29" s="470" customFormat="1" ht="15">
      <c r="A33" s="467"/>
      <c r="B33" s="421" t="s">
        <v>2569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215"/>
      <c r="Q33" s="775" t="str">
        <f t="shared" si="11"/>
        <v>项目建筑规模</v>
      </c>
      <c r="R33" s="776" t="s">
        <v>21</v>
      </c>
      <c r="S33" s="777" t="e">
        <f t="shared" si="12"/>
        <v>#N/A</v>
      </c>
      <c r="T33" s="776" t="s">
        <v>21</v>
      </c>
      <c r="U33" s="777" t="e">
        <f t="shared" si="13"/>
        <v>#N/A</v>
      </c>
      <c r="V33" s="776" t="s">
        <v>21</v>
      </c>
      <c r="W33" s="777" t="e">
        <f t="shared" si="14"/>
        <v>#N/A</v>
      </c>
      <c r="X33" s="778"/>
      <c r="Y33" s="3156"/>
      <c r="Z33" s="779" t="str">
        <f t="shared" si="18"/>
        <v>项目建筑规模</v>
      </c>
      <c r="AA33" s="1813" t="e">
        <f t="shared" si="15"/>
        <v>#N/A</v>
      </c>
      <c r="AB33" s="1813" t="e">
        <f t="shared" si="16"/>
        <v>#N/A</v>
      </c>
      <c r="AC33" s="1813" t="e">
        <f t="shared" si="17"/>
        <v>#N/A</v>
      </c>
    </row>
    <row r="34" spans="1:29" ht="15">
      <c r="A34" s="471"/>
      <c r="B34" s="421" t="s">
        <v>2570</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215"/>
      <c r="Q34" s="1812" t="str">
        <f t="shared" si="11"/>
        <v>建筑结构</v>
      </c>
      <c r="R34" s="773" t="s">
        <v>21</v>
      </c>
      <c r="S34" s="774">
        <f t="shared" si="12"/>
        <v>100</v>
      </c>
      <c r="T34" s="773" t="s">
        <v>21</v>
      </c>
      <c r="U34" s="774">
        <f t="shared" si="13"/>
        <v>100</v>
      </c>
      <c r="V34" s="773" t="s">
        <v>21</v>
      </c>
      <c r="W34" s="774">
        <f t="shared" si="14"/>
        <v>100</v>
      </c>
      <c r="X34" s="1815"/>
      <c r="Y34" s="3156"/>
      <c r="Z34" s="1816" t="str">
        <f t="shared" si="18"/>
        <v>建筑结构</v>
      </c>
      <c r="AA34" s="1813">
        <f t="shared" si="15"/>
        <v>1</v>
      </c>
      <c r="AB34" s="1813">
        <f t="shared" si="16"/>
        <v>1</v>
      </c>
      <c r="AC34" s="1813">
        <f t="shared" si="17"/>
        <v>1</v>
      </c>
    </row>
    <row r="35" spans="1:29" ht="15">
      <c r="A35" s="471"/>
      <c r="B35" s="421" t="s">
        <v>2571</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215"/>
      <c r="Q35" s="1812" t="str">
        <f t="shared" si="11"/>
        <v>建筑品质</v>
      </c>
      <c r="R35" s="773" t="s">
        <v>21</v>
      </c>
      <c r="S35" s="774">
        <f t="shared" si="12"/>
        <v>100</v>
      </c>
      <c r="T35" s="773" t="s">
        <v>21</v>
      </c>
      <c r="U35" s="774">
        <f t="shared" si="13"/>
        <v>100</v>
      </c>
      <c r="V35" s="773" t="s">
        <v>21</v>
      </c>
      <c r="W35" s="774">
        <f t="shared" si="14"/>
        <v>100</v>
      </c>
      <c r="X35" s="1815"/>
      <c r="Y35" s="3156"/>
      <c r="Z35" s="1816" t="str">
        <f t="shared" si="18"/>
        <v>建筑品质</v>
      </c>
      <c r="AA35" s="1813">
        <f t="shared" si="15"/>
        <v>1</v>
      </c>
      <c r="AB35" s="1813">
        <f t="shared" si="16"/>
        <v>1</v>
      </c>
      <c r="AC35" s="1813">
        <f t="shared" si="17"/>
        <v>1</v>
      </c>
    </row>
    <row r="36" spans="1:29" ht="15">
      <c r="A36" s="471"/>
      <c r="B36" s="421" t="s">
        <v>2572</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215"/>
      <c r="Q36" s="1812" t="str">
        <f t="shared" si="11"/>
        <v>公共部分装修</v>
      </c>
      <c r="R36" s="773" t="s">
        <v>21</v>
      </c>
      <c r="S36" s="774">
        <f t="shared" si="12"/>
        <v>100</v>
      </c>
      <c r="T36" s="773" t="s">
        <v>21</v>
      </c>
      <c r="U36" s="774">
        <f t="shared" si="13"/>
        <v>100</v>
      </c>
      <c r="V36" s="773" t="s">
        <v>21</v>
      </c>
      <c r="W36" s="774">
        <f t="shared" si="14"/>
        <v>100</v>
      </c>
      <c r="X36" s="1815"/>
      <c r="Y36" s="3156"/>
      <c r="Z36" s="1816" t="str">
        <f t="shared" si="18"/>
        <v>公共部分装修</v>
      </c>
      <c r="AA36" s="1813">
        <f t="shared" si="15"/>
        <v>1</v>
      </c>
      <c r="AB36" s="1813">
        <f t="shared" si="16"/>
        <v>1</v>
      </c>
      <c r="AC36" s="1813">
        <f t="shared" si="17"/>
        <v>1</v>
      </c>
    </row>
    <row r="37" spans="1:29" s="117" customFormat="1" ht="15">
      <c r="A37" s="472"/>
      <c r="B37" s="421" t="s">
        <v>2573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15"/>
      <c r="Q37" s="1797" t="str">
        <f t="shared" si="11"/>
        <v>成新度</v>
      </c>
      <c r="R37" s="769" t="s">
        <v>21</v>
      </c>
      <c r="S37" s="770" t="e">
        <f t="shared" si="12"/>
        <v>#N/A</v>
      </c>
      <c r="T37" s="769" t="s">
        <v>21</v>
      </c>
      <c r="U37" s="770" t="e">
        <f t="shared" si="13"/>
        <v>#N/A</v>
      </c>
      <c r="V37" s="769" t="s">
        <v>21</v>
      </c>
      <c r="W37" s="770" t="e">
        <f t="shared" si="14"/>
        <v>#N/A</v>
      </c>
      <c r="X37" s="771"/>
      <c r="Y37" s="3156"/>
      <c r="Z37" s="55" t="str">
        <f t="shared" si="18"/>
        <v>成新度</v>
      </c>
      <c r="AA37" s="772" t="e">
        <f t="shared" si="15"/>
        <v>#N/A</v>
      </c>
      <c r="AB37" s="772" t="e">
        <f t="shared" si="16"/>
        <v>#N/A</v>
      </c>
      <c r="AC37" s="772" t="e">
        <f t="shared" si="17"/>
        <v>#N/A</v>
      </c>
    </row>
    <row r="38" spans="1:29" ht="15">
      <c r="A38" s="471"/>
      <c r="B38" s="421" t="s">
        <v>2574</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215" t="s">
        <v>2568</v>
      </c>
      <c r="Q38" s="1812" t="str">
        <f t="shared" si="11"/>
        <v>物业管理</v>
      </c>
      <c r="R38" s="773" t="s">
        <v>21</v>
      </c>
      <c r="S38" s="774">
        <f t="shared" si="12"/>
        <v>100</v>
      </c>
      <c r="T38" s="773" t="s">
        <v>21</v>
      </c>
      <c r="U38" s="774">
        <f t="shared" si="13"/>
        <v>100</v>
      </c>
      <c r="V38" s="773" t="s">
        <v>21</v>
      </c>
      <c r="W38" s="774">
        <f t="shared" si="14"/>
        <v>100</v>
      </c>
      <c r="X38" s="1815"/>
      <c r="Y38" s="3156" t="s">
        <v>2568</v>
      </c>
      <c r="Z38" s="1816" t="str">
        <f t="shared" si="18"/>
        <v>物业管理</v>
      </c>
      <c r="AA38" s="1813">
        <f t="shared" si="15"/>
        <v>1</v>
      </c>
      <c r="AB38" s="1813">
        <f t="shared" si="16"/>
        <v>1</v>
      </c>
      <c r="AC38" s="1813">
        <f t="shared" si="17"/>
        <v>1</v>
      </c>
    </row>
    <row r="39" spans="1:29" ht="15">
      <c r="A39" s="471"/>
      <c r="B39" s="421" t="s">
        <v>2575</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215"/>
      <c r="Q39" s="1812" t="str">
        <f t="shared" si="11"/>
        <v>市政基础设施</v>
      </c>
      <c r="R39" s="773" t="s">
        <v>21</v>
      </c>
      <c r="S39" s="774">
        <f t="shared" si="12"/>
        <v>100</v>
      </c>
      <c r="T39" s="773" t="s">
        <v>21</v>
      </c>
      <c r="U39" s="774">
        <f t="shared" si="13"/>
        <v>100</v>
      </c>
      <c r="V39" s="773" t="s">
        <v>21</v>
      </c>
      <c r="W39" s="774">
        <f t="shared" si="14"/>
        <v>100</v>
      </c>
      <c r="X39" s="1815"/>
      <c r="Y39" s="3156"/>
      <c r="Z39" s="1816" t="str">
        <f t="shared" si="18"/>
        <v>市政基础设施</v>
      </c>
      <c r="AA39" s="1813">
        <f t="shared" si="15"/>
        <v>1</v>
      </c>
      <c r="AB39" s="1813">
        <f t="shared" si="16"/>
        <v>1</v>
      </c>
      <c r="AC39" s="1813">
        <f t="shared" si="17"/>
        <v>1</v>
      </c>
    </row>
    <row r="40" spans="1:29" ht="15">
      <c r="A40" s="471"/>
      <c r="B40" s="421" t="s">
        <v>2576</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215"/>
      <c r="Q40" s="1812" t="str">
        <f t="shared" si="11"/>
        <v>房型</v>
      </c>
      <c r="R40" s="773" t="s">
        <v>21</v>
      </c>
      <c r="S40" s="774">
        <f t="shared" si="12"/>
        <v>100</v>
      </c>
      <c r="T40" s="773" t="s">
        <v>21</v>
      </c>
      <c r="U40" s="774">
        <f t="shared" si="13"/>
        <v>100</v>
      </c>
      <c r="V40" s="773" t="s">
        <v>21</v>
      </c>
      <c r="W40" s="774">
        <f t="shared" si="14"/>
        <v>100</v>
      </c>
      <c r="X40" s="1815"/>
      <c r="Y40" s="3156"/>
      <c r="Z40" s="1816" t="str">
        <f t="shared" si="18"/>
        <v>房型</v>
      </c>
      <c r="AA40" s="1813">
        <f t="shared" si="15"/>
        <v>1</v>
      </c>
      <c r="AB40" s="1813">
        <f t="shared" si="16"/>
        <v>1</v>
      </c>
      <c r="AC40" s="1813">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215"/>
      <c r="Q41" s="775" t="str">
        <f t="shared" si="11"/>
        <v>单套/主力户型建筑面积</v>
      </c>
      <c r="R41" s="776" t="s">
        <v>21</v>
      </c>
      <c r="S41" s="777">
        <f t="shared" si="12"/>
        <v>100</v>
      </c>
      <c r="T41" s="776" t="s">
        <v>21</v>
      </c>
      <c r="U41" s="777">
        <f t="shared" si="13"/>
        <v>100</v>
      </c>
      <c r="V41" s="776" t="s">
        <v>21</v>
      </c>
      <c r="W41" s="777">
        <f t="shared" si="14"/>
        <v>100</v>
      </c>
      <c r="X41" s="778"/>
      <c r="Y41" s="3156"/>
      <c r="Z41" s="779" t="str">
        <f t="shared" si="18"/>
        <v>单套/主力户型建筑面积</v>
      </c>
      <c r="AA41" s="1813">
        <f t="shared" si="15"/>
        <v>1</v>
      </c>
      <c r="AB41" s="1813">
        <f t="shared" si="16"/>
        <v>1</v>
      </c>
      <c r="AC41" s="1813">
        <f t="shared" si="17"/>
        <v>1</v>
      </c>
    </row>
    <row r="42" spans="1:29" ht="15">
      <c r="A42" s="471"/>
      <c r="B42" s="421" t="s">
        <v>2578</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215"/>
      <c r="Q42" s="1812" t="str">
        <f t="shared" si="11"/>
        <v>内部装修</v>
      </c>
      <c r="R42" s="773" t="s">
        <v>21</v>
      </c>
      <c r="S42" s="774">
        <f t="shared" si="12"/>
        <v>100</v>
      </c>
      <c r="T42" s="773" t="s">
        <v>21</v>
      </c>
      <c r="U42" s="774">
        <f t="shared" si="13"/>
        <v>100</v>
      </c>
      <c r="V42" s="773" t="s">
        <v>21</v>
      </c>
      <c r="W42" s="774">
        <f t="shared" si="14"/>
        <v>100</v>
      </c>
      <c r="X42" s="1815"/>
      <c r="Y42" s="3156"/>
      <c r="Z42" s="1816" t="str">
        <f t="shared" si="18"/>
        <v>内部装修</v>
      </c>
      <c r="AA42" s="1813">
        <f t="shared" si="15"/>
        <v>1</v>
      </c>
      <c r="AB42" s="1813">
        <f t="shared" si="16"/>
        <v>1</v>
      </c>
      <c r="AC42" s="1813">
        <f t="shared" si="17"/>
        <v>1</v>
      </c>
    </row>
    <row r="43" spans="1:29" ht="15">
      <c r="A43" s="471"/>
      <c r="B43" s="421" t="s">
        <v>2579</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215"/>
      <c r="Q43" s="1812" t="str">
        <f t="shared" si="11"/>
        <v>内部装修维护情况</v>
      </c>
      <c r="R43" s="773" t="s">
        <v>21</v>
      </c>
      <c r="S43" s="774">
        <f t="shared" si="12"/>
        <v>100</v>
      </c>
      <c r="T43" s="773" t="s">
        <v>21</v>
      </c>
      <c r="U43" s="774">
        <f t="shared" si="13"/>
        <v>100</v>
      </c>
      <c r="V43" s="773" t="s">
        <v>21</v>
      </c>
      <c r="W43" s="774">
        <f t="shared" si="14"/>
        <v>100</v>
      </c>
      <c r="X43" s="1815"/>
      <c r="Y43" s="3156"/>
      <c r="Z43" s="1816" t="str">
        <f t="shared" si="18"/>
        <v>内部装修维护情况</v>
      </c>
      <c r="AA43" s="1813">
        <f t="shared" si="15"/>
        <v>1</v>
      </c>
      <c r="AB43" s="1813">
        <f t="shared" si="16"/>
        <v>1</v>
      </c>
      <c r="AC43" s="1813">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215"/>
      <c r="Q44" s="1797">
        <f t="shared" si="11"/>
        <v>111</v>
      </c>
      <c r="R44" s="769" t="s">
        <v>21</v>
      </c>
      <c r="S44" s="770">
        <f t="shared" si="12"/>
        <v>100</v>
      </c>
      <c r="T44" s="769" t="s">
        <v>21</v>
      </c>
      <c r="U44" s="770">
        <f t="shared" si="13"/>
        <v>100</v>
      </c>
      <c r="V44" s="769" t="s">
        <v>21</v>
      </c>
      <c r="W44" s="770">
        <f t="shared" si="14"/>
        <v>100</v>
      </c>
      <c r="X44" s="771"/>
      <c r="Y44" s="3156"/>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215"/>
      <c r="Q45" s="1812">
        <f t="shared" si="11"/>
        <v>111</v>
      </c>
      <c r="R45" s="773" t="s">
        <v>21</v>
      </c>
      <c r="S45" s="774">
        <f t="shared" si="12"/>
        <v>100</v>
      </c>
      <c r="T45" s="773" t="s">
        <v>21</v>
      </c>
      <c r="U45" s="774">
        <f t="shared" si="13"/>
        <v>100</v>
      </c>
      <c r="V45" s="773" t="s">
        <v>21</v>
      </c>
      <c r="W45" s="774">
        <f t="shared" si="14"/>
        <v>100</v>
      </c>
      <c r="X45" s="1815"/>
      <c r="Y45" s="3156"/>
      <c r="Z45" s="1816">
        <f t="shared" si="18"/>
        <v>111</v>
      </c>
      <c r="AA45" s="1813">
        <f t="shared" si="15"/>
        <v>1</v>
      </c>
      <c r="AB45" s="1813">
        <f t="shared" si="16"/>
        <v>1</v>
      </c>
      <c r="AC45" s="1813">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216"/>
      <c r="Q46" s="1812">
        <f t="shared" si="11"/>
        <v>111</v>
      </c>
      <c r="R46" s="773" t="s">
        <v>20</v>
      </c>
      <c r="S46" s="774">
        <f t="shared" si="12"/>
        <v>100</v>
      </c>
      <c r="T46" s="773" t="s">
        <v>20</v>
      </c>
      <c r="U46" s="774">
        <f t="shared" si="13"/>
        <v>100</v>
      </c>
      <c r="V46" s="773" t="s">
        <v>20</v>
      </c>
      <c r="W46" s="774">
        <f t="shared" si="14"/>
        <v>100</v>
      </c>
      <c r="X46" s="1815"/>
      <c r="Y46" s="3157"/>
      <c r="Z46" s="1816">
        <f t="shared" si="18"/>
        <v>111</v>
      </c>
      <c r="AA46" s="1813">
        <f t="shared" si="15"/>
        <v>1</v>
      </c>
      <c r="AB46" s="1813">
        <f t="shared" si="16"/>
        <v>1</v>
      </c>
      <c r="AC46" s="1813">
        <f t="shared" si="17"/>
        <v>1</v>
      </c>
    </row>
    <row r="47" spans="1:29" ht="15">
      <c r="A47" s="478" t="s">
        <v>2580</v>
      </c>
      <c r="B47" s="479"/>
      <c r="C47" s="1408" t="s">
        <v>19</v>
      </c>
      <c r="D47" s="1409"/>
      <c r="E47" s="1410"/>
      <c r="F47" s="1411"/>
      <c r="G47" s="1412"/>
      <c r="H47" s="1413"/>
      <c r="I47" s="1410"/>
      <c r="J47" s="1413"/>
      <c r="K47" s="2623"/>
      <c r="L47" s="1144"/>
      <c r="M47" s="1145"/>
      <c r="N47" s="1132"/>
      <c r="O47" s="1145"/>
      <c r="P47" s="3148" t="str">
        <f>A47</f>
        <v>成交单价（元/平方米）</v>
      </c>
      <c r="Q47" s="3148"/>
      <c r="R47" s="3149">
        <f>E47</f>
        <v>0</v>
      </c>
      <c r="S47" s="3149"/>
      <c r="T47" s="3149">
        <f>G47</f>
        <v>0</v>
      </c>
      <c r="U47" s="3149"/>
      <c r="V47" s="3149">
        <f>I47</f>
        <v>0</v>
      </c>
      <c r="W47" s="3149"/>
      <c r="X47" s="758"/>
      <c r="Y47" s="780"/>
      <c r="Z47" s="758"/>
      <c r="AA47" s="758"/>
      <c r="AB47" s="758"/>
      <c r="AC47" s="758"/>
    </row>
    <row r="48" spans="1:29" ht="15.75" thickBot="1">
      <c r="A48" s="485" t="s">
        <v>2581</v>
      </c>
      <c r="B48" s="486"/>
      <c r="C48" s="1414" t="e">
        <f>R49</f>
        <v>#DIV/0!</v>
      </c>
      <c r="D48" s="1415"/>
      <c r="E48" s="1416" t="e">
        <f>R48</f>
        <v>#DIV/0!</v>
      </c>
      <c r="F48" s="1416"/>
      <c r="G48" s="1414" t="e">
        <f>T48</f>
        <v>#DIV/0!</v>
      </c>
      <c r="H48" s="1415"/>
      <c r="I48" s="1416" t="e">
        <f>V48</f>
        <v>#DIV/0!</v>
      </c>
      <c r="J48" s="1415"/>
      <c r="K48" s="2624"/>
      <c r="L48" s="1144"/>
      <c r="M48" s="1145"/>
      <c r="N48" s="1145"/>
      <c r="O48" s="1145"/>
      <c r="P48" s="3148" t="str">
        <f>A48</f>
        <v>比较价值（元/平方米）</v>
      </c>
      <c r="Q48" s="3148"/>
      <c r="R48" s="3149" t="e">
        <f>IF(F1="售价",ROUND(PRODUCT(R47,AA7:AA46),0),ROUND(PRODUCT(R47,AA7:AA46),1))</f>
        <v>#DIV/0!</v>
      </c>
      <c r="S48" s="3149"/>
      <c r="T48" s="3149" t="e">
        <f>IF(F1="售价",ROUND(PRODUCT(T47,AB7:AB46),0),ROUND(PRODUCT(T47,AB7:AB46),1))</f>
        <v>#DIV/0!</v>
      </c>
      <c r="U48" s="3149"/>
      <c r="V48" s="3149" t="e">
        <f>IF(F1="售价",ROUND(PRODUCT(V47,AC7:AC46),0),ROUND(PRODUCT(V47,AC7:AC46),1))</f>
        <v>#DIV/0!</v>
      </c>
      <c r="W48" s="3149"/>
      <c r="X48" s="758"/>
      <c r="Y48" s="758"/>
      <c r="Z48" s="758"/>
      <c r="AA48" s="758"/>
      <c r="AB48" s="758"/>
      <c r="AC48" s="758"/>
    </row>
    <row r="49" spans="1:29" ht="15.75" thickBot="1">
      <c r="A49" s="491" t="s">
        <v>2582</v>
      </c>
      <c r="B49" s="492"/>
      <c r="C49" s="1417" t="e">
        <f>R49</f>
        <v>#DIV/0!</v>
      </c>
      <c r="D49" s="1418"/>
      <c r="E49" s="1418"/>
      <c r="F49" s="1418"/>
      <c r="G49" s="1418"/>
      <c r="H49" s="1418"/>
      <c r="I49" s="1418"/>
      <c r="J49" s="1418"/>
      <c r="K49" s="2625"/>
      <c r="L49" s="1144"/>
      <c r="M49" s="1145"/>
      <c r="N49" s="1145"/>
      <c r="O49" s="1145"/>
      <c r="P49" s="3150" t="str">
        <f>A49</f>
        <v>估价对象XX用房的比较价值（楼面单价，元/平方米）</v>
      </c>
      <c r="Q49" s="3151"/>
      <c r="R49" s="3152" t="e">
        <f>IF(F1="售价",ROUND(AVERAGE(R48:V48),0),ROUND(AVERAGE(R48:V48),1))</f>
        <v>#DIV/0!</v>
      </c>
      <c r="S49" s="3152"/>
      <c r="T49" s="3152"/>
      <c r="U49" s="3152"/>
      <c r="V49" s="3152"/>
      <c r="W49" s="315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2586</v>
      </c>
      <c r="B57" s="758"/>
      <c r="C57" s="763"/>
      <c r="D57" s="763"/>
      <c r="E57" s="763"/>
      <c r="F57" s="764"/>
      <c r="G57" s="764"/>
      <c r="H57" s="763"/>
      <c r="I57" s="763"/>
      <c r="J57" s="763"/>
      <c r="K57" s="1161"/>
      <c r="L57" s="1162"/>
      <c r="M57" s="1160"/>
      <c r="N57" s="1160"/>
      <c r="O57" s="1160"/>
      <c r="P57" s="2628"/>
      <c r="Q57" s="503"/>
    </row>
    <row r="58" spans="1:29" s="507" customFormat="1" ht="15">
      <c r="A58" s="504" t="s">
        <v>2587</v>
      </c>
      <c r="B58" s="505"/>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8"/>
      <c r="B59" s="2629"/>
      <c r="C59" s="1575">
        <v>100</v>
      </c>
      <c r="D59" s="510"/>
      <c r="E59" s="511"/>
      <c r="F59" s="511"/>
      <c r="G59" s="511"/>
      <c r="H59" s="511"/>
      <c r="I59" s="511"/>
      <c r="J59" s="511"/>
      <c r="K59" s="511"/>
      <c r="L59" s="511"/>
      <c r="M59" s="512"/>
      <c r="N59" s="511"/>
      <c r="O59" s="512"/>
      <c r="P59" s="2630"/>
    </row>
    <row r="60" spans="1:29" s="117" customFormat="1" ht="15.75" thickBot="1">
      <c r="A60" s="514" t="s">
        <v>2588</v>
      </c>
      <c r="B60" s="515"/>
      <c r="C60" s="516"/>
      <c r="D60" s="517"/>
      <c r="E60" s="517"/>
      <c r="F60" s="517"/>
      <c r="G60" s="517"/>
      <c r="H60" s="517"/>
      <c r="I60" s="517"/>
      <c r="J60" s="517"/>
      <c r="K60" s="517"/>
      <c r="L60" s="517"/>
      <c r="M60" s="518"/>
      <c r="N60" s="517"/>
      <c r="O60" s="518"/>
      <c r="P60" s="2630"/>
      <c r="Q60" s="503"/>
    </row>
    <row r="61" spans="1:29" s="117" customFormat="1" ht="15">
      <c r="A61" s="520" t="s">
        <v>2589</v>
      </c>
      <c r="B61" s="509"/>
      <c r="C61" s="521" t="s">
        <v>2590</v>
      </c>
      <c r="D61" s="522"/>
      <c r="E61" s="522"/>
      <c r="F61" s="522"/>
      <c r="G61" s="522"/>
      <c r="H61" s="522"/>
      <c r="I61" s="522"/>
      <c r="J61" s="522"/>
      <c r="K61" s="522"/>
      <c r="L61" s="523"/>
      <c r="M61" s="524"/>
      <c r="N61" s="1152"/>
      <c r="O61" s="1152"/>
      <c r="P61" s="2631"/>
      <c r="Q61" s="503"/>
    </row>
    <row r="62" spans="1:29" s="117"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2591</v>
      </c>
      <c r="B63" s="527" t="s">
        <v>2557</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2561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2101</v>
      </c>
      <c r="C82" s="538" t="s">
        <v>2607</v>
      </c>
      <c r="D82" s="538" t="s">
        <v>2608</v>
      </c>
      <c r="E82" s="538" t="s">
        <v>2609</v>
      </c>
      <c r="F82" s="538" t="s">
        <v>2610</v>
      </c>
      <c r="G82" s="538" t="s">
        <v>2611</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7" customFormat="1" ht="15.75" thickTop="1">
      <c r="A86" s="578"/>
      <c r="B86" s="537" t="s">
        <v>2613</v>
      </c>
      <c r="C86" s="553"/>
      <c r="D86" s="553"/>
      <c r="E86" s="553"/>
      <c r="F86" s="553"/>
      <c r="G86" s="553"/>
      <c r="H86" s="553"/>
      <c r="I86" s="553"/>
      <c r="J86" s="553"/>
      <c r="K86" s="553"/>
      <c r="L86" s="579"/>
      <c r="M86" s="580"/>
      <c r="N86" s="1152"/>
      <c r="O86" s="1152"/>
      <c r="P86" s="263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7" customFormat="1" ht="15.75" thickTop="1">
      <c r="A88" s="578"/>
      <c r="B88" s="537" t="s">
        <v>2614</v>
      </c>
      <c r="C88" s="553"/>
      <c r="D88" s="553"/>
      <c r="E88" s="553"/>
      <c r="F88" s="2637"/>
      <c r="G88" s="553"/>
      <c r="H88" s="553"/>
      <c r="I88" s="553"/>
      <c r="J88" s="553"/>
      <c r="K88" s="553"/>
      <c r="L88" s="553"/>
      <c r="M88" s="580"/>
      <c r="N88" s="1152"/>
      <c r="O88" s="1152"/>
      <c r="P88" s="263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2566</v>
      </c>
      <c r="B100" s="527" t="s">
        <v>2615</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2617</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2618</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2619</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2620</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2621</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2622</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2577</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2623</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2625</v>
      </c>
    </row>
    <row r="137" spans="1:17" ht="15">
      <c r="B137" s="2640" t="s">
        <v>2626</v>
      </c>
      <c r="C137" s="2641"/>
      <c r="D137" s="2641"/>
      <c r="E137" s="2641"/>
      <c r="F137" s="2641"/>
      <c r="G137" s="2642"/>
      <c r="H137" s="2643"/>
      <c r="I137" s="2644" t="s">
        <v>2627</v>
      </c>
      <c r="J137" s="2641"/>
      <c r="K137" s="2645"/>
    </row>
    <row r="138" spans="1:17" ht="15">
      <c r="B138" s="2646"/>
      <c r="C138" s="145" t="s">
        <v>2628</v>
      </c>
      <c r="D138" s="145" t="s">
        <v>2629</v>
      </c>
      <c r="E138" s="2647" t="s">
        <v>2630</v>
      </c>
      <c r="F138" s="2648" t="s">
        <v>2631</v>
      </c>
      <c r="G138" s="145" t="s">
        <v>2629</v>
      </c>
      <c r="H138" s="146" t="s">
        <v>2630</v>
      </c>
      <c r="I138" s="2649"/>
      <c r="J138" s="145" t="s">
        <v>2632</v>
      </c>
      <c r="K138" s="146" t="s">
        <v>2633</v>
      </c>
    </row>
    <row r="139" spans="1:17" ht="15">
      <c r="B139" s="1085">
        <v>6</v>
      </c>
      <c r="C139" s="1086">
        <v>96</v>
      </c>
      <c r="D139" s="2650" t="s">
        <v>2634</v>
      </c>
      <c r="E139" s="1087">
        <v>100</v>
      </c>
      <c r="F139" s="1088">
        <v>102.5</v>
      </c>
      <c r="G139" s="2650" t="s">
        <v>2634</v>
      </c>
      <c r="H139" s="1089">
        <v>105</v>
      </c>
      <c r="I139" s="2651" t="s">
        <v>2635</v>
      </c>
      <c r="J139" s="1086">
        <v>20</v>
      </c>
      <c r="K139" s="1090">
        <f>C145/(J139-2)</f>
        <v>4.0555555555555553E-3</v>
      </c>
    </row>
    <row r="140" spans="1:17" ht="15">
      <c r="B140" s="1091">
        <v>5</v>
      </c>
      <c r="C140" s="1092">
        <v>100</v>
      </c>
      <c r="D140" s="1092"/>
      <c r="E140" s="1093"/>
      <c r="F140" s="1094">
        <v>102</v>
      </c>
      <c r="G140" s="1092"/>
      <c r="H140" s="1095"/>
      <c r="I140" s="2652" t="s">
        <v>2636</v>
      </c>
      <c r="J140" s="314">
        <f>ROUNDUP((J139-1)/2,0)</f>
        <v>10</v>
      </c>
      <c r="K140" s="1096">
        <v>100</v>
      </c>
    </row>
    <row r="141" spans="1:17" ht="15">
      <c r="B141" s="1091">
        <v>4</v>
      </c>
      <c r="C141" s="1092">
        <v>102</v>
      </c>
      <c r="D141" s="1092"/>
      <c r="E141" s="1093"/>
      <c r="F141" s="1094">
        <v>101.5</v>
      </c>
      <c r="G141" s="1092"/>
      <c r="H141" s="1095"/>
      <c r="I141" s="2652" t="s">
        <v>2637</v>
      </c>
      <c r="J141" s="314">
        <v>1</v>
      </c>
      <c r="K141" s="1097">
        <f>ROUND(100+(J141-J140)*K139*100,1)</f>
        <v>96.4</v>
      </c>
    </row>
    <row r="142" spans="1:17" ht="15">
      <c r="B142" s="1091">
        <v>3</v>
      </c>
      <c r="C142" s="1092">
        <v>103</v>
      </c>
      <c r="D142" s="1092"/>
      <c r="E142" s="1093"/>
      <c r="F142" s="1094">
        <v>101</v>
      </c>
      <c r="G142" s="1092"/>
      <c r="H142" s="1095"/>
      <c r="I142" s="2652" t="s">
        <v>2638</v>
      </c>
      <c r="J142" s="314">
        <f>J139</f>
        <v>20</v>
      </c>
      <c r="K142" s="1098">
        <v>95</v>
      </c>
    </row>
    <row r="143" spans="1:17" ht="15">
      <c r="B143" s="1091">
        <v>2</v>
      </c>
      <c r="C143" s="1092">
        <v>100</v>
      </c>
      <c r="D143" s="1092"/>
      <c r="E143" s="1093"/>
      <c r="F143" s="1094">
        <v>100.5</v>
      </c>
      <c r="G143" s="1092"/>
      <c r="H143" s="1095"/>
      <c r="I143" s="2652" t="s">
        <v>2639</v>
      </c>
      <c r="J143" s="1092">
        <v>15</v>
      </c>
      <c r="K143" s="1097">
        <f>ROUND(100+(J143-J140)*K139*100,1)</f>
        <v>102</v>
      </c>
    </row>
    <row r="144" spans="1:17" ht="15">
      <c r="B144" s="1091">
        <v>1</v>
      </c>
      <c r="C144" s="1092">
        <v>98</v>
      </c>
      <c r="D144" s="2653" t="s">
        <v>2640</v>
      </c>
      <c r="E144" s="1093">
        <v>102</v>
      </c>
      <c r="F144" s="1099">
        <v>100</v>
      </c>
      <c r="G144" s="2653" t="s">
        <v>2640</v>
      </c>
      <c r="H144" s="1095">
        <v>105</v>
      </c>
      <c r="I144" s="2652" t="s">
        <v>2639</v>
      </c>
      <c r="J144" s="1092">
        <v>18</v>
      </c>
      <c r="K144" s="1097">
        <f>ROUND(100+(J144-J140)*K139*100,1)</f>
        <v>103.2</v>
      </c>
    </row>
    <row r="145" spans="2:11" ht="15.75" thickBot="1">
      <c r="B145" s="2654" t="s">
        <v>2641</v>
      </c>
      <c r="C145" s="1100">
        <f>ROUND(MAX(C139:C144)/MIN(C139:C144)-1,3)</f>
        <v>7.2999999999999995E-2</v>
      </c>
      <c r="D145" s="1101"/>
      <c r="E145" s="1101"/>
      <c r="F145" s="2655" t="s">
        <v>2642</v>
      </c>
      <c r="G145" s="2656"/>
      <c r="H145" s="2657"/>
      <c r="I145" s="2658" t="s">
        <v>2639</v>
      </c>
      <c r="J145" s="1102">
        <v>8</v>
      </c>
      <c r="K145" s="1103">
        <f>ROUND(100+(J145-J140)*K139*100,1)</f>
        <v>99.2</v>
      </c>
    </row>
    <row r="147" spans="2:11">
      <c r="B147" s="2639" t="s">
        <v>2643</v>
      </c>
    </row>
    <row r="148" spans="2:11">
      <c r="B148" s="2639"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北京宏强富瑞技术有限公司：</v>
      </c>
    </row>
    <row r="4" spans="1:1" ht="36">
      <c r="A4" s="1950" t="str">
        <f>"受贵公司委托，我公司对"&amp;项目基本情况!S1&amp;"进行了预评估。"</f>
        <v>受贵公司委托，我公司对北京市通州区环科中路16号38幢1至4层101工业用房进行了预评估。</v>
      </c>
    </row>
    <row r="5" spans="1:1" ht="18.75">
      <c r="A5" s="1951" t="s">
        <v>1614</v>
      </c>
    </row>
    <row r="6" spans="1:1" ht="18.75">
      <c r="A6" s="1952" t="s">
        <v>1615</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估价对象为北京市通州区环科中路16号38幢1至4层101工业用房房地产，为北京宏强富瑞技术有限公司所有。根据，估价对象（分摊）出让国有建设用地使用权面积为0平方米，建筑面积为4799.08平方米。</v>
      </c>
    </row>
    <row r="8" spans="1:1" ht="57.75">
      <c r="A8" s="1953" t="s">
        <v>1616</v>
      </c>
    </row>
    <row r="9" spans="1:1" ht="18.75">
      <c r="A9" s="1952" t="s">
        <v>1617</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16号38幢1至4层101工业用房房地产,属北京宏强富瑞技术有限公司开发建设的工业项目，该项目尚在开发建设中。根据，估价对象（分摊）出让国有建设用地使用权面积为0平方米，规划建筑面积为4799.08平方米。</v>
      </c>
    </row>
    <row r="11" spans="1:1" ht="76.5">
      <c r="A11" s="1953" t="s">
        <v>1618</v>
      </c>
    </row>
    <row r="12" spans="1:1" ht="18.75">
      <c r="A12" s="1951" t="s">
        <v>1619</v>
      </c>
    </row>
    <row r="13" spans="1:1" ht="38.25" customHeight="1">
      <c r="A13" s="1954" t="str">
        <f>IF(项目基本情况!B8="抵押",IF(项目基本情况!B5=项目基本情况!B6,定义!C51,定义!B51),定义!D51)</f>
        <v>为估价委托人在向中国银行总行北京分行开发区支行办理贷款手续过程中，确定房地产抵押贷款额度提供参考依据而评估房地产抵押价值。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2017年11月22日（评估专业人员实地查勘之日）</v>
      </c>
    </row>
    <row r="16" spans="1:1" ht="18.75">
      <c r="A16" s="1955" t="s">
        <v>1621</v>
      </c>
    </row>
    <row r="17" spans="1:1" ht="75">
      <c r="A17" s="1950" t="s">
        <v>1622</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22日，估价对象规划用途为工业，土地取得方式为出让，出让国有建设用地使用权剩余土地使用年限为工业39.62，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上水、通下水、通路、通电、通讯、、）、红线内场地平整条件下，剩余土地使用年限为工业39.62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1611</v>
      </c>
    </row>
    <row r="24" spans="1:1" ht="18">
      <c r="A24" s="1957" t="str">
        <f>"本次评估采用的主估价方法为"&amp;结果表!K4&amp;"和"&amp;结果表!L4&amp;"。"</f>
        <v>本次评估采用的主估价方法为比较法和收益法。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584" t="s">
        <v>2645</v>
      </c>
      <c r="C1" s="1636" t="s">
        <v>2533</v>
      </c>
      <c r="D1" s="1623"/>
      <c r="E1" s="2659"/>
      <c r="F1" s="2586"/>
      <c r="G1" s="1633" t="s">
        <v>2646</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7" customFormat="1" ht="28.5" customHeight="1" thickTop="1">
      <c r="A2" s="1619" t="s">
        <v>2330</v>
      </c>
      <c r="B2" s="1419" t="e">
        <f ca="1">IF(C2="——",ROUND(C49*D3/10000,0),ROUND(C49*D3/10000,0)-D2)</f>
        <v>#DIV/0!</v>
      </c>
      <c r="C2" s="2588"/>
      <c r="D2" s="1366" t="e">
        <f ca="1">SUMIF(INDIRECT("'"&amp;F2&amp;"'"&amp;"!A:A"),"承租人权益价值",INDIRECT("'"&amp;F2&amp;"'"&amp;"!c:c"))</f>
        <v>#REF!</v>
      </c>
      <c r="E2" s="2589" t="s">
        <v>2331</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2332</v>
      </c>
      <c r="B3" s="608" t="e">
        <f ca="1">IF(C2="——",C49,ROUND(B2*10000/D3,0))</f>
        <v>#DIV/0!</v>
      </c>
      <c r="C3" s="399" t="s">
        <v>2647</v>
      </c>
      <c r="D3" s="398">
        <f>IF(D1="",'数据-汇总表'!E3,SUMIF('数据-汇总表'!$C19:$C33,D1,'数据-汇总表'!$E19:$E33))</f>
        <v>4799.08</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2648</v>
      </c>
      <c r="B4" s="401"/>
      <c r="C4" s="3161" t="s">
        <v>2649</v>
      </c>
      <c r="D4" s="3162"/>
      <c r="E4" s="3163" t="s">
        <v>2650</v>
      </c>
      <c r="F4" s="3164"/>
      <c r="G4" s="3161" t="s">
        <v>2651</v>
      </c>
      <c r="H4" s="3162"/>
      <c r="I4" s="3161" t="s">
        <v>2652</v>
      </c>
      <c r="J4" s="3162"/>
      <c r="K4" s="609" t="s">
        <v>2653</v>
      </c>
      <c r="L4" s="1131"/>
      <c r="M4" s="1132"/>
      <c r="N4" s="1132"/>
      <c r="O4" s="1132"/>
      <c r="P4" s="3165" t="s">
        <v>2654</v>
      </c>
      <c r="Q4" s="3166"/>
      <c r="R4" s="3171" t="s">
        <v>2650</v>
      </c>
      <c r="S4" s="3172"/>
      <c r="T4" s="3171" t="s">
        <v>2651</v>
      </c>
      <c r="U4" s="3172"/>
      <c r="V4" s="3177" t="s">
        <v>2652</v>
      </c>
      <c r="W4" s="3177"/>
      <c r="X4" s="1815"/>
      <c r="Y4" s="3171" t="s">
        <v>2654</v>
      </c>
      <c r="Z4" s="3172"/>
      <c r="AA4" s="3158" t="s">
        <v>2650</v>
      </c>
      <c r="AB4" s="3177" t="s">
        <v>2651</v>
      </c>
      <c r="AC4" s="3158" t="s">
        <v>2652</v>
      </c>
    </row>
    <row r="5" spans="1:29" ht="15">
      <c r="A5" s="403"/>
      <c r="B5" s="404"/>
      <c r="C5" s="3220" t="s">
        <v>2545</v>
      </c>
      <c r="D5" s="3221"/>
      <c r="E5" s="3222" t="s">
        <v>2546</v>
      </c>
      <c r="F5" s="3181"/>
      <c r="G5" s="3220" t="s">
        <v>2547</v>
      </c>
      <c r="H5" s="3221"/>
      <c r="I5" s="3220" t="s">
        <v>2548</v>
      </c>
      <c r="J5" s="3221"/>
      <c r="K5" s="609"/>
      <c r="L5" s="1131"/>
      <c r="M5" s="1132"/>
      <c r="N5" s="1132"/>
      <c r="O5" s="1132"/>
      <c r="P5" s="3167"/>
      <c r="Q5" s="3168"/>
      <c r="R5" s="3173"/>
      <c r="S5" s="3174"/>
      <c r="T5" s="3173"/>
      <c r="U5" s="3174"/>
      <c r="V5" s="3177"/>
      <c r="W5" s="3177"/>
      <c r="X5" s="1815"/>
      <c r="Y5" s="3173"/>
      <c r="Z5" s="3174"/>
      <c r="AA5" s="3159"/>
      <c r="AB5" s="3177"/>
      <c r="AC5" s="3159"/>
    </row>
    <row r="6" spans="1:29" ht="15.75" thickBot="1">
      <c r="A6" s="405"/>
      <c r="B6" s="406"/>
      <c r="C6" s="3178" t="s">
        <v>2549</v>
      </c>
      <c r="D6" s="3179"/>
      <c r="E6" s="3185" t="s">
        <v>2549</v>
      </c>
      <c r="F6" s="3186"/>
      <c r="G6" s="3178" t="s">
        <v>2549</v>
      </c>
      <c r="H6" s="3179"/>
      <c r="I6" s="3178" t="s">
        <v>2549</v>
      </c>
      <c r="J6" s="3179"/>
      <c r="K6" s="609" t="s">
        <v>2550</v>
      </c>
      <c r="L6" s="1131"/>
      <c r="M6" s="1132"/>
      <c r="N6" s="1132"/>
      <c r="O6" s="1132"/>
      <c r="P6" s="3169"/>
      <c r="Q6" s="3170"/>
      <c r="R6" s="3173"/>
      <c r="S6" s="3174"/>
      <c r="T6" s="3175"/>
      <c r="U6" s="3176"/>
      <c r="V6" s="3177"/>
      <c r="W6" s="3177"/>
      <c r="X6" s="1815"/>
      <c r="Y6" s="3175"/>
      <c r="Z6" s="3176"/>
      <c r="AA6" s="3160"/>
      <c r="AB6" s="3177"/>
      <c r="AC6" s="3160"/>
    </row>
    <row r="7" spans="1:29" s="117" customFormat="1" ht="15.75" thickBot="1">
      <c r="A7" s="407" t="s">
        <v>2551</v>
      </c>
      <c r="B7" s="408"/>
      <c r="C7" s="409">
        <f>'数据-取费表'!B2</f>
        <v>43061</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82" t="s">
        <v>2552</v>
      </c>
      <c r="Q7" s="3184"/>
      <c r="R7" s="769" t="s">
        <v>17</v>
      </c>
      <c r="S7" s="770">
        <f t="shared" ref="S7:S15" si="0">F7</f>
        <v>0</v>
      </c>
      <c r="T7" s="769" t="s">
        <v>17</v>
      </c>
      <c r="U7" s="770">
        <f t="shared" ref="U7:U15" si="1">H7</f>
        <v>0</v>
      </c>
      <c r="V7" s="769" t="s">
        <v>17</v>
      </c>
      <c r="W7" s="770">
        <f t="shared" ref="W7:W15" si="2">J7</f>
        <v>0</v>
      </c>
      <c r="X7" s="771"/>
      <c r="Y7" s="3182" t="s">
        <v>2552</v>
      </c>
      <c r="Z7" s="3183"/>
      <c r="AA7" s="772" t="e">
        <f>D7/F7</f>
        <v>#DIV/0!</v>
      </c>
      <c r="AB7" s="772" t="e">
        <f>D7/H7</f>
        <v>#DIV/0!</v>
      </c>
      <c r="AC7" s="772" t="e">
        <f>D7/J7</f>
        <v>#DIV/0!</v>
      </c>
    </row>
    <row r="8" spans="1:29" s="117"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82" t="s">
        <v>2555</v>
      </c>
      <c r="Q8" s="3183"/>
      <c r="R8" s="769" t="s">
        <v>17</v>
      </c>
      <c r="S8" s="770">
        <f t="shared" si="0"/>
        <v>0</v>
      </c>
      <c r="T8" s="769" t="s">
        <v>17</v>
      </c>
      <c r="U8" s="770">
        <f t="shared" si="1"/>
        <v>0</v>
      </c>
      <c r="V8" s="769" t="s">
        <v>17</v>
      </c>
      <c r="W8" s="770">
        <f t="shared" si="2"/>
        <v>0</v>
      </c>
      <c r="X8" s="771"/>
      <c r="Y8" s="3182" t="s">
        <v>2555</v>
      </c>
      <c r="Z8" s="3183"/>
      <c r="AA8" s="772" t="e">
        <f t="shared" ref="AA8:AA46" si="3">D8/F8</f>
        <v>#DIV/0!</v>
      </c>
      <c r="AB8" s="772" t="e">
        <f t="shared" ref="AB8:AB46" si="4">D8/H8</f>
        <v>#DIV/0!</v>
      </c>
      <c r="AC8" s="772" t="e">
        <f t="shared" ref="AC8:AC46" si="5">D8/J8</f>
        <v>#DIV/0!</v>
      </c>
    </row>
    <row r="9" spans="1:29" s="117" customFormat="1">
      <c r="A9" s="414" t="s">
        <v>2556</v>
      </c>
      <c r="B9" s="71" t="s">
        <v>2557</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19" t="s">
        <v>2558</v>
      </c>
      <c r="Q9" s="1797" t="str">
        <f t="shared" ref="Q9:Q15" si="6">B9</f>
        <v>用途</v>
      </c>
      <c r="R9" s="769" t="s">
        <v>17</v>
      </c>
      <c r="S9" s="770">
        <f t="shared" si="0"/>
        <v>100</v>
      </c>
      <c r="T9" s="769" t="s">
        <v>17</v>
      </c>
      <c r="U9" s="770">
        <f t="shared" si="1"/>
        <v>100</v>
      </c>
      <c r="V9" s="769" t="s">
        <v>17</v>
      </c>
      <c r="W9" s="770">
        <f t="shared" si="2"/>
        <v>100</v>
      </c>
      <c r="X9" s="771"/>
      <c r="Y9" s="2983" t="s">
        <v>2559</v>
      </c>
      <c r="Z9" s="55" t="str">
        <f t="shared" ref="Z9:Z15" si="7">Q9</f>
        <v>用途</v>
      </c>
      <c r="AA9" s="772">
        <f t="shared" si="3"/>
        <v>1</v>
      </c>
      <c r="AB9" s="772">
        <f t="shared" si="4"/>
        <v>1</v>
      </c>
      <c r="AC9" s="772">
        <f t="shared" si="5"/>
        <v>1</v>
      </c>
    </row>
    <row r="10" spans="1:29" s="426" customFormat="1" ht="27">
      <c r="A10" s="420"/>
      <c r="B10" s="421" t="s">
        <v>2560</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19"/>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772">
        <f t="shared" si="5"/>
        <v>1</v>
      </c>
    </row>
    <row r="11" spans="1:29" ht="15">
      <c r="A11" s="427"/>
      <c r="B11" s="421" t="s">
        <v>2561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19"/>
      <c r="Q11" s="1797" t="str">
        <f t="shared" si="6"/>
        <v>容积率</v>
      </c>
      <c r="R11" s="769" t="s">
        <v>17</v>
      </c>
      <c r="S11" s="770" t="e">
        <f t="shared" si="0"/>
        <v>#N/A</v>
      </c>
      <c r="T11" s="769" t="s">
        <v>17</v>
      </c>
      <c r="U11" s="770" t="e">
        <f t="shared" si="1"/>
        <v>#N/A</v>
      </c>
      <c r="V11" s="769" t="s">
        <v>17</v>
      </c>
      <c r="W11" s="770" t="e">
        <f t="shared" si="2"/>
        <v>#N/A</v>
      </c>
      <c r="X11" s="771"/>
      <c r="Y11" s="2983"/>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19"/>
      <c r="Q12" s="1797">
        <f t="shared" si="6"/>
        <v>111</v>
      </c>
      <c r="R12" s="769" t="s">
        <v>17</v>
      </c>
      <c r="S12" s="770">
        <f t="shared" si="0"/>
        <v>100</v>
      </c>
      <c r="T12" s="769" t="s">
        <v>17</v>
      </c>
      <c r="U12" s="770">
        <f t="shared" si="1"/>
        <v>100</v>
      </c>
      <c r="V12" s="769" t="s">
        <v>17</v>
      </c>
      <c r="W12" s="770">
        <f t="shared" si="2"/>
        <v>100</v>
      </c>
      <c r="X12" s="771"/>
      <c r="Y12" s="2983"/>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19"/>
      <c r="Q13" s="1797">
        <f t="shared" si="6"/>
        <v>111</v>
      </c>
      <c r="R13" s="769" t="s">
        <v>17</v>
      </c>
      <c r="S13" s="770">
        <f t="shared" si="0"/>
        <v>100</v>
      </c>
      <c r="T13" s="769" t="s">
        <v>17</v>
      </c>
      <c r="U13" s="770">
        <f t="shared" si="1"/>
        <v>100</v>
      </c>
      <c r="V13" s="769" t="s">
        <v>17</v>
      </c>
      <c r="W13" s="770">
        <f t="shared" si="2"/>
        <v>100</v>
      </c>
      <c r="X13" s="771"/>
      <c r="Y13" s="2983"/>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19"/>
      <c r="Q14" s="1797">
        <f t="shared" si="6"/>
        <v>111</v>
      </c>
      <c r="R14" s="769" t="s">
        <v>17</v>
      </c>
      <c r="S14" s="770">
        <f t="shared" si="0"/>
        <v>100</v>
      </c>
      <c r="T14" s="769" t="s">
        <v>17</v>
      </c>
      <c r="U14" s="770">
        <f t="shared" si="1"/>
        <v>100</v>
      </c>
      <c r="V14" s="769" t="s">
        <v>17</v>
      </c>
      <c r="W14" s="770">
        <f t="shared" si="2"/>
        <v>100</v>
      </c>
      <c r="X14" s="771"/>
      <c r="Y14" s="2983"/>
      <c r="Z14" s="55">
        <f t="shared" si="7"/>
        <v>111</v>
      </c>
      <c r="AA14" s="772">
        <f t="shared" si="3"/>
        <v>1</v>
      </c>
      <c r="AB14" s="772">
        <f t="shared" si="4"/>
        <v>1</v>
      </c>
      <c r="AC14" s="772">
        <f t="shared" si="5"/>
        <v>1</v>
      </c>
    </row>
    <row r="15" spans="1:29" ht="71.25">
      <c r="A15" s="439" t="s">
        <v>2562</v>
      </c>
      <c r="B15" s="69" t="s">
        <v>2656</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17" t="s">
        <v>2563</v>
      </c>
      <c r="Q15" s="1812" t="str">
        <f t="shared" si="6"/>
        <v>商业繁华度</v>
      </c>
      <c r="R15" s="773" t="s">
        <v>17</v>
      </c>
      <c r="S15" s="774">
        <f t="shared" si="0"/>
        <v>100</v>
      </c>
      <c r="T15" s="773" t="s">
        <v>17</v>
      </c>
      <c r="U15" s="774">
        <f t="shared" si="1"/>
        <v>100</v>
      </c>
      <c r="V15" s="773" t="s">
        <v>17</v>
      </c>
      <c r="W15" s="774">
        <f t="shared" si="2"/>
        <v>100</v>
      </c>
      <c r="X15" s="1815"/>
      <c r="Y15" s="3153" t="s">
        <v>2563</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32"/>
      <c r="P16" s="3218"/>
      <c r="Q16" s="1812"/>
      <c r="R16" s="773"/>
      <c r="S16" s="774"/>
      <c r="T16" s="773"/>
      <c r="U16" s="774"/>
      <c r="V16" s="773"/>
      <c r="W16" s="774"/>
      <c r="X16" s="1815"/>
      <c r="Y16" s="3154"/>
      <c r="Z16" s="1816"/>
      <c r="AA16" s="1813">
        <v>1</v>
      </c>
      <c r="AB16" s="1813">
        <v>1</v>
      </c>
      <c r="AC16" s="1813">
        <v>1</v>
      </c>
    </row>
    <row r="17" spans="1:29" ht="85.5">
      <c r="A17" s="427"/>
      <c r="B17" s="450" t="s">
        <v>2100</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18"/>
      <c r="Q17" s="1812" t="str">
        <f>B17</f>
        <v>交通便捷度</v>
      </c>
      <c r="R17" s="773" t="s">
        <v>17</v>
      </c>
      <c r="S17" s="774">
        <f>F17</f>
        <v>100</v>
      </c>
      <c r="T17" s="773" t="s">
        <v>17</v>
      </c>
      <c r="U17" s="774">
        <f>H17</f>
        <v>100</v>
      </c>
      <c r="V17" s="773" t="s">
        <v>17</v>
      </c>
      <c r="W17" s="774">
        <f>J17</f>
        <v>100</v>
      </c>
      <c r="X17" s="1815"/>
      <c r="Y17" s="3154"/>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1"/>
      <c r="M18" s="1132"/>
      <c r="N18" s="1132"/>
      <c r="O18" s="1132"/>
      <c r="P18" s="3218"/>
      <c r="Q18" s="1812"/>
      <c r="R18" s="773"/>
      <c r="S18" s="774"/>
      <c r="T18" s="773"/>
      <c r="U18" s="774"/>
      <c r="V18" s="773"/>
      <c r="W18" s="774"/>
      <c r="X18" s="1815"/>
      <c r="Y18" s="3154"/>
      <c r="Z18" s="1816"/>
      <c r="AA18" s="1813">
        <v>1</v>
      </c>
      <c r="AB18" s="1813">
        <v>1</v>
      </c>
      <c r="AC18" s="1813">
        <v>1</v>
      </c>
    </row>
    <row r="19" spans="1:29" ht="42.75">
      <c r="A19" s="427"/>
      <c r="B19" s="450" t="s">
        <v>2657</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18"/>
      <c r="Q19" s="1812" t="str">
        <f>B19</f>
        <v>公共配套设施</v>
      </c>
      <c r="R19" s="773" t="s">
        <v>17</v>
      </c>
      <c r="S19" s="774">
        <f>F19</f>
        <v>100</v>
      </c>
      <c r="T19" s="773" t="s">
        <v>17</v>
      </c>
      <c r="U19" s="774">
        <f>H19</f>
        <v>100</v>
      </c>
      <c r="V19" s="773" t="s">
        <v>17</v>
      </c>
      <c r="W19" s="774">
        <f>J19</f>
        <v>100</v>
      </c>
      <c r="X19" s="1815"/>
      <c r="Y19" s="3154"/>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1"/>
      <c r="M20" s="1132"/>
      <c r="N20" s="1132"/>
      <c r="O20" s="1132"/>
      <c r="P20" s="3218"/>
      <c r="Q20" s="1812"/>
      <c r="R20" s="773"/>
      <c r="S20" s="774"/>
      <c r="T20" s="773"/>
      <c r="U20" s="774"/>
      <c r="V20" s="773"/>
      <c r="W20" s="774"/>
      <c r="X20" s="1815"/>
      <c r="Y20" s="3154"/>
      <c r="Z20" s="1816"/>
      <c r="AA20" s="1813">
        <v>1</v>
      </c>
      <c r="AB20" s="1813">
        <v>1</v>
      </c>
      <c r="AC20" s="1813">
        <v>1</v>
      </c>
    </row>
    <row r="21" spans="1:29" ht="28.5">
      <c r="A21" s="427"/>
      <c r="B21" s="1385" t="s">
        <v>2658</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18"/>
      <c r="Q21" s="1812" t="str">
        <f>B21</f>
        <v>基础设施水平</v>
      </c>
      <c r="R21" s="773" t="s">
        <v>17</v>
      </c>
      <c r="S21" s="774">
        <f>F21</f>
        <v>100</v>
      </c>
      <c r="T21" s="773" t="s">
        <v>17</v>
      </c>
      <c r="U21" s="774">
        <f>H21</f>
        <v>100</v>
      </c>
      <c r="V21" s="773" t="s">
        <v>17</v>
      </c>
      <c r="W21" s="774">
        <f>J21</f>
        <v>100</v>
      </c>
      <c r="X21" s="1815"/>
      <c r="Y21" s="3154"/>
      <c r="Z21" s="1816" t="str">
        <f>Q21</f>
        <v>基础设施水平</v>
      </c>
      <c r="AA21" s="1813">
        <f t="shared" ref="AA21" si="8">D21/F21</f>
        <v>1</v>
      </c>
      <c r="AB21" s="1813">
        <f t="shared" ref="AB21" si="9">D21/H21</f>
        <v>1</v>
      </c>
      <c r="AC21" s="1813">
        <f t="shared" ref="AC21" si="10">D21/J21</f>
        <v>1</v>
      </c>
    </row>
    <row r="22" spans="1:29" ht="15">
      <c r="A22" s="427"/>
      <c r="B22" s="1385"/>
      <c r="C22" s="2610"/>
      <c r="D22" s="447"/>
      <c r="E22" s="446"/>
      <c r="F22" s="448"/>
      <c r="G22" s="446"/>
      <c r="H22" s="447"/>
      <c r="I22" s="446"/>
      <c r="J22" s="447"/>
      <c r="K22" s="1384"/>
      <c r="L22" s="1141"/>
      <c r="M22" s="1132"/>
      <c r="N22" s="1132"/>
      <c r="O22" s="1132"/>
      <c r="P22" s="3218"/>
      <c r="Q22" s="1812"/>
      <c r="R22" s="773"/>
      <c r="S22" s="774"/>
      <c r="T22" s="773"/>
      <c r="U22" s="774"/>
      <c r="V22" s="773"/>
      <c r="W22" s="774"/>
      <c r="X22" s="1815"/>
      <c r="Y22" s="3154"/>
      <c r="Z22" s="1816"/>
      <c r="AA22" s="1813">
        <v>1</v>
      </c>
      <c r="AB22" s="1813">
        <v>1</v>
      </c>
      <c r="AC22" s="1813">
        <v>1</v>
      </c>
    </row>
    <row r="23" spans="1:29" ht="57">
      <c r="A23" s="427"/>
      <c r="B23" s="450" t="s">
        <v>2104</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18"/>
      <c r="Q23" s="1812" t="str">
        <f>B23</f>
        <v>自然及人文环境</v>
      </c>
      <c r="R23" s="773" t="s">
        <v>17</v>
      </c>
      <c r="S23" s="774">
        <f>F23</f>
        <v>100</v>
      </c>
      <c r="T23" s="773" t="s">
        <v>17</v>
      </c>
      <c r="U23" s="774">
        <f>H23</f>
        <v>100</v>
      </c>
      <c r="V23" s="773" t="s">
        <v>17</v>
      </c>
      <c r="W23" s="774">
        <f>J23</f>
        <v>100</v>
      </c>
      <c r="X23" s="1815"/>
      <c r="Y23" s="3154"/>
      <c r="Z23" s="1816" t="str">
        <f>Q23</f>
        <v>自然及人文环境</v>
      </c>
      <c r="AA23" s="1813">
        <f t="shared" si="3"/>
        <v>1</v>
      </c>
      <c r="AB23" s="1813">
        <f t="shared" si="4"/>
        <v>1</v>
      </c>
      <c r="AC23" s="1813">
        <f t="shared" si="5"/>
        <v>1</v>
      </c>
    </row>
    <row r="24" spans="1:29" ht="15">
      <c r="A24" s="427"/>
      <c r="B24" s="455"/>
      <c r="C24" s="446"/>
      <c r="D24" s="447"/>
      <c r="E24" s="2607"/>
      <c r="F24" s="448"/>
      <c r="G24" s="2606"/>
      <c r="H24" s="447"/>
      <c r="I24" s="2607"/>
      <c r="J24" s="447"/>
      <c r="K24" s="614"/>
      <c r="L24" s="1141"/>
      <c r="M24" s="1132"/>
      <c r="N24" s="1132"/>
      <c r="O24" s="1132"/>
      <c r="P24" s="3218"/>
      <c r="Q24" s="1812"/>
      <c r="R24" s="773"/>
      <c r="S24" s="774"/>
      <c r="T24" s="773"/>
      <c r="U24" s="774"/>
      <c r="V24" s="773"/>
      <c r="W24" s="774"/>
      <c r="X24" s="1815"/>
      <c r="Y24" s="3154"/>
      <c r="Z24" s="1816"/>
      <c r="AA24" s="1813">
        <v>1</v>
      </c>
      <c r="AB24" s="1813">
        <v>1</v>
      </c>
      <c r="AC24" s="1813">
        <v>1</v>
      </c>
    </row>
    <row r="25" spans="1:29" ht="15">
      <c r="A25" s="427"/>
      <c r="B25" s="421" t="s">
        <v>2659</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18"/>
      <c r="Q25" s="1812" t="str">
        <f t="shared" ref="Q25:Q46" si="11">B25</f>
        <v>临街状况</v>
      </c>
      <c r="R25" s="773" t="s">
        <v>17</v>
      </c>
      <c r="S25" s="774">
        <f>F25</f>
        <v>100</v>
      </c>
      <c r="T25" s="773" t="s">
        <v>17</v>
      </c>
      <c r="U25" s="774">
        <f>H25</f>
        <v>100</v>
      </c>
      <c r="V25" s="773" t="s">
        <v>17</v>
      </c>
      <c r="W25" s="774">
        <f>J25</f>
        <v>100</v>
      </c>
      <c r="X25" s="1815"/>
      <c r="Y25" s="3154"/>
      <c r="Z25" s="1816" t="str">
        <f>Q25</f>
        <v>临街状况</v>
      </c>
      <c r="AA25" s="1813">
        <f t="shared" si="3"/>
        <v>1</v>
      </c>
      <c r="AB25" s="1813">
        <f t="shared" si="4"/>
        <v>1</v>
      </c>
      <c r="AC25" s="1813">
        <f t="shared" si="5"/>
        <v>1</v>
      </c>
    </row>
    <row r="26" spans="1:29" ht="15">
      <c r="A26" s="427"/>
      <c r="B26" s="1387" t="s">
        <v>2660</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18"/>
      <c r="Q26" s="1812" t="str">
        <f t="shared" si="11"/>
        <v>平面位置/可视性</v>
      </c>
      <c r="R26" s="773" t="s">
        <v>17</v>
      </c>
      <c r="S26" s="774">
        <f>F26</f>
        <v>100</v>
      </c>
      <c r="T26" s="773" t="s">
        <v>17</v>
      </c>
      <c r="U26" s="774">
        <f>H26</f>
        <v>100</v>
      </c>
      <c r="V26" s="773" t="s">
        <v>17</v>
      </c>
      <c r="W26" s="774">
        <f>J26</f>
        <v>100</v>
      </c>
      <c r="X26" s="1815"/>
      <c r="Y26" s="3154"/>
      <c r="Z26" s="1816" t="str">
        <f>Q26</f>
        <v>平面位置/可视性</v>
      </c>
      <c r="AA26" s="1813">
        <f t="shared" si="3"/>
        <v>1</v>
      </c>
      <c r="AB26" s="1813">
        <f t="shared" si="4"/>
        <v>1</v>
      </c>
      <c r="AC26" s="1813">
        <f t="shared" si="5"/>
        <v>1</v>
      </c>
    </row>
    <row r="27" spans="1:29" s="117" customFormat="1" ht="15">
      <c r="A27" s="430"/>
      <c r="B27" s="450" t="s">
        <v>2661</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218"/>
      <c r="Q27" s="1797" t="str">
        <f t="shared" si="11"/>
        <v>人流量</v>
      </c>
      <c r="R27" s="769" t="s">
        <v>17</v>
      </c>
      <c r="S27" s="770">
        <f>F27</f>
        <v>100</v>
      </c>
      <c r="T27" s="769" t="s">
        <v>17</v>
      </c>
      <c r="U27" s="770">
        <f>H27</f>
        <v>100</v>
      </c>
      <c r="V27" s="769" t="s">
        <v>17</v>
      </c>
      <c r="W27" s="770">
        <f>J27</f>
        <v>100</v>
      </c>
      <c r="X27" s="771"/>
      <c r="Y27" s="3154"/>
      <c r="Z27" s="55" t="str">
        <f>Q27</f>
        <v>人流量</v>
      </c>
      <c r="AA27" s="1813">
        <f>D27/F27</f>
        <v>1</v>
      </c>
      <c r="AB27" s="1813">
        <f>D27/H27</f>
        <v>1</v>
      </c>
      <c r="AC27" s="1813">
        <f>D27/J27</f>
        <v>1</v>
      </c>
    </row>
    <row r="28" spans="1:29" ht="15">
      <c r="A28" s="427"/>
      <c r="B28" s="421" t="s">
        <v>2662</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1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54"/>
      <c r="Z28" s="1816" t="str">
        <f t="shared" ref="Z28:Z46" si="15">Q28</f>
        <v>楼层</v>
      </c>
      <c r="AA28" s="1813">
        <f t="shared" si="3"/>
        <v>1</v>
      </c>
      <c r="AB28" s="1813">
        <f t="shared" si="4"/>
        <v>1</v>
      </c>
      <c r="AC28" s="1813">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18"/>
      <c r="Q29" s="1812">
        <f t="shared" si="11"/>
        <v>111</v>
      </c>
      <c r="R29" s="773" t="s">
        <v>17</v>
      </c>
      <c r="S29" s="774">
        <f t="shared" si="12"/>
        <v>100</v>
      </c>
      <c r="T29" s="773" t="s">
        <v>17</v>
      </c>
      <c r="U29" s="774">
        <f t="shared" si="13"/>
        <v>100</v>
      </c>
      <c r="V29" s="773" t="s">
        <v>17</v>
      </c>
      <c r="W29" s="774">
        <f t="shared" si="14"/>
        <v>100</v>
      </c>
      <c r="X29" s="1815"/>
      <c r="Y29" s="3154"/>
      <c r="Z29" s="1816">
        <f t="shared" si="15"/>
        <v>111</v>
      </c>
      <c r="AA29" s="1813">
        <f t="shared" si="3"/>
        <v>1</v>
      </c>
      <c r="AB29" s="1813">
        <f t="shared" si="4"/>
        <v>1</v>
      </c>
      <c r="AC29" s="1813">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18"/>
      <c r="Q30" s="1812">
        <f t="shared" si="11"/>
        <v>111</v>
      </c>
      <c r="R30" s="773" t="s">
        <v>17</v>
      </c>
      <c r="S30" s="774">
        <f t="shared" si="12"/>
        <v>100</v>
      </c>
      <c r="T30" s="773" t="s">
        <v>17</v>
      </c>
      <c r="U30" s="774">
        <f t="shared" si="13"/>
        <v>100</v>
      </c>
      <c r="V30" s="773" t="s">
        <v>17</v>
      </c>
      <c r="W30" s="774">
        <f t="shared" si="14"/>
        <v>100</v>
      </c>
      <c r="X30" s="1815"/>
      <c r="Y30" s="3154"/>
      <c r="Z30" s="1816">
        <f t="shared" si="15"/>
        <v>111</v>
      </c>
      <c r="AA30" s="1813">
        <f t="shared" si="3"/>
        <v>1</v>
      </c>
      <c r="AB30" s="1813">
        <f t="shared" si="4"/>
        <v>1</v>
      </c>
      <c r="AC30" s="1813">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18"/>
      <c r="Q31" s="1812">
        <f t="shared" si="11"/>
        <v>111</v>
      </c>
      <c r="R31" s="773" t="s">
        <v>17</v>
      </c>
      <c r="S31" s="774">
        <f t="shared" si="12"/>
        <v>100</v>
      </c>
      <c r="T31" s="773" t="s">
        <v>17</v>
      </c>
      <c r="U31" s="774">
        <f t="shared" si="13"/>
        <v>100</v>
      </c>
      <c r="V31" s="773" t="s">
        <v>17</v>
      </c>
      <c r="W31" s="774">
        <f t="shared" si="14"/>
        <v>100</v>
      </c>
      <c r="X31" s="1815"/>
      <c r="Y31" s="3154"/>
      <c r="Z31" s="1816">
        <f t="shared" si="15"/>
        <v>111</v>
      </c>
      <c r="AA31" s="1813">
        <f t="shared" si="3"/>
        <v>1</v>
      </c>
      <c r="AB31" s="1813">
        <f t="shared" si="4"/>
        <v>1</v>
      </c>
      <c r="AC31" s="1813">
        <f t="shared" si="5"/>
        <v>1</v>
      </c>
    </row>
    <row r="32" spans="1:29" ht="15">
      <c r="A32" s="439" t="s">
        <v>2566</v>
      </c>
      <c r="B32" s="71" t="s">
        <v>2663</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214" t="s">
        <v>2568</v>
      </c>
      <c r="Q32" s="1812" t="str">
        <f t="shared" si="11"/>
        <v>商业类型</v>
      </c>
      <c r="R32" s="773" t="s">
        <v>17</v>
      </c>
      <c r="S32" s="774">
        <f t="shared" si="12"/>
        <v>100</v>
      </c>
      <c r="T32" s="773" t="s">
        <v>17</v>
      </c>
      <c r="U32" s="774">
        <f t="shared" si="13"/>
        <v>100</v>
      </c>
      <c r="V32" s="773" t="s">
        <v>17</v>
      </c>
      <c r="W32" s="774">
        <f t="shared" si="14"/>
        <v>100</v>
      </c>
      <c r="X32" s="1815"/>
      <c r="Y32" s="3156" t="s">
        <v>2568</v>
      </c>
      <c r="Z32" s="1816" t="str">
        <f t="shared" si="15"/>
        <v>商业类型</v>
      </c>
      <c r="AA32" s="1813">
        <f t="shared" si="3"/>
        <v>1</v>
      </c>
      <c r="AB32" s="1813">
        <f t="shared" si="4"/>
        <v>1</v>
      </c>
      <c r="AC32" s="1813">
        <f t="shared" si="5"/>
        <v>1</v>
      </c>
    </row>
    <row r="33" spans="1:29" s="470" customFormat="1" ht="15">
      <c r="A33" s="467"/>
      <c r="B33" s="421" t="s">
        <v>2569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15"/>
      <c r="Q33" s="775" t="str">
        <f t="shared" si="11"/>
        <v>项目建筑规模</v>
      </c>
      <c r="R33" s="776" t="s">
        <v>17</v>
      </c>
      <c r="S33" s="777" t="e">
        <f t="shared" si="12"/>
        <v>#N/A</v>
      </c>
      <c r="T33" s="776" t="s">
        <v>17</v>
      </c>
      <c r="U33" s="777" t="e">
        <f t="shared" si="13"/>
        <v>#N/A</v>
      </c>
      <c r="V33" s="776" t="s">
        <v>17</v>
      </c>
      <c r="W33" s="777" t="e">
        <f t="shared" si="14"/>
        <v>#N/A</v>
      </c>
      <c r="X33" s="778"/>
      <c r="Y33" s="3156"/>
      <c r="Z33" s="779" t="str">
        <f t="shared" si="15"/>
        <v>项目建筑规模</v>
      </c>
      <c r="AA33" s="1813" t="e">
        <f t="shared" si="3"/>
        <v>#N/A</v>
      </c>
      <c r="AB33" s="1813" t="e">
        <f t="shared" si="4"/>
        <v>#N/A</v>
      </c>
      <c r="AC33" s="1813" t="e">
        <f t="shared" si="5"/>
        <v>#N/A</v>
      </c>
    </row>
    <row r="34" spans="1:29" ht="15">
      <c r="A34" s="471"/>
      <c r="B34" s="421" t="s">
        <v>2570</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215"/>
      <c r="Q34" s="1812" t="str">
        <f t="shared" si="11"/>
        <v>建筑结构</v>
      </c>
      <c r="R34" s="773" t="s">
        <v>17</v>
      </c>
      <c r="S34" s="774">
        <f t="shared" si="12"/>
        <v>100</v>
      </c>
      <c r="T34" s="773" t="s">
        <v>17</v>
      </c>
      <c r="U34" s="774">
        <f t="shared" si="13"/>
        <v>100</v>
      </c>
      <c r="V34" s="773" t="s">
        <v>17</v>
      </c>
      <c r="W34" s="774">
        <f t="shared" si="14"/>
        <v>100</v>
      </c>
      <c r="X34" s="1815"/>
      <c r="Y34" s="3156"/>
      <c r="Z34" s="1816" t="str">
        <f t="shared" si="15"/>
        <v>建筑结构</v>
      </c>
      <c r="AA34" s="1813">
        <f t="shared" si="3"/>
        <v>1</v>
      </c>
      <c r="AB34" s="1813">
        <f t="shared" si="4"/>
        <v>1</v>
      </c>
      <c r="AC34" s="1813">
        <f t="shared" si="5"/>
        <v>1</v>
      </c>
    </row>
    <row r="35" spans="1:29" ht="15">
      <c r="A35" s="471"/>
      <c r="B35" s="421" t="s">
        <v>2664</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215"/>
      <c r="Q35" s="1812" t="str">
        <f t="shared" si="11"/>
        <v>公共部分装修</v>
      </c>
      <c r="R35" s="773" t="s">
        <v>17</v>
      </c>
      <c r="S35" s="774">
        <f t="shared" si="12"/>
        <v>100</v>
      </c>
      <c r="T35" s="773" t="s">
        <v>17</v>
      </c>
      <c r="U35" s="774">
        <f t="shared" si="13"/>
        <v>100</v>
      </c>
      <c r="V35" s="773" t="s">
        <v>17</v>
      </c>
      <c r="W35" s="774">
        <f t="shared" si="14"/>
        <v>100</v>
      </c>
      <c r="X35" s="1815"/>
      <c r="Y35" s="3156"/>
      <c r="Z35" s="1816" t="str">
        <f t="shared" si="15"/>
        <v>公共部分装修</v>
      </c>
      <c r="AA35" s="1813">
        <f t="shared" si="3"/>
        <v>1</v>
      </c>
      <c r="AB35" s="1813">
        <f t="shared" si="4"/>
        <v>1</v>
      </c>
      <c r="AC35" s="1813">
        <f t="shared" si="5"/>
        <v>1</v>
      </c>
    </row>
    <row r="36" spans="1:29" ht="15">
      <c r="A36" s="471"/>
      <c r="B36" s="421"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15"/>
      <c r="Q36" s="1812" t="str">
        <f t="shared" si="11"/>
        <v>成新度</v>
      </c>
      <c r="R36" s="773" t="s">
        <v>17</v>
      </c>
      <c r="S36" s="774" t="e">
        <f t="shared" si="12"/>
        <v>#N/A</v>
      </c>
      <c r="T36" s="773" t="s">
        <v>17</v>
      </c>
      <c r="U36" s="774" t="e">
        <f t="shared" si="13"/>
        <v>#N/A</v>
      </c>
      <c r="V36" s="773" t="s">
        <v>17</v>
      </c>
      <c r="W36" s="774" t="e">
        <f t="shared" si="14"/>
        <v>#N/A</v>
      </c>
      <c r="X36" s="1815"/>
      <c r="Y36" s="3156"/>
      <c r="Z36" s="1816" t="str">
        <f t="shared" si="15"/>
        <v>成新度</v>
      </c>
      <c r="AA36" s="1813" t="e">
        <f t="shared" si="3"/>
        <v>#N/A</v>
      </c>
      <c r="AB36" s="1813" t="e">
        <f t="shared" si="4"/>
        <v>#N/A</v>
      </c>
      <c r="AC36" s="1813" t="e">
        <f t="shared" si="5"/>
        <v>#N/A</v>
      </c>
    </row>
    <row r="37" spans="1:29" s="117" customFormat="1" ht="15">
      <c r="A37" s="472"/>
      <c r="B37" s="421" t="s">
        <v>2666</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215"/>
      <c r="Q37" s="1797" t="str">
        <f t="shared" si="11"/>
        <v>市政基础设施</v>
      </c>
      <c r="R37" s="769" t="s">
        <v>17</v>
      </c>
      <c r="S37" s="770">
        <f t="shared" si="12"/>
        <v>100</v>
      </c>
      <c r="T37" s="769" t="s">
        <v>17</v>
      </c>
      <c r="U37" s="770">
        <f t="shared" si="13"/>
        <v>100</v>
      </c>
      <c r="V37" s="769" t="s">
        <v>17</v>
      </c>
      <c r="W37" s="770">
        <f t="shared" si="14"/>
        <v>100</v>
      </c>
      <c r="X37" s="771"/>
      <c r="Y37" s="3156"/>
      <c r="Z37" s="55" t="str">
        <f t="shared" si="15"/>
        <v>市政基础设施</v>
      </c>
      <c r="AA37" s="772">
        <f t="shared" si="3"/>
        <v>1</v>
      </c>
      <c r="AB37" s="772">
        <f t="shared" si="4"/>
        <v>1</v>
      </c>
      <c r="AC37" s="772">
        <f t="shared" si="5"/>
        <v>1</v>
      </c>
    </row>
    <row r="38" spans="1:29" ht="15">
      <c r="A38" s="471"/>
      <c r="B38" s="421" t="s">
        <v>2667</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215" t="s">
        <v>2568</v>
      </c>
      <c r="Q38" s="1812" t="str">
        <f t="shared" si="11"/>
        <v>业态</v>
      </c>
      <c r="R38" s="773" t="s">
        <v>17</v>
      </c>
      <c r="S38" s="774">
        <f t="shared" si="12"/>
        <v>100</v>
      </c>
      <c r="T38" s="773" t="s">
        <v>17</v>
      </c>
      <c r="U38" s="774">
        <f t="shared" si="13"/>
        <v>100</v>
      </c>
      <c r="V38" s="773" t="s">
        <v>17</v>
      </c>
      <c r="W38" s="774">
        <f t="shared" si="14"/>
        <v>100</v>
      </c>
      <c r="X38" s="1815"/>
      <c r="Y38" s="3156" t="s">
        <v>2568</v>
      </c>
      <c r="Z38" s="1816" t="str">
        <f t="shared" si="15"/>
        <v>业态</v>
      </c>
      <c r="AA38" s="1813">
        <f t="shared" si="3"/>
        <v>1</v>
      </c>
      <c r="AB38" s="1813">
        <f t="shared" si="4"/>
        <v>1</v>
      </c>
      <c r="AC38" s="1813">
        <f t="shared" si="5"/>
        <v>1</v>
      </c>
    </row>
    <row r="39" spans="1:29" ht="15">
      <c r="A39" s="471"/>
      <c r="B39" s="421" t="s">
        <v>2668</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215"/>
      <c r="Q39" s="1812" t="str">
        <f t="shared" si="11"/>
        <v>层高</v>
      </c>
      <c r="R39" s="773" t="s">
        <v>17</v>
      </c>
      <c r="S39" s="774">
        <f t="shared" si="12"/>
        <v>100</v>
      </c>
      <c r="T39" s="773" t="s">
        <v>17</v>
      </c>
      <c r="U39" s="774">
        <f t="shared" si="13"/>
        <v>100</v>
      </c>
      <c r="V39" s="773" t="s">
        <v>17</v>
      </c>
      <c r="W39" s="774">
        <f t="shared" si="14"/>
        <v>100</v>
      </c>
      <c r="X39" s="1815"/>
      <c r="Y39" s="3156"/>
      <c r="Z39" s="1816" t="str">
        <f t="shared" si="15"/>
        <v>层高</v>
      </c>
      <c r="AA39" s="1813">
        <f t="shared" si="3"/>
        <v>1</v>
      </c>
      <c r="AB39" s="1813">
        <f t="shared" si="4"/>
        <v>1</v>
      </c>
      <c r="AC39" s="1813">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15"/>
      <c r="Q40" s="1812" t="str">
        <f t="shared" si="11"/>
        <v>单套建筑面积</v>
      </c>
      <c r="R40" s="773" t="s">
        <v>17</v>
      </c>
      <c r="S40" s="774">
        <f t="shared" si="12"/>
        <v>100</v>
      </c>
      <c r="T40" s="773" t="s">
        <v>17</v>
      </c>
      <c r="U40" s="774">
        <f t="shared" si="13"/>
        <v>100</v>
      </c>
      <c r="V40" s="773" t="s">
        <v>17</v>
      </c>
      <c r="W40" s="774">
        <f t="shared" si="14"/>
        <v>100</v>
      </c>
      <c r="X40" s="1815"/>
      <c r="Y40" s="3156"/>
      <c r="Z40" s="1816" t="str">
        <f t="shared" si="15"/>
        <v>单套建筑面积</v>
      </c>
      <c r="AA40" s="1813">
        <f t="shared" si="3"/>
        <v>1</v>
      </c>
      <c r="AB40" s="1813">
        <f t="shared" si="4"/>
        <v>1</v>
      </c>
      <c r="AC40" s="1813">
        <f t="shared" si="5"/>
        <v>1</v>
      </c>
    </row>
    <row r="41" spans="1:29" s="470" customFormat="1" ht="15">
      <c r="A41" s="467"/>
      <c r="B41" s="1814"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15"/>
      <c r="Q41" s="775" t="str">
        <f t="shared" si="11"/>
        <v>进深比</v>
      </c>
      <c r="R41" s="776" t="s">
        <v>17</v>
      </c>
      <c r="S41" s="777">
        <f t="shared" si="12"/>
        <v>100</v>
      </c>
      <c r="T41" s="776" t="s">
        <v>17</v>
      </c>
      <c r="U41" s="777">
        <f t="shared" si="13"/>
        <v>100</v>
      </c>
      <c r="V41" s="776" t="s">
        <v>17</v>
      </c>
      <c r="W41" s="777">
        <f t="shared" si="14"/>
        <v>100</v>
      </c>
      <c r="X41" s="778"/>
      <c r="Y41" s="3156"/>
      <c r="Z41" s="779" t="str">
        <f t="shared" si="15"/>
        <v>进深比</v>
      </c>
      <c r="AA41" s="1813">
        <f t="shared" si="3"/>
        <v>1</v>
      </c>
      <c r="AB41" s="1813">
        <f t="shared" si="4"/>
        <v>1</v>
      </c>
      <c r="AC41" s="1813">
        <f t="shared" si="5"/>
        <v>1</v>
      </c>
    </row>
    <row r="42" spans="1:29" ht="15">
      <c r="A42" s="471"/>
      <c r="B42" s="421" t="s">
        <v>2671</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215"/>
      <c r="Q42" s="1812" t="str">
        <f t="shared" si="11"/>
        <v>内部装修</v>
      </c>
      <c r="R42" s="773" t="s">
        <v>17</v>
      </c>
      <c r="S42" s="774">
        <f t="shared" si="12"/>
        <v>100</v>
      </c>
      <c r="T42" s="773" t="s">
        <v>17</v>
      </c>
      <c r="U42" s="774">
        <f t="shared" si="13"/>
        <v>100</v>
      </c>
      <c r="V42" s="773" t="s">
        <v>17</v>
      </c>
      <c r="W42" s="774">
        <f t="shared" si="14"/>
        <v>100</v>
      </c>
      <c r="X42" s="1815"/>
      <c r="Y42" s="3156"/>
      <c r="Z42" s="1816" t="str">
        <f t="shared" si="15"/>
        <v>内部装修</v>
      </c>
      <c r="AA42" s="1813">
        <f t="shared" si="3"/>
        <v>1</v>
      </c>
      <c r="AB42" s="1813">
        <f t="shared" si="4"/>
        <v>1</v>
      </c>
      <c r="AC42" s="1813">
        <f t="shared" si="5"/>
        <v>1</v>
      </c>
    </row>
    <row r="43" spans="1:29" ht="15">
      <c r="A43" s="471"/>
      <c r="B43" s="421" t="s">
        <v>2579</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215"/>
      <c r="Q43" s="1812" t="str">
        <f t="shared" si="11"/>
        <v>内部装修维护情况</v>
      </c>
      <c r="R43" s="773" t="s">
        <v>17</v>
      </c>
      <c r="S43" s="774">
        <f t="shared" si="12"/>
        <v>100</v>
      </c>
      <c r="T43" s="773" t="s">
        <v>17</v>
      </c>
      <c r="U43" s="774">
        <f t="shared" si="13"/>
        <v>100</v>
      </c>
      <c r="V43" s="773" t="s">
        <v>17</v>
      </c>
      <c r="W43" s="774">
        <f t="shared" si="14"/>
        <v>100</v>
      </c>
      <c r="X43" s="1815"/>
      <c r="Y43" s="3156"/>
      <c r="Z43" s="1816" t="str">
        <f t="shared" si="15"/>
        <v>内部装修维护情况</v>
      </c>
      <c r="AA43" s="1813">
        <f t="shared" si="3"/>
        <v>1</v>
      </c>
      <c r="AB43" s="1813">
        <f t="shared" si="4"/>
        <v>1</v>
      </c>
      <c r="AC43" s="1813">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15"/>
      <c r="Q44" s="1797">
        <f t="shared" si="11"/>
        <v>111</v>
      </c>
      <c r="R44" s="769" t="s">
        <v>17</v>
      </c>
      <c r="S44" s="770">
        <f t="shared" si="12"/>
        <v>100</v>
      </c>
      <c r="T44" s="769" t="s">
        <v>17</v>
      </c>
      <c r="U44" s="770">
        <f t="shared" si="13"/>
        <v>100</v>
      </c>
      <c r="V44" s="769" t="s">
        <v>17</v>
      </c>
      <c r="W44" s="770">
        <f t="shared" si="14"/>
        <v>100</v>
      </c>
      <c r="X44" s="771"/>
      <c r="Y44" s="3156"/>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15"/>
      <c r="Q45" s="1812">
        <f t="shared" si="11"/>
        <v>111</v>
      </c>
      <c r="R45" s="773" t="s">
        <v>17</v>
      </c>
      <c r="S45" s="774">
        <f t="shared" si="12"/>
        <v>100</v>
      </c>
      <c r="T45" s="773" t="s">
        <v>17</v>
      </c>
      <c r="U45" s="774">
        <f t="shared" si="13"/>
        <v>100</v>
      </c>
      <c r="V45" s="773" t="s">
        <v>17</v>
      </c>
      <c r="W45" s="774">
        <f t="shared" si="14"/>
        <v>100</v>
      </c>
      <c r="X45" s="1815"/>
      <c r="Y45" s="3156"/>
      <c r="Z45" s="1816">
        <f t="shared" si="15"/>
        <v>111</v>
      </c>
      <c r="AA45" s="1813">
        <f t="shared" si="3"/>
        <v>1</v>
      </c>
      <c r="AB45" s="1813">
        <f t="shared" si="4"/>
        <v>1</v>
      </c>
      <c r="AC45" s="1813">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16"/>
      <c r="Q46" s="1812">
        <f t="shared" si="11"/>
        <v>111</v>
      </c>
      <c r="R46" s="773" t="s">
        <v>17</v>
      </c>
      <c r="S46" s="774">
        <f t="shared" si="12"/>
        <v>100</v>
      </c>
      <c r="T46" s="773" t="s">
        <v>17</v>
      </c>
      <c r="U46" s="774">
        <f t="shared" si="13"/>
        <v>100</v>
      </c>
      <c r="V46" s="773" t="s">
        <v>17</v>
      </c>
      <c r="W46" s="774">
        <f t="shared" si="14"/>
        <v>100</v>
      </c>
      <c r="X46" s="1815"/>
      <c r="Y46" s="3157"/>
      <c r="Z46" s="1816">
        <f t="shared" si="15"/>
        <v>111</v>
      </c>
      <c r="AA46" s="1813">
        <f t="shared" si="3"/>
        <v>1</v>
      </c>
      <c r="AB46" s="1813">
        <f t="shared" si="4"/>
        <v>1</v>
      </c>
      <c r="AC46" s="1813">
        <f t="shared" si="5"/>
        <v>1</v>
      </c>
    </row>
    <row r="47" spans="1:29" ht="15">
      <c r="A47" s="478" t="s">
        <v>2580</v>
      </c>
      <c r="B47" s="479"/>
      <c r="C47" s="1408" t="s">
        <v>1</v>
      </c>
      <c r="D47" s="1409"/>
      <c r="E47" s="1410"/>
      <c r="F47" s="1411"/>
      <c r="G47" s="1412"/>
      <c r="H47" s="1413"/>
      <c r="I47" s="1410"/>
      <c r="J47" s="1413"/>
      <c r="K47" s="782"/>
      <c r="L47" s="1144"/>
      <c r="M47" s="1145"/>
      <c r="N47" s="1132"/>
      <c r="O47" s="1145"/>
      <c r="P47" s="3148" t="str">
        <f>A47</f>
        <v>成交单价（元/平方米）</v>
      </c>
      <c r="Q47" s="3148"/>
      <c r="R47" s="3177">
        <f>E47</f>
        <v>0</v>
      </c>
      <c r="S47" s="3177"/>
      <c r="T47" s="3177">
        <f>G47</f>
        <v>0</v>
      </c>
      <c r="U47" s="3177"/>
      <c r="V47" s="3177">
        <f>I47</f>
        <v>0</v>
      </c>
      <c r="W47" s="3177"/>
      <c r="X47" s="758"/>
      <c r="Y47" s="780"/>
      <c r="Z47" s="758"/>
      <c r="AA47" s="758"/>
      <c r="AB47" s="758"/>
      <c r="AC47" s="758"/>
    </row>
    <row r="48" spans="1:29" ht="15.75" thickBot="1">
      <c r="A48" s="485" t="s">
        <v>2672</v>
      </c>
      <c r="B48" s="486"/>
      <c r="C48" s="1414" t="e">
        <f>R49</f>
        <v>#DIV/0!</v>
      </c>
      <c r="D48" s="1415"/>
      <c r="E48" s="1416" t="e">
        <f>R48</f>
        <v>#DIV/0!</v>
      </c>
      <c r="F48" s="1416"/>
      <c r="G48" s="1414" t="e">
        <f>T48</f>
        <v>#DIV/0!</v>
      </c>
      <c r="H48" s="1415"/>
      <c r="I48" s="1416" t="e">
        <f>V48</f>
        <v>#DIV/0!</v>
      </c>
      <c r="J48" s="1415"/>
      <c r="K48" s="783"/>
      <c r="L48" s="1144"/>
      <c r="M48" s="1145"/>
      <c r="N48" s="1132"/>
      <c r="O48" s="1145"/>
      <c r="P48" s="3148" t="str">
        <f>A48</f>
        <v>比较价值（元/平方米）</v>
      </c>
      <c r="Q48" s="3148"/>
      <c r="R48" s="3149" t="e">
        <f>IF(F1="售价",ROUND(PRODUCT(R47,AA7:AA46),0),ROUND(PRODUCT(R47,AA7:AA46),1))</f>
        <v>#DIV/0!</v>
      </c>
      <c r="S48" s="3149"/>
      <c r="T48" s="3149" t="e">
        <f>IF(F1="售价",ROUND(PRODUCT(T47,AB7:AB46),0),ROUND(PRODUCT(T47,AB7:AB46),1))</f>
        <v>#DIV/0!</v>
      </c>
      <c r="U48" s="3149"/>
      <c r="V48" s="3149" t="e">
        <f>IF(F1="售价",ROUND(PRODUCT(V47,AC7:AC46),0),ROUND(PRODUCT(V47,AC7:AC46),1))</f>
        <v>#DIV/0!</v>
      </c>
      <c r="W48" s="3149"/>
      <c r="X48" s="758"/>
      <c r="Y48" s="758"/>
      <c r="Z48" s="758"/>
      <c r="AA48" s="758"/>
      <c r="AB48" s="758"/>
      <c r="AC48" s="758"/>
    </row>
    <row r="49" spans="1:29" ht="15.75" thickBot="1">
      <c r="A49" s="491" t="s">
        <v>2673</v>
      </c>
      <c r="B49" s="492"/>
      <c r="C49" s="1418" t="e">
        <f>R49</f>
        <v>#DIV/0!</v>
      </c>
      <c r="D49" s="1418"/>
      <c r="E49" s="1418"/>
      <c r="F49" s="1418"/>
      <c r="G49" s="1418"/>
      <c r="H49" s="1418"/>
      <c r="I49" s="1418"/>
      <c r="J49" s="1418"/>
      <c r="K49" s="784"/>
      <c r="L49" s="1144"/>
      <c r="M49" s="1145"/>
      <c r="N49" s="1132"/>
      <c r="O49" s="1145"/>
      <c r="P49" s="3150" t="str">
        <f>A49</f>
        <v>估价对象XX用房的比较价值（楼面单价，元/平方米）</v>
      </c>
      <c r="Q49" s="3151"/>
      <c r="R49" s="3152" t="e">
        <f>IF(F1="售价",ROUND(AVERAGE(R48:V48),0),ROUND(AVERAGE(R48:V48),1))</f>
        <v>#DIV/0!</v>
      </c>
      <c r="S49" s="3152"/>
      <c r="T49" s="3152"/>
      <c r="U49" s="3152"/>
      <c r="V49" s="3152"/>
      <c r="W49" s="315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2677</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2551</v>
      </c>
      <c r="B58" s="505"/>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7" customFormat="1" ht="15">
      <c r="A59" s="508"/>
      <c r="B59" s="509"/>
      <c r="C59" s="1575">
        <v>100</v>
      </c>
      <c r="D59" s="511"/>
      <c r="E59" s="511"/>
      <c r="F59" s="511"/>
      <c r="G59" s="511"/>
      <c r="H59" s="511"/>
      <c r="I59" s="511"/>
      <c r="J59" s="511"/>
      <c r="K59" s="511"/>
      <c r="L59" s="511"/>
      <c r="M59" s="512"/>
      <c r="N59" s="511"/>
      <c r="O59" s="512"/>
      <c r="P59" s="2630"/>
    </row>
    <row r="60" spans="1:29" s="117" customFormat="1" ht="15.75" thickBot="1">
      <c r="A60" s="514" t="s">
        <v>2588</v>
      </c>
      <c r="B60" s="515"/>
      <c r="C60" s="516"/>
      <c r="D60" s="517"/>
      <c r="E60" s="517"/>
      <c r="F60" s="517"/>
      <c r="G60" s="517"/>
      <c r="H60" s="517"/>
      <c r="I60" s="517"/>
      <c r="J60" s="517"/>
      <c r="K60" s="517"/>
      <c r="L60" s="517"/>
      <c r="M60" s="518"/>
      <c r="N60" s="517"/>
      <c r="O60" s="518"/>
      <c r="P60" s="2630"/>
      <c r="Q60" s="503"/>
    </row>
    <row r="61" spans="1:29" s="117" customFormat="1" ht="15">
      <c r="A61" s="520" t="s">
        <v>2553</v>
      </c>
      <c r="B61" s="509"/>
      <c r="C61" s="521" t="s">
        <v>2655</v>
      </c>
      <c r="D61" s="522"/>
      <c r="E61" s="522"/>
      <c r="F61" s="522"/>
      <c r="G61" s="522"/>
      <c r="H61" s="522"/>
      <c r="I61" s="522"/>
      <c r="J61" s="522"/>
      <c r="K61" s="522"/>
      <c r="L61" s="523"/>
      <c r="M61" s="524"/>
      <c r="N61" s="1152"/>
      <c r="O61" s="1152"/>
      <c r="P61" s="2631"/>
      <c r="Q61" s="503"/>
    </row>
    <row r="62" spans="1:29" s="117"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2591</v>
      </c>
      <c r="B63" s="527" t="s">
        <v>2557</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2658</v>
      </c>
      <c r="C82" s="659" t="s">
        <v>2678</v>
      </c>
      <c r="D82" s="659" t="s">
        <v>2679</v>
      </c>
      <c r="E82" s="659" t="s">
        <v>2680</v>
      </c>
      <c r="F82" s="659" t="s">
        <v>2681</v>
      </c>
      <c r="G82" s="659" t="s">
        <v>2682</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7" customFormat="1" ht="15.75" thickTop="1">
      <c r="A86" s="578"/>
      <c r="B86" s="537" t="s">
        <v>2683</v>
      </c>
      <c r="C86" s="553"/>
      <c r="D86" s="553"/>
      <c r="E86" s="553"/>
      <c r="F86" s="553"/>
      <c r="G86" s="553"/>
      <c r="H86" s="553"/>
      <c r="I86" s="553"/>
      <c r="J86" s="553"/>
      <c r="K86" s="553"/>
      <c r="L86" s="579"/>
      <c r="M86" s="580"/>
      <c r="N86" s="1152"/>
      <c r="O86" s="1152"/>
      <c r="P86" s="263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7"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7"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2566</v>
      </c>
      <c r="B100" s="527" t="s">
        <v>2684</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2617</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2619</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2621</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2685</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2686</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2687</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2688</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2623</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671" t="s">
        <v>2689</v>
      </c>
      <c r="C1" s="1622" t="s">
        <v>2533</v>
      </c>
      <c r="D1" s="1623"/>
      <c r="E1" s="1632"/>
      <c r="F1" s="2586"/>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19" t="e">
        <f ca="1">IF(C2="——",ROUND(C50*D3/10000,0),ROUND(C50*D3/10000,0)-D2)</f>
        <v>#DIV/0!</v>
      </c>
      <c r="C2" s="2588"/>
      <c r="D2" s="1366" t="e">
        <f ca="1">SUMIF(INDIRECT("'"&amp;F2&amp;"'"&amp;"!A:A"),"承租人权益价值",INDIRECT("'"&amp;F2&amp;"'"&amp;"!c:c"))</f>
        <v>#REF!</v>
      </c>
      <c r="E2" s="2589" t="s">
        <v>2331</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2647</v>
      </c>
      <c r="D3" s="398">
        <f>IF(D1="",'数据-汇总表'!E3,SUMIF('数据-汇总表'!$C19:$C33,D1,'数据-汇总表'!$E19:$E33))</f>
        <v>4799.08</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2648</v>
      </c>
      <c r="B4" s="401"/>
      <c r="C4" s="3161" t="s">
        <v>2649</v>
      </c>
      <c r="D4" s="3162"/>
      <c r="E4" s="3163" t="s">
        <v>2650</v>
      </c>
      <c r="F4" s="3164"/>
      <c r="G4" s="3161" t="s">
        <v>2651</v>
      </c>
      <c r="H4" s="3162"/>
      <c r="I4" s="3161" t="s">
        <v>2652</v>
      </c>
      <c r="J4" s="3162"/>
      <c r="K4" s="609" t="s">
        <v>2653</v>
      </c>
      <c r="L4" s="1131"/>
      <c r="M4" s="1132"/>
      <c r="N4" s="1132"/>
      <c r="O4" s="1132"/>
      <c r="P4" s="3229" t="s">
        <v>2654</v>
      </c>
      <c r="Q4" s="3230"/>
      <c r="R4" s="3233" t="s">
        <v>2650</v>
      </c>
      <c r="S4" s="3234"/>
      <c r="T4" s="3233" t="s">
        <v>2651</v>
      </c>
      <c r="U4" s="3234"/>
      <c r="V4" s="3235" t="s">
        <v>2652</v>
      </c>
      <c r="W4" s="3235"/>
      <c r="X4" s="2672"/>
      <c r="Y4" s="3233" t="s">
        <v>2654</v>
      </c>
      <c r="Z4" s="3234"/>
      <c r="AA4" s="3237" t="s">
        <v>2650</v>
      </c>
      <c r="AB4" s="3237" t="s">
        <v>2651</v>
      </c>
      <c r="AC4" s="3226" t="s">
        <v>2652</v>
      </c>
    </row>
    <row r="5" spans="1:29" ht="15">
      <c r="A5" s="403"/>
      <c r="B5" s="404"/>
      <c r="C5" s="3220" t="s">
        <v>2545</v>
      </c>
      <c r="D5" s="3221"/>
      <c r="E5" s="3222" t="s">
        <v>2546</v>
      </c>
      <c r="F5" s="3181"/>
      <c r="G5" s="3220" t="s">
        <v>2547</v>
      </c>
      <c r="H5" s="3221"/>
      <c r="I5" s="3220" t="s">
        <v>2548</v>
      </c>
      <c r="J5" s="3221"/>
      <c r="K5" s="609"/>
      <c r="L5" s="1131"/>
      <c r="M5" s="1132"/>
      <c r="N5" s="1132"/>
      <c r="O5" s="1132"/>
      <c r="P5" s="3231"/>
      <c r="Q5" s="3168"/>
      <c r="R5" s="3173"/>
      <c r="S5" s="3174"/>
      <c r="T5" s="3173"/>
      <c r="U5" s="3174"/>
      <c r="V5" s="3177"/>
      <c r="W5" s="3177"/>
      <c r="X5" s="1815"/>
      <c r="Y5" s="3173"/>
      <c r="Z5" s="3174"/>
      <c r="AA5" s="3159"/>
      <c r="AB5" s="3159"/>
      <c r="AC5" s="3227"/>
    </row>
    <row r="6" spans="1:29" ht="15.75" thickBot="1">
      <c r="A6" s="405"/>
      <c r="B6" s="406"/>
      <c r="C6" s="3178" t="s">
        <v>2549</v>
      </c>
      <c r="D6" s="3179"/>
      <c r="E6" s="3185" t="s">
        <v>2549</v>
      </c>
      <c r="F6" s="3186"/>
      <c r="G6" s="3178" t="s">
        <v>2549</v>
      </c>
      <c r="H6" s="3179"/>
      <c r="I6" s="3178" t="s">
        <v>2549</v>
      </c>
      <c r="J6" s="3179"/>
      <c r="K6" s="609" t="s">
        <v>2550</v>
      </c>
      <c r="L6" s="1131"/>
      <c r="M6" s="1132"/>
      <c r="N6" s="1132"/>
      <c r="O6" s="1132"/>
      <c r="P6" s="3232"/>
      <c r="Q6" s="3170"/>
      <c r="R6" s="3173"/>
      <c r="S6" s="3174"/>
      <c r="T6" s="3175"/>
      <c r="U6" s="3176"/>
      <c r="V6" s="3177"/>
      <c r="W6" s="3177"/>
      <c r="X6" s="1815"/>
      <c r="Y6" s="3175"/>
      <c r="Z6" s="3176"/>
      <c r="AA6" s="3160"/>
      <c r="AB6" s="3160"/>
      <c r="AC6" s="3228"/>
    </row>
    <row r="7" spans="1:29" s="117" customFormat="1" ht="15.75" thickBot="1">
      <c r="A7" s="407" t="s">
        <v>2551</v>
      </c>
      <c r="B7" s="408"/>
      <c r="C7" s="409">
        <f>'数据-取费表'!B2</f>
        <v>43061</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36" t="s">
        <v>2552</v>
      </c>
      <c r="Q7" s="3184"/>
      <c r="R7" s="769" t="s">
        <v>17</v>
      </c>
      <c r="S7" s="770">
        <f t="shared" ref="S7:S15" si="0">F7</f>
        <v>0</v>
      </c>
      <c r="T7" s="769" t="s">
        <v>17</v>
      </c>
      <c r="U7" s="770">
        <f t="shared" ref="U7:U15" si="1">H7</f>
        <v>0</v>
      </c>
      <c r="V7" s="769" t="s">
        <v>17</v>
      </c>
      <c r="W7" s="770">
        <f t="shared" ref="W7:W15" si="2">J7</f>
        <v>0</v>
      </c>
      <c r="X7" s="771"/>
      <c r="Y7" s="3182" t="s">
        <v>2552</v>
      </c>
      <c r="Z7" s="3183"/>
      <c r="AA7" s="772" t="e">
        <f>D7/F7</f>
        <v>#DIV/0!</v>
      </c>
      <c r="AB7" s="772" t="e">
        <f>D7/H7</f>
        <v>#DIV/0!</v>
      </c>
      <c r="AC7" s="2673" t="e">
        <f>D7/J7</f>
        <v>#DIV/0!</v>
      </c>
    </row>
    <row r="8" spans="1:29" s="117"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36" t="s">
        <v>2555</v>
      </c>
      <c r="Q8" s="3183"/>
      <c r="R8" s="769" t="s">
        <v>17</v>
      </c>
      <c r="S8" s="770">
        <f t="shared" si="0"/>
        <v>0</v>
      </c>
      <c r="T8" s="769" t="s">
        <v>17</v>
      </c>
      <c r="U8" s="770">
        <f t="shared" si="1"/>
        <v>0</v>
      </c>
      <c r="V8" s="769" t="s">
        <v>17</v>
      </c>
      <c r="W8" s="770">
        <f t="shared" si="2"/>
        <v>0</v>
      </c>
      <c r="X8" s="771"/>
      <c r="Y8" s="3182" t="s">
        <v>2555</v>
      </c>
      <c r="Z8" s="3183"/>
      <c r="AA8" s="772" t="e">
        <f t="shared" ref="AA8:AA47" si="3">D8/F8</f>
        <v>#DIV/0!</v>
      </c>
      <c r="AB8" s="772" t="e">
        <f t="shared" ref="AB8:AB47" si="4">D8/H8</f>
        <v>#DIV/0!</v>
      </c>
      <c r="AC8" s="2673" t="e">
        <f t="shared" ref="AC8:AC47" si="5">D8/J8</f>
        <v>#DIV/0!</v>
      </c>
    </row>
    <row r="9" spans="1:29" s="117"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19" t="s">
        <v>2558</v>
      </c>
      <c r="Q9" s="1797" t="str">
        <f t="shared" ref="Q9:Q15" si="6">B9</f>
        <v>用途</v>
      </c>
      <c r="R9" s="769" t="s">
        <v>17</v>
      </c>
      <c r="S9" s="770">
        <f t="shared" si="0"/>
        <v>100</v>
      </c>
      <c r="T9" s="769" t="s">
        <v>17</v>
      </c>
      <c r="U9" s="770">
        <f t="shared" si="1"/>
        <v>100</v>
      </c>
      <c r="V9" s="769" t="s">
        <v>17</v>
      </c>
      <c r="W9" s="770">
        <f t="shared" si="2"/>
        <v>100</v>
      </c>
      <c r="X9" s="771"/>
      <c r="Y9" s="2983" t="s">
        <v>2559</v>
      </c>
      <c r="Z9" s="55" t="str">
        <f t="shared" ref="Z9:Z15" si="7">Q9</f>
        <v>用途</v>
      </c>
      <c r="AA9" s="772">
        <f t="shared" si="3"/>
        <v>1</v>
      </c>
      <c r="AB9" s="772">
        <f t="shared" si="4"/>
        <v>1</v>
      </c>
      <c r="AC9" s="2673">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19"/>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2673">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19"/>
      <c r="Q11" s="1797" t="str">
        <f t="shared" si="6"/>
        <v>容积率</v>
      </c>
      <c r="R11" s="769" t="s">
        <v>17</v>
      </c>
      <c r="S11" s="770" t="e">
        <f t="shared" si="0"/>
        <v>#N/A</v>
      </c>
      <c r="T11" s="769" t="s">
        <v>17</v>
      </c>
      <c r="U11" s="770" t="e">
        <f t="shared" si="1"/>
        <v>#N/A</v>
      </c>
      <c r="V11" s="769" t="s">
        <v>17</v>
      </c>
      <c r="W11" s="770" t="e">
        <f t="shared" si="2"/>
        <v>#N/A</v>
      </c>
      <c r="X11" s="771"/>
      <c r="Y11" s="2983"/>
      <c r="Z11" s="55" t="str">
        <f t="shared" si="7"/>
        <v>容积率</v>
      </c>
      <c r="AA11" s="772" t="e">
        <f t="shared" si="3"/>
        <v>#N/A</v>
      </c>
      <c r="AB11" s="772" t="e">
        <f t="shared" si="4"/>
        <v>#N/A</v>
      </c>
      <c r="AC11" s="2673" t="e">
        <f t="shared" si="5"/>
        <v>#N/A</v>
      </c>
    </row>
    <row r="12" spans="1:29" s="117"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219"/>
      <c r="Q12" s="1797">
        <f t="shared" si="6"/>
        <v>111</v>
      </c>
      <c r="R12" s="769" t="s">
        <v>17</v>
      </c>
      <c r="S12" s="770">
        <f t="shared" si="0"/>
        <v>100</v>
      </c>
      <c r="T12" s="769" t="s">
        <v>17</v>
      </c>
      <c r="U12" s="770">
        <f t="shared" si="1"/>
        <v>100</v>
      </c>
      <c r="V12" s="769" t="s">
        <v>17</v>
      </c>
      <c r="W12" s="770">
        <f t="shared" si="2"/>
        <v>100</v>
      </c>
      <c r="X12" s="771"/>
      <c r="Y12" s="2983"/>
      <c r="Z12" s="55">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219"/>
      <c r="Q13" s="1797">
        <f t="shared" si="6"/>
        <v>111</v>
      </c>
      <c r="R13" s="769" t="s">
        <v>17</v>
      </c>
      <c r="S13" s="770">
        <f t="shared" si="0"/>
        <v>100</v>
      </c>
      <c r="T13" s="769" t="s">
        <v>17</v>
      </c>
      <c r="U13" s="770">
        <f t="shared" si="1"/>
        <v>100</v>
      </c>
      <c r="V13" s="769" t="s">
        <v>17</v>
      </c>
      <c r="W13" s="770">
        <f t="shared" si="2"/>
        <v>100</v>
      </c>
      <c r="X13" s="771"/>
      <c r="Y13" s="2983"/>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219"/>
      <c r="Q14" s="1797">
        <f t="shared" si="6"/>
        <v>111</v>
      </c>
      <c r="R14" s="769" t="s">
        <v>17</v>
      </c>
      <c r="S14" s="770">
        <f t="shared" si="0"/>
        <v>100</v>
      </c>
      <c r="T14" s="769" t="s">
        <v>17</v>
      </c>
      <c r="U14" s="770">
        <f t="shared" si="1"/>
        <v>100</v>
      </c>
      <c r="V14" s="769" t="s">
        <v>17</v>
      </c>
      <c r="W14" s="770">
        <f t="shared" si="2"/>
        <v>100</v>
      </c>
      <c r="X14" s="771"/>
      <c r="Y14" s="2983"/>
      <c r="Z14" s="55">
        <f t="shared" si="7"/>
        <v>111</v>
      </c>
      <c r="AA14" s="772">
        <f t="shared" si="3"/>
        <v>1</v>
      </c>
      <c r="AB14" s="772">
        <f t="shared" si="4"/>
        <v>1</v>
      </c>
      <c r="AC14" s="2673">
        <f t="shared" si="5"/>
        <v>1</v>
      </c>
    </row>
    <row r="15" spans="1:29" ht="71.25">
      <c r="A15" s="439" t="s">
        <v>2562</v>
      </c>
      <c r="B15" s="628" t="s">
        <v>2690</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17" t="s">
        <v>2563</v>
      </c>
      <c r="Q15" s="1812" t="str">
        <f t="shared" si="6"/>
        <v>办公集聚程度</v>
      </c>
      <c r="R15" s="773" t="s">
        <v>17</v>
      </c>
      <c r="S15" s="774">
        <f t="shared" si="0"/>
        <v>100</v>
      </c>
      <c r="T15" s="773" t="s">
        <v>17</v>
      </c>
      <c r="U15" s="774">
        <f t="shared" si="1"/>
        <v>100</v>
      </c>
      <c r="V15" s="773" t="s">
        <v>17</v>
      </c>
      <c r="W15" s="774">
        <f t="shared" si="2"/>
        <v>100</v>
      </c>
      <c r="X15" s="1815"/>
      <c r="Y15" s="3153" t="s">
        <v>2563</v>
      </c>
      <c r="Z15" s="1816" t="str">
        <f t="shared" si="7"/>
        <v>办公集聚程度</v>
      </c>
      <c r="AA15" s="1813">
        <f t="shared" si="3"/>
        <v>1</v>
      </c>
      <c r="AB15" s="1813">
        <f t="shared" si="4"/>
        <v>1</v>
      </c>
      <c r="AC15" s="2676">
        <f t="shared" si="5"/>
        <v>1</v>
      </c>
    </row>
    <row r="16" spans="1:29" ht="15">
      <c r="A16" s="427"/>
      <c r="B16" s="629"/>
      <c r="C16" s="2613"/>
      <c r="D16" s="447"/>
      <c r="E16" s="446"/>
      <c r="F16" s="447"/>
      <c r="G16" s="2613"/>
      <c r="H16" s="449"/>
      <c r="I16" s="446"/>
      <c r="J16" s="447"/>
      <c r="K16" s="614"/>
      <c r="L16" s="1141"/>
      <c r="M16" s="1132"/>
      <c r="N16" s="1132"/>
      <c r="O16" s="1132"/>
      <c r="P16" s="3218"/>
      <c r="Q16" s="1812"/>
      <c r="R16" s="773"/>
      <c r="S16" s="774"/>
      <c r="T16" s="773"/>
      <c r="U16" s="774"/>
      <c r="V16" s="773"/>
      <c r="W16" s="774"/>
      <c r="X16" s="1815"/>
      <c r="Y16" s="3154"/>
      <c r="Z16" s="1816"/>
      <c r="AA16" s="1813">
        <v>1</v>
      </c>
      <c r="AB16" s="1813">
        <v>1</v>
      </c>
      <c r="AC16" s="2676">
        <v>1</v>
      </c>
    </row>
    <row r="17" spans="1:29" ht="71.25">
      <c r="A17" s="427"/>
      <c r="B17" s="630" t="s">
        <v>2100</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18"/>
      <c r="Q17" s="1812" t="str">
        <f>B17</f>
        <v>交通便捷度</v>
      </c>
      <c r="R17" s="773" t="s">
        <v>17</v>
      </c>
      <c r="S17" s="774">
        <f>F17</f>
        <v>100</v>
      </c>
      <c r="T17" s="773" t="s">
        <v>17</v>
      </c>
      <c r="U17" s="774">
        <f>H17</f>
        <v>100</v>
      </c>
      <c r="V17" s="773" t="s">
        <v>17</v>
      </c>
      <c r="W17" s="774">
        <f>J17</f>
        <v>100</v>
      </c>
      <c r="X17" s="1815"/>
      <c r="Y17" s="3154"/>
      <c r="Z17" s="1816" t="str">
        <f>Q17</f>
        <v>交通便捷度</v>
      </c>
      <c r="AA17" s="1813">
        <f t="shared" si="3"/>
        <v>1</v>
      </c>
      <c r="AB17" s="1813">
        <f t="shared" si="4"/>
        <v>1</v>
      </c>
      <c r="AC17" s="2676">
        <f t="shared" si="5"/>
        <v>1</v>
      </c>
    </row>
    <row r="18" spans="1:29" ht="15">
      <c r="A18" s="427"/>
      <c r="B18" s="631"/>
      <c r="C18" s="2678"/>
      <c r="D18" s="449"/>
      <c r="E18" s="2611"/>
      <c r="F18" s="449"/>
      <c r="G18" s="2612"/>
      <c r="H18" s="447"/>
      <c r="I18" s="2612"/>
      <c r="J18" s="447"/>
      <c r="K18" s="614"/>
      <c r="L18" s="1141"/>
      <c r="M18" s="1132"/>
      <c r="N18" s="1132"/>
      <c r="O18" s="1132"/>
      <c r="P18" s="3218"/>
      <c r="Q18" s="1812"/>
      <c r="R18" s="773"/>
      <c r="S18" s="774"/>
      <c r="T18" s="773"/>
      <c r="U18" s="774"/>
      <c r="V18" s="773"/>
      <c r="W18" s="774"/>
      <c r="X18" s="1815"/>
      <c r="Y18" s="3154"/>
      <c r="Z18" s="1816"/>
      <c r="AA18" s="1813">
        <v>1</v>
      </c>
      <c r="AB18" s="1813">
        <v>1</v>
      </c>
      <c r="AC18" s="2676">
        <v>1</v>
      </c>
    </row>
    <row r="19" spans="1:29" ht="42.75">
      <c r="A19" s="427"/>
      <c r="B19" s="630" t="s">
        <v>2691</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18"/>
      <c r="Q19" s="1812" t="str">
        <f>B19</f>
        <v>公共配套设施</v>
      </c>
      <c r="R19" s="773" t="s">
        <v>17</v>
      </c>
      <c r="S19" s="774">
        <f>F19</f>
        <v>100</v>
      </c>
      <c r="T19" s="773" t="s">
        <v>17</v>
      </c>
      <c r="U19" s="774">
        <f>H19</f>
        <v>100</v>
      </c>
      <c r="V19" s="773" t="s">
        <v>17</v>
      </c>
      <c r="W19" s="774">
        <f>J19</f>
        <v>100</v>
      </c>
      <c r="X19" s="1815"/>
      <c r="Y19" s="3154"/>
      <c r="Z19" s="1816" t="str">
        <f>Q19</f>
        <v>公共配套设施</v>
      </c>
      <c r="AA19" s="1813">
        <f t="shared" si="3"/>
        <v>1</v>
      </c>
      <c r="AB19" s="1813">
        <f t="shared" si="4"/>
        <v>1</v>
      </c>
      <c r="AC19" s="2676">
        <f t="shared" si="5"/>
        <v>1</v>
      </c>
    </row>
    <row r="20" spans="1:29" ht="15">
      <c r="A20" s="427"/>
      <c r="B20" s="631"/>
      <c r="C20" s="2613"/>
      <c r="D20" s="447"/>
      <c r="E20" s="2606"/>
      <c r="F20" s="447"/>
      <c r="G20" s="2607"/>
      <c r="H20" s="447"/>
      <c r="I20" s="2607"/>
      <c r="J20" s="447"/>
      <c r="K20" s="614"/>
      <c r="L20" s="1141"/>
      <c r="M20" s="1132"/>
      <c r="N20" s="1132"/>
      <c r="O20" s="1132"/>
      <c r="P20" s="3218"/>
      <c r="Q20" s="1812"/>
      <c r="R20" s="773"/>
      <c r="S20" s="774"/>
      <c r="T20" s="773"/>
      <c r="U20" s="774"/>
      <c r="V20" s="773"/>
      <c r="W20" s="774"/>
      <c r="X20" s="1815"/>
      <c r="Y20" s="3154"/>
      <c r="Z20" s="1816"/>
      <c r="AA20" s="1813">
        <v>1</v>
      </c>
      <c r="AB20" s="1813">
        <v>1</v>
      </c>
      <c r="AC20" s="2676">
        <v>1</v>
      </c>
    </row>
    <row r="21" spans="1:29" ht="28.5">
      <c r="A21" s="427"/>
      <c r="B21" s="632" t="s">
        <v>2692</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18"/>
      <c r="Q21" s="1812" t="str">
        <f>B21</f>
        <v>基础设施水平</v>
      </c>
      <c r="R21" s="773" t="s">
        <v>17</v>
      </c>
      <c r="S21" s="774">
        <f>F21</f>
        <v>100</v>
      </c>
      <c r="T21" s="773" t="s">
        <v>17</v>
      </c>
      <c r="U21" s="774">
        <f>H21</f>
        <v>100</v>
      </c>
      <c r="V21" s="773" t="s">
        <v>17</v>
      </c>
      <c r="W21" s="774">
        <f>J21</f>
        <v>100</v>
      </c>
      <c r="X21" s="1815"/>
      <c r="Y21" s="3154"/>
      <c r="Z21" s="1816" t="str">
        <f>Q21</f>
        <v>基础设施水平</v>
      </c>
      <c r="AA21" s="1813">
        <f t="shared" ref="AA21" si="8">D21/F21</f>
        <v>1</v>
      </c>
      <c r="AB21" s="1813">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218"/>
      <c r="Q22" s="1812"/>
      <c r="R22" s="773"/>
      <c r="S22" s="774"/>
      <c r="T22" s="773"/>
      <c r="U22" s="774"/>
      <c r="V22" s="773"/>
      <c r="W22" s="774"/>
      <c r="X22" s="1815"/>
      <c r="Y22" s="3154"/>
      <c r="Z22" s="1816"/>
      <c r="AA22" s="1813">
        <v>1</v>
      </c>
      <c r="AB22" s="1813">
        <v>1</v>
      </c>
      <c r="AC22" s="2676">
        <v>1</v>
      </c>
    </row>
    <row r="23" spans="1:29" ht="42.75">
      <c r="A23" s="427"/>
      <c r="B23" s="630" t="s">
        <v>2693</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18"/>
      <c r="Q23" s="1812" t="str">
        <f>B23</f>
        <v>环境质量</v>
      </c>
      <c r="R23" s="773" t="s">
        <v>17</v>
      </c>
      <c r="S23" s="774">
        <f>F23</f>
        <v>100</v>
      </c>
      <c r="T23" s="773" t="s">
        <v>17</v>
      </c>
      <c r="U23" s="774">
        <f>H23</f>
        <v>100</v>
      </c>
      <c r="V23" s="773" t="s">
        <v>17</v>
      </c>
      <c r="W23" s="774">
        <f>J23</f>
        <v>100</v>
      </c>
      <c r="X23" s="1815"/>
      <c r="Y23" s="3154"/>
      <c r="Z23" s="1816" t="str">
        <f>Q23</f>
        <v>环境质量</v>
      </c>
      <c r="AA23" s="1813">
        <f t="shared" si="3"/>
        <v>1</v>
      </c>
      <c r="AB23" s="1813">
        <f t="shared" si="4"/>
        <v>1</v>
      </c>
      <c r="AC23" s="2676">
        <f t="shared" si="5"/>
        <v>1</v>
      </c>
    </row>
    <row r="24" spans="1:29" ht="15">
      <c r="A24" s="427"/>
      <c r="B24" s="632"/>
      <c r="C24" s="2613"/>
      <c r="D24" s="447"/>
      <c r="E24" s="2606"/>
      <c r="F24" s="447"/>
      <c r="G24" s="2607"/>
      <c r="H24" s="447"/>
      <c r="I24" s="2607"/>
      <c r="J24" s="447"/>
      <c r="K24" s="614"/>
      <c r="L24" s="1141"/>
      <c r="M24" s="1132"/>
      <c r="N24" s="1132"/>
      <c r="O24" s="1132"/>
      <c r="P24" s="3218"/>
      <c r="Q24" s="1812"/>
      <c r="R24" s="773"/>
      <c r="S24" s="774"/>
      <c r="T24" s="773"/>
      <c r="U24" s="774"/>
      <c r="V24" s="773"/>
      <c r="W24" s="774"/>
      <c r="X24" s="1815"/>
      <c r="Y24" s="3154"/>
      <c r="Z24" s="1816"/>
      <c r="AA24" s="1813">
        <v>1</v>
      </c>
      <c r="AB24" s="1813">
        <v>1</v>
      </c>
      <c r="AC24" s="2676">
        <v>1</v>
      </c>
    </row>
    <row r="25" spans="1:29" ht="27">
      <c r="A25" s="403"/>
      <c r="B25" s="630" t="s">
        <v>2694</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218"/>
      <c r="Q25" s="1812" t="str">
        <f>B25</f>
        <v>毗邻道路的类型与等级</v>
      </c>
      <c r="R25" s="773" t="s">
        <v>17</v>
      </c>
      <c r="S25" s="774">
        <f>F25</f>
        <v>100</v>
      </c>
      <c r="T25" s="773" t="s">
        <v>17</v>
      </c>
      <c r="U25" s="774">
        <f>H25</f>
        <v>100</v>
      </c>
      <c r="V25" s="773" t="s">
        <v>17</v>
      </c>
      <c r="W25" s="774">
        <f>J25</f>
        <v>100</v>
      </c>
      <c r="X25" s="1815"/>
      <c r="Y25" s="3154"/>
      <c r="Z25" s="1816" t="str">
        <f>Q25</f>
        <v>毗邻道路的类型与等级</v>
      </c>
      <c r="AA25" s="1813">
        <f t="shared" si="3"/>
        <v>1</v>
      </c>
      <c r="AB25" s="1813">
        <f t="shared" si="4"/>
        <v>1</v>
      </c>
      <c r="AC25" s="2676">
        <f t="shared" si="5"/>
        <v>1</v>
      </c>
    </row>
    <row r="26" spans="1:29" ht="15">
      <c r="A26" s="403"/>
      <c r="B26" s="631"/>
      <c r="C26" s="633"/>
      <c r="D26" s="434"/>
      <c r="E26" s="615"/>
      <c r="F26" s="434"/>
      <c r="G26" s="633"/>
      <c r="H26" s="434"/>
      <c r="I26" s="615"/>
      <c r="J26" s="434"/>
      <c r="K26" s="614"/>
      <c r="L26" s="1141"/>
      <c r="M26" s="1132"/>
      <c r="N26" s="1132"/>
      <c r="O26" s="1132"/>
      <c r="P26" s="3218"/>
      <c r="Q26" s="1812"/>
      <c r="R26" s="773"/>
      <c r="S26" s="774"/>
      <c r="T26" s="773"/>
      <c r="U26" s="774"/>
      <c r="V26" s="773"/>
      <c r="W26" s="774"/>
      <c r="X26" s="1815"/>
      <c r="Y26" s="3154"/>
      <c r="Z26" s="1816"/>
      <c r="AA26" s="1813">
        <v>1</v>
      </c>
      <c r="AB26" s="1813">
        <v>1</v>
      </c>
      <c r="AC26" s="2676">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18"/>
      <c r="Q27" s="1812" t="str">
        <f t="shared" ref="Q27:Q47" si="11">B27</f>
        <v>楼层</v>
      </c>
      <c r="R27" s="773" t="s">
        <v>17</v>
      </c>
      <c r="S27" s="774">
        <f>F27</f>
        <v>100</v>
      </c>
      <c r="T27" s="773" t="s">
        <v>17</v>
      </c>
      <c r="U27" s="774">
        <f>H27</f>
        <v>100</v>
      </c>
      <c r="V27" s="773" t="s">
        <v>17</v>
      </c>
      <c r="W27" s="774">
        <f>J27</f>
        <v>100</v>
      </c>
      <c r="X27" s="1815"/>
      <c r="Y27" s="3154"/>
      <c r="Z27" s="1816" t="str">
        <f>Q27</f>
        <v>楼层</v>
      </c>
      <c r="AA27" s="1813">
        <f t="shared" si="3"/>
        <v>1</v>
      </c>
      <c r="AB27" s="1813">
        <f t="shared" si="4"/>
        <v>1</v>
      </c>
      <c r="AC27" s="2676">
        <f t="shared" si="5"/>
        <v>1</v>
      </c>
    </row>
    <row r="28" spans="1:29" s="117" customFormat="1" ht="15">
      <c r="A28" s="430"/>
      <c r="B28" s="630" t="s">
        <v>2695</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218"/>
      <c r="Q28" s="1797" t="str">
        <f t="shared" si="11"/>
        <v>朝向</v>
      </c>
      <c r="R28" s="769" t="s">
        <v>17</v>
      </c>
      <c r="S28" s="770">
        <f>F28</f>
        <v>100</v>
      </c>
      <c r="T28" s="769" t="s">
        <v>17</v>
      </c>
      <c r="U28" s="770">
        <f>H28</f>
        <v>100</v>
      </c>
      <c r="V28" s="769" t="s">
        <v>17</v>
      </c>
      <c r="W28" s="770">
        <f>J28</f>
        <v>100</v>
      </c>
      <c r="X28" s="771"/>
      <c r="Y28" s="3154"/>
      <c r="Z28" s="55" t="str">
        <f>Q28</f>
        <v>朝向</v>
      </c>
      <c r="AA28" s="1813">
        <f>D28/F28</f>
        <v>1</v>
      </c>
      <c r="AB28" s="1813">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218"/>
      <c r="Q29" s="1812">
        <f t="shared" si="11"/>
        <v>111</v>
      </c>
      <c r="R29" s="773" t="s">
        <v>17</v>
      </c>
      <c r="S29" s="774">
        <f t="shared" ref="S29:S47" si="12">F29</f>
        <v>100</v>
      </c>
      <c r="T29" s="773" t="s">
        <v>17</v>
      </c>
      <c r="U29" s="774">
        <f t="shared" ref="U29:U47" si="13">H29</f>
        <v>100</v>
      </c>
      <c r="V29" s="773" t="s">
        <v>17</v>
      </c>
      <c r="W29" s="774">
        <f t="shared" ref="W29:W47" si="14">J29</f>
        <v>100</v>
      </c>
      <c r="X29" s="1815"/>
      <c r="Y29" s="3154"/>
      <c r="Z29" s="1816">
        <f t="shared" ref="Z29:Z47" si="15">Q29</f>
        <v>111</v>
      </c>
      <c r="AA29" s="1813">
        <f t="shared" si="3"/>
        <v>1</v>
      </c>
      <c r="AB29" s="1813">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218"/>
      <c r="Q30" s="1812">
        <f t="shared" si="11"/>
        <v>111</v>
      </c>
      <c r="R30" s="773" t="s">
        <v>17</v>
      </c>
      <c r="S30" s="774">
        <f t="shared" si="12"/>
        <v>100</v>
      </c>
      <c r="T30" s="773" t="s">
        <v>17</v>
      </c>
      <c r="U30" s="774">
        <f t="shared" si="13"/>
        <v>100</v>
      </c>
      <c r="V30" s="773" t="s">
        <v>17</v>
      </c>
      <c r="W30" s="774">
        <f t="shared" si="14"/>
        <v>100</v>
      </c>
      <c r="X30" s="1815"/>
      <c r="Y30" s="3154"/>
      <c r="Z30" s="1816">
        <f t="shared" si="15"/>
        <v>111</v>
      </c>
      <c r="AA30" s="1813">
        <f t="shared" si="3"/>
        <v>1</v>
      </c>
      <c r="AB30" s="1813">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218"/>
      <c r="Q31" s="1812">
        <f t="shared" si="11"/>
        <v>111</v>
      </c>
      <c r="R31" s="773" t="s">
        <v>17</v>
      </c>
      <c r="S31" s="774">
        <f t="shared" si="12"/>
        <v>100</v>
      </c>
      <c r="T31" s="773" t="s">
        <v>17</v>
      </c>
      <c r="U31" s="774">
        <f t="shared" si="13"/>
        <v>100</v>
      </c>
      <c r="V31" s="773" t="s">
        <v>17</v>
      </c>
      <c r="W31" s="774">
        <f t="shared" si="14"/>
        <v>100</v>
      </c>
      <c r="X31" s="1815"/>
      <c r="Y31" s="3154"/>
      <c r="Z31" s="1816">
        <f t="shared" si="15"/>
        <v>111</v>
      </c>
      <c r="AA31" s="1813">
        <f t="shared" si="3"/>
        <v>1</v>
      </c>
      <c r="AB31" s="1813">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218"/>
      <c r="Q32" s="1812">
        <f t="shared" si="11"/>
        <v>111</v>
      </c>
      <c r="R32" s="773" t="s">
        <v>17</v>
      </c>
      <c r="S32" s="774">
        <f t="shared" si="12"/>
        <v>100</v>
      </c>
      <c r="T32" s="773" t="s">
        <v>17</v>
      </c>
      <c r="U32" s="774">
        <f t="shared" si="13"/>
        <v>100</v>
      </c>
      <c r="V32" s="773" t="s">
        <v>17</v>
      </c>
      <c r="W32" s="774">
        <f t="shared" si="14"/>
        <v>100</v>
      </c>
      <c r="X32" s="1815"/>
      <c r="Y32" s="3154"/>
      <c r="Z32" s="1816">
        <f t="shared" si="15"/>
        <v>111</v>
      </c>
      <c r="AA32" s="1813">
        <f t="shared" si="3"/>
        <v>1</v>
      </c>
      <c r="AB32" s="1813">
        <f t="shared" si="4"/>
        <v>1</v>
      </c>
      <c r="AC32" s="2676">
        <f t="shared" si="5"/>
        <v>1</v>
      </c>
    </row>
    <row r="33" spans="1:29" ht="15">
      <c r="A33" s="439" t="s">
        <v>2566</v>
      </c>
      <c r="B33" s="71" t="s">
        <v>2696</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214" t="s">
        <v>2568</v>
      </c>
      <c r="Q33" s="1812" t="str">
        <f t="shared" si="11"/>
        <v>建筑类型</v>
      </c>
      <c r="R33" s="773" t="s">
        <v>17</v>
      </c>
      <c r="S33" s="774">
        <f t="shared" si="12"/>
        <v>100</v>
      </c>
      <c r="T33" s="773" t="s">
        <v>17</v>
      </c>
      <c r="U33" s="774">
        <f t="shared" si="13"/>
        <v>100</v>
      </c>
      <c r="V33" s="773" t="s">
        <v>17</v>
      </c>
      <c r="W33" s="774">
        <f t="shared" si="14"/>
        <v>100</v>
      </c>
      <c r="X33" s="1815"/>
      <c r="Y33" s="3156" t="s">
        <v>2568</v>
      </c>
      <c r="Z33" s="1816" t="str">
        <f t="shared" si="15"/>
        <v>建筑类型</v>
      </c>
      <c r="AA33" s="1813">
        <f t="shared" si="3"/>
        <v>1</v>
      </c>
      <c r="AB33" s="1813">
        <f t="shared" si="4"/>
        <v>1</v>
      </c>
      <c r="AC33" s="2676">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15"/>
      <c r="Q34" s="775" t="str">
        <f t="shared" si="11"/>
        <v>项目建筑规模</v>
      </c>
      <c r="R34" s="776" t="s">
        <v>17</v>
      </c>
      <c r="S34" s="777" t="e">
        <f t="shared" si="12"/>
        <v>#N/A</v>
      </c>
      <c r="T34" s="776" t="s">
        <v>17</v>
      </c>
      <c r="U34" s="777" t="e">
        <f t="shared" si="13"/>
        <v>#N/A</v>
      </c>
      <c r="V34" s="776" t="s">
        <v>17</v>
      </c>
      <c r="W34" s="777" t="e">
        <f t="shared" si="14"/>
        <v>#N/A</v>
      </c>
      <c r="X34" s="778"/>
      <c r="Y34" s="3156"/>
      <c r="Z34" s="779" t="str">
        <f t="shared" si="15"/>
        <v>项目建筑规模</v>
      </c>
      <c r="AA34" s="1813" t="e">
        <f t="shared" si="3"/>
        <v>#N/A</v>
      </c>
      <c r="AB34" s="1813" t="e">
        <f t="shared" si="4"/>
        <v>#N/A</v>
      </c>
      <c r="AC34" s="2676"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15"/>
      <c r="Q35" s="1812" t="str">
        <f t="shared" si="11"/>
        <v>建筑结构</v>
      </c>
      <c r="R35" s="773" t="s">
        <v>17</v>
      </c>
      <c r="S35" s="774">
        <f t="shared" si="12"/>
        <v>100</v>
      </c>
      <c r="T35" s="773" t="s">
        <v>17</v>
      </c>
      <c r="U35" s="774">
        <f t="shared" si="13"/>
        <v>100</v>
      </c>
      <c r="V35" s="773" t="s">
        <v>17</v>
      </c>
      <c r="W35" s="774">
        <f t="shared" si="14"/>
        <v>100</v>
      </c>
      <c r="X35" s="1815"/>
      <c r="Y35" s="3156"/>
      <c r="Z35" s="1816" t="str">
        <f t="shared" si="15"/>
        <v>建筑结构</v>
      </c>
      <c r="AA35" s="1813">
        <f t="shared" si="3"/>
        <v>1</v>
      </c>
      <c r="AB35" s="1813">
        <f t="shared" si="4"/>
        <v>1</v>
      </c>
      <c r="AC35" s="2676">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15"/>
      <c r="Q36" s="1812" t="str">
        <f t="shared" si="11"/>
        <v>公共部分装修</v>
      </c>
      <c r="R36" s="773" t="s">
        <v>17</v>
      </c>
      <c r="S36" s="774">
        <f t="shared" si="12"/>
        <v>100</v>
      </c>
      <c r="T36" s="773" t="s">
        <v>17</v>
      </c>
      <c r="U36" s="774">
        <f t="shared" si="13"/>
        <v>100</v>
      </c>
      <c r="V36" s="773" t="s">
        <v>17</v>
      </c>
      <c r="W36" s="774">
        <f t="shared" si="14"/>
        <v>100</v>
      </c>
      <c r="X36" s="1815"/>
      <c r="Y36" s="3156"/>
      <c r="Z36" s="1816" t="str">
        <f t="shared" si="15"/>
        <v>公共部分装修</v>
      </c>
      <c r="AA36" s="1813">
        <f t="shared" si="3"/>
        <v>1</v>
      </c>
      <c r="AB36" s="1813">
        <f t="shared" si="4"/>
        <v>1</v>
      </c>
      <c r="AC36" s="2676">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15"/>
      <c r="Q37" s="1812" t="str">
        <f t="shared" si="11"/>
        <v>成新度</v>
      </c>
      <c r="R37" s="773" t="s">
        <v>17</v>
      </c>
      <c r="S37" s="774" t="e">
        <f t="shared" si="12"/>
        <v>#N/A</v>
      </c>
      <c r="T37" s="773" t="s">
        <v>17</v>
      </c>
      <c r="U37" s="774" t="e">
        <f t="shared" si="13"/>
        <v>#N/A</v>
      </c>
      <c r="V37" s="773" t="s">
        <v>17</v>
      </c>
      <c r="W37" s="774" t="e">
        <f t="shared" si="14"/>
        <v>#N/A</v>
      </c>
      <c r="X37" s="1815"/>
      <c r="Y37" s="3156"/>
      <c r="Z37" s="1816" t="str">
        <f t="shared" si="15"/>
        <v>成新度</v>
      </c>
      <c r="AA37" s="1813" t="e">
        <f t="shared" si="3"/>
        <v>#N/A</v>
      </c>
      <c r="AB37" s="1813" t="e">
        <f t="shared" si="4"/>
        <v>#N/A</v>
      </c>
      <c r="AC37" s="2676" t="e">
        <f t="shared" si="5"/>
        <v>#N/A</v>
      </c>
    </row>
    <row r="38" spans="1:29" s="117"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15"/>
      <c r="Q38" s="1797" t="str">
        <f t="shared" si="11"/>
        <v>写字楼等级</v>
      </c>
      <c r="R38" s="769" t="s">
        <v>17</v>
      </c>
      <c r="S38" s="770">
        <f t="shared" si="12"/>
        <v>100</v>
      </c>
      <c r="T38" s="769" t="s">
        <v>17</v>
      </c>
      <c r="U38" s="770">
        <f t="shared" si="13"/>
        <v>100</v>
      </c>
      <c r="V38" s="769" t="s">
        <v>17</v>
      </c>
      <c r="W38" s="770">
        <f t="shared" si="14"/>
        <v>100</v>
      </c>
      <c r="X38" s="771"/>
      <c r="Y38" s="3156"/>
      <c r="Z38" s="55" t="str">
        <f t="shared" si="15"/>
        <v>写字楼等级</v>
      </c>
      <c r="AA38" s="772">
        <f t="shared" si="3"/>
        <v>1</v>
      </c>
      <c r="AB38" s="772">
        <f t="shared" si="4"/>
        <v>1</v>
      </c>
      <c r="AC38" s="2673">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15" t="s">
        <v>2568</v>
      </c>
      <c r="Q39" s="1812" t="str">
        <f t="shared" si="11"/>
        <v>物业管理</v>
      </c>
      <c r="R39" s="773" t="s">
        <v>17</v>
      </c>
      <c r="S39" s="774">
        <f t="shared" si="12"/>
        <v>100</v>
      </c>
      <c r="T39" s="773" t="s">
        <v>17</v>
      </c>
      <c r="U39" s="774">
        <f t="shared" si="13"/>
        <v>100</v>
      </c>
      <c r="V39" s="773" t="s">
        <v>17</v>
      </c>
      <c r="W39" s="774">
        <f t="shared" si="14"/>
        <v>100</v>
      </c>
      <c r="X39" s="1815"/>
      <c r="Y39" s="3156" t="s">
        <v>2568</v>
      </c>
      <c r="Z39" s="1816" t="str">
        <f t="shared" si="15"/>
        <v>物业管理</v>
      </c>
      <c r="AA39" s="1813">
        <f t="shared" si="3"/>
        <v>1</v>
      </c>
      <c r="AB39" s="1813">
        <f t="shared" si="4"/>
        <v>1</v>
      </c>
      <c r="AC39" s="2676">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15"/>
      <c r="Q40" s="1812" t="str">
        <f t="shared" si="11"/>
        <v>市政基础设施</v>
      </c>
      <c r="R40" s="773" t="s">
        <v>17</v>
      </c>
      <c r="S40" s="774">
        <f t="shared" si="12"/>
        <v>100</v>
      </c>
      <c r="T40" s="773" t="s">
        <v>17</v>
      </c>
      <c r="U40" s="774">
        <f t="shared" si="13"/>
        <v>100</v>
      </c>
      <c r="V40" s="773" t="s">
        <v>17</v>
      </c>
      <c r="W40" s="774">
        <f t="shared" si="14"/>
        <v>100</v>
      </c>
      <c r="X40" s="1815"/>
      <c r="Y40" s="3156"/>
      <c r="Z40" s="1816" t="str">
        <f t="shared" si="15"/>
        <v>市政基础设施</v>
      </c>
      <c r="AA40" s="1813">
        <f t="shared" si="3"/>
        <v>1</v>
      </c>
      <c r="AB40" s="1813">
        <f t="shared" si="4"/>
        <v>1</v>
      </c>
      <c r="AC40" s="2676">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15"/>
      <c r="Q41" s="1812" t="str">
        <f t="shared" si="11"/>
        <v>层高</v>
      </c>
      <c r="R41" s="773" t="s">
        <v>17</v>
      </c>
      <c r="S41" s="774">
        <f t="shared" si="12"/>
        <v>100</v>
      </c>
      <c r="T41" s="773" t="s">
        <v>17</v>
      </c>
      <c r="U41" s="774">
        <f t="shared" si="13"/>
        <v>100</v>
      </c>
      <c r="V41" s="773" t="s">
        <v>17</v>
      </c>
      <c r="W41" s="774">
        <f t="shared" si="14"/>
        <v>100</v>
      </c>
      <c r="X41" s="1815"/>
      <c r="Y41" s="3156"/>
      <c r="Z41" s="1816" t="str">
        <f t="shared" si="15"/>
        <v>层高</v>
      </c>
      <c r="AA41" s="1813">
        <f t="shared" si="3"/>
        <v>1</v>
      </c>
      <c r="AB41" s="1813">
        <f t="shared" si="4"/>
        <v>1</v>
      </c>
      <c r="AC41" s="2676">
        <f t="shared" si="5"/>
        <v>1</v>
      </c>
    </row>
    <row r="42" spans="1:29" s="470" customFormat="1" ht="15">
      <c r="A42" s="467"/>
      <c r="B42" s="1814"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15"/>
      <c r="Q42" s="775" t="str">
        <f t="shared" si="11"/>
        <v>单套建筑面积</v>
      </c>
      <c r="R42" s="776" t="s">
        <v>17</v>
      </c>
      <c r="S42" s="777">
        <f t="shared" si="12"/>
        <v>100</v>
      </c>
      <c r="T42" s="776" t="s">
        <v>17</v>
      </c>
      <c r="U42" s="777">
        <f t="shared" si="13"/>
        <v>100</v>
      </c>
      <c r="V42" s="776" t="s">
        <v>17</v>
      </c>
      <c r="W42" s="777">
        <f t="shared" si="14"/>
        <v>100</v>
      </c>
      <c r="X42" s="778"/>
      <c r="Y42" s="3156"/>
      <c r="Z42" s="779" t="str">
        <f t="shared" si="15"/>
        <v>单套建筑面积</v>
      </c>
      <c r="AA42" s="1813">
        <f t="shared" si="3"/>
        <v>1</v>
      </c>
      <c r="AB42" s="1813">
        <f t="shared" si="4"/>
        <v>1</v>
      </c>
      <c r="AC42" s="2676">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15"/>
      <c r="Q43" s="1812" t="str">
        <f t="shared" si="11"/>
        <v>内部装修</v>
      </c>
      <c r="R43" s="773" t="s">
        <v>17</v>
      </c>
      <c r="S43" s="774">
        <f t="shared" si="12"/>
        <v>100</v>
      </c>
      <c r="T43" s="773" t="s">
        <v>17</v>
      </c>
      <c r="U43" s="774">
        <f t="shared" si="13"/>
        <v>100</v>
      </c>
      <c r="V43" s="773" t="s">
        <v>17</v>
      </c>
      <c r="W43" s="774">
        <f t="shared" si="14"/>
        <v>100</v>
      </c>
      <c r="X43" s="1815"/>
      <c r="Y43" s="3156"/>
      <c r="Z43" s="1816" t="str">
        <f t="shared" si="15"/>
        <v>内部装修</v>
      </c>
      <c r="AA43" s="1813">
        <f t="shared" si="3"/>
        <v>1</v>
      </c>
      <c r="AB43" s="1813">
        <f t="shared" si="4"/>
        <v>1</v>
      </c>
      <c r="AC43" s="2676">
        <f t="shared" si="5"/>
        <v>1</v>
      </c>
    </row>
    <row r="44" spans="1:29" ht="15">
      <c r="A44" s="471"/>
      <c r="B44" s="421" t="s">
        <v>2579</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215"/>
      <c r="Q44" s="1812" t="str">
        <f t="shared" si="11"/>
        <v>内部装修维护情况</v>
      </c>
      <c r="R44" s="773" t="s">
        <v>17</v>
      </c>
      <c r="S44" s="774">
        <f t="shared" si="12"/>
        <v>100</v>
      </c>
      <c r="T44" s="773" t="s">
        <v>17</v>
      </c>
      <c r="U44" s="774">
        <f t="shared" si="13"/>
        <v>100</v>
      </c>
      <c r="V44" s="773" t="s">
        <v>17</v>
      </c>
      <c r="W44" s="774">
        <f t="shared" si="14"/>
        <v>100</v>
      </c>
      <c r="X44" s="1815"/>
      <c r="Y44" s="3156"/>
      <c r="Z44" s="1816" t="str">
        <f t="shared" si="15"/>
        <v>内部装修维护情况</v>
      </c>
      <c r="AA44" s="1813">
        <f t="shared" si="3"/>
        <v>1</v>
      </c>
      <c r="AB44" s="1813">
        <f t="shared" si="4"/>
        <v>1</v>
      </c>
      <c r="AC44" s="2676">
        <f t="shared" si="5"/>
        <v>1</v>
      </c>
    </row>
    <row r="45" spans="1:29" s="117"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15"/>
      <c r="Q45" s="1797">
        <f t="shared" si="11"/>
        <v>111</v>
      </c>
      <c r="R45" s="769" t="s">
        <v>17</v>
      </c>
      <c r="S45" s="770">
        <f t="shared" si="12"/>
        <v>100</v>
      </c>
      <c r="T45" s="769" t="s">
        <v>17</v>
      </c>
      <c r="U45" s="770">
        <f t="shared" si="13"/>
        <v>100</v>
      </c>
      <c r="V45" s="769" t="s">
        <v>17</v>
      </c>
      <c r="W45" s="770">
        <f t="shared" si="14"/>
        <v>100</v>
      </c>
      <c r="X45" s="771"/>
      <c r="Y45" s="3156"/>
      <c r="Z45" s="55">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15"/>
      <c r="Q46" s="1812">
        <f t="shared" si="11"/>
        <v>111</v>
      </c>
      <c r="R46" s="773" t="s">
        <v>17</v>
      </c>
      <c r="S46" s="774">
        <f t="shared" si="12"/>
        <v>100</v>
      </c>
      <c r="T46" s="773" t="s">
        <v>17</v>
      </c>
      <c r="U46" s="774">
        <f t="shared" si="13"/>
        <v>100</v>
      </c>
      <c r="V46" s="773" t="s">
        <v>17</v>
      </c>
      <c r="W46" s="774">
        <f t="shared" si="14"/>
        <v>100</v>
      </c>
      <c r="X46" s="1815"/>
      <c r="Y46" s="3156"/>
      <c r="Z46" s="1816">
        <f t="shared" si="15"/>
        <v>111</v>
      </c>
      <c r="AA46" s="1813">
        <f t="shared" si="3"/>
        <v>1</v>
      </c>
      <c r="AB46" s="1813">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16"/>
      <c r="Q47" s="1812">
        <f t="shared" si="11"/>
        <v>111</v>
      </c>
      <c r="R47" s="773" t="s">
        <v>17</v>
      </c>
      <c r="S47" s="774">
        <f t="shared" si="12"/>
        <v>100</v>
      </c>
      <c r="T47" s="773" t="s">
        <v>17</v>
      </c>
      <c r="U47" s="774">
        <f t="shared" si="13"/>
        <v>100</v>
      </c>
      <c r="V47" s="773" t="s">
        <v>17</v>
      </c>
      <c r="W47" s="774">
        <f t="shared" si="14"/>
        <v>100</v>
      </c>
      <c r="X47" s="1815"/>
      <c r="Y47" s="3157"/>
      <c r="Z47" s="1816">
        <f t="shared" si="15"/>
        <v>111</v>
      </c>
      <c r="AA47" s="1813">
        <f t="shared" si="3"/>
        <v>1</v>
      </c>
      <c r="AB47" s="1813">
        <f t="shared" si="4"/>
        <v>1</v>
      </c>
      <c r="AC47" s="2676">
        <f t="shared" si="5"/>
        <v>1</v>
      </c>
    </row>
    <row r="48" spans="1:29" ht="15">
      <c r="A48" s="478" t="s">
        <v>2580</v>
      </c>
      <c r="B48" s="479"/>
      <c r="C48" s="1408" t="s">
        <v>1</v>
      </c>
      <c r="D48" s="1409"/>
      <c r="E48" s="1410"/>
      <c r="F48" s="1411"/>
      <c r="G48" s="1412"/>
      <c r="H48" s="1413"/>
      <c r="I48" s="1410"/>
      <c r="J48" s="484"/>
      <c r="K48" s="782"/>
      <c r="L48" s="1144"/>
      <c r="M48" s="1132"/>
      <c r="N48" s="1132"/>
      <c r="O48" s="1132"/>
      <c r="P48" s="3219" t="str">
        <f>A48</f>
        <v>成交单价（元/平方米）</v>
      </c>
      <c r="Q48" s="3148"/>
      <c r="R48" s="3149">
        <f>E48</f>
        <v>0</v>
      </c>
      <c r="S48" s="3149"/>
      <c r="T48" s="3149">
        <f>G48</f>
        <v>0</v>
      </c>
      <c r="U48" s="3149"/>
      <c r="V48" s="3149">
        <f>I48</f>
        <v>0</v>
      </c>
      <c r="W48" s="3149"/>
      <c r="X48" s="445"/>
      <c r="Y48" s="780"/>
      <c r="Z48" s="445"/>
      <c r="AA48" s="445"/>
      <c r="AB48" s="445"/>
      <c r="AC48" s="629"/>
    </row>
    <row r="49" spans="1:29" ht="15.75" thickBot="1">
      <c r="A49" s="485" t="s">
        <v>2672</v>
      </c>
      <c r="B49" s="486"/>
      <c r="C49" s="1414" t="e">
        <f>R50</f>
        <v>#DIV/0!</v>
      </c>
      <c r="D49" s="1415"/>
      <c r="E49" s="1416" t="e">
        <f>R49</f>
        <v>#DIV/0!</v>
      </c>
      <c r="F49" s="1416"/>
      <c r="G49" s="1414" t="e">
        <f>T49</f>
        <v>#DIV/0!</v>
      </c>
      <c r="H49" s="1415"/>
      <c r="I49" s="1416" t="e">
        <f>V49</f>
        <v>#DIV/0!</v>
      </c>
      <c r="J49" s="488"/>
      <c r="K49" s="783"/>
      <c r="L49" s="1144"/>
      <c r="M49" s="1132"/>
      <c r="N49" s="1132"/>
      <c r="O49" s="1132"/>
      <c r="P49" s="3219" t="str">
        <f>A49</f>
        <v>比较价值（元/平方米）</v>
      </c>
      <c r="Q49" s="3148"/>
      <c r="R49" s="3149" t="e">
        <f>IF(F1="售价",ROUND(PRODUCT(R48,AA7:AA47),0),ROUND(PRODUCT(R48,AA7:AA47),1))</f>
        <v>#DIV/0!</v>
      </c>
      <c r="S49" s="3149"/>
      <c r="T49" s="3149" t="e">
        <f>IF(F1="售价",ROUND(PRODUCT(T48,AB7:AB47),0),ROUND(PRODUCT(T48,AB7:AB47),1))</f>
        <v>#DIV/0!</v>
      </c>
      <c r="U49" s="3149"/>
      <c r="V49" s="3149" t="e">
        <f>IF(F1="售价",ROUND(PRODUCT(V48,AC7:AC47),0),ROUND(PRODUCT(V48,AC7:AC47),1))</f>
        <v>#DIV/0!</v>
      </c>
      <c r="W49" s="3149"/>
      <c r="X49" s="445"/>
      <c r="Y49" s="445"/>
      <c r="Z49" s="445"/>
      <c r="AA49" s="445"/>
      <c r="AB49" s="445"/>
      <c r="AC49" s="629"/>
    </row>
    <row r="50" spans="1:29" ht="15.75" thickBot="1">
      <c r="A50" s="491" t="s">
        <v>2673</v>
      </c>
      <c r="B50" s="492"/>
      <c r="C50" s="1418" t="e">
        <f>R50</f>
        <v>#DIV/0!</v>
      </c>
      <c r="D50" s="1418"/>
      <c r="E50" s="1418"/>
      <c r="F50" s="1418"/>
      <c r="G50" s="1418"/>
      <c r="H50" s="1418"/>
      <c r="I50" s="1418"/>
      <c r="J50" s="493"/>
      <c r="K50" s="784"/>
      <c r="L50" s="1144"/>
      <c r="M50" s="1132"/>
      <c r="N50" s="1132"/>
      <c r="O50" s="1132"/>
      <c r="P50" s="3223" t="str">
        <f>A50</f>
        <v>估价对象XX用房的比较价值（楼面单价，元/平方米）</v>
      </c>
      <c r="Q50" s="3224"/>
      <c r="R50" s="3225" t="e">
        <f>IF(F1="售价",ROUND(AVERAGE(R49:V49),0),ROUND(AVERAGE(R49:V49),1))</f>
        <v>#DIV/0!</v>
      </c>
      <c r="S50" s="3225"/>
      <c r="T50" s="3225"/>
      <c r="U50" s="3225"/>
      <c r="V50" s="3225"/>
      <c r="W50" s="3225"/>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2677</v>
      </c>
      <c r="B58" s="758"/>
      <c r="C58" s="763"/>
      <c r="D58" s="763"/>
      <c r="E58" s="763"/>
      <c r="F58" s="764"/>
      <c r="G58" s="764"/>
      <c r="H58" s="763"/>
      <c r="I58" s="763"/>
      <c r="J58" s="763"/>
      <c r="K58" s="765"/>
      <c r="L58" s="1162"/>
      <c r="M58" s="1160"/>
      <c r="N58" s="1160"/>
      <c r="O58" s="1160"/>
      <c r="P58" s="2683"/>
      <c r="Q58" s="503"/>
    </row>
    <row r="59" spans="1:29" s="507" customFormat="1" ht="15">
      <c r="A59" s="504" t="s">
        <v>2551</v>
      </c>
      <c r="B59" s="505"/>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7" customFormat="1" ht="15">
      <c r="A60" s="508"/>
      <c r="B60" s="509"/>
      <c r="C60" s="1575">
        <v>100</v>
      </c>
      <c r="D60" s="511"/>
      <c r="E60" s="511"/>
      <c r="F60" s="511"/>
      <c r="G60" s="511"/>
      <c r="H60" s="511"/>
      <c r="I60" s="511"/>
      <c r="J60" s="511"/>
      <c r="K60" s="511"/>
      <c r="L60" s="511"/>
      <c r="M60" s="512"/>
      <c r="N60" s="511"/>
      <c r="O60" s="512"/>
      <c r="P60" s="2684"/>
    </row>
    <row r="61" spans="1:29" s="117" customFormat="1" ht="15.75" thickBot="1">
      <c r="A61" s="514" t="s">
        <v>2588</v>
      </c>
      <c r="B61" s="515"/>
      <c r="C61" s="516"/>
      <c r="D61" s="517"/>
      <c r="E61" s="517"/>
      <c r="F61" s="517"/>
      <c r="G61" s="517"/>
      <c r="H61" s="517"/>
      <c r="I61" s="517"/>
      <c r="J61" s="517"/>
      <c r="K61" s="517"/>
      <c r="L61" s="517"/>
      <c r="M61" s="518"/>
      <c r="N61" s="517"/>
      <c r="O61" s="518"/>
      <c r="P61" s="2684"/>
      <c r="Q61" s="503"/>
    </row>
    <row r="62" spans="1:29" s="117" customFormat="1" ht="15">
      <c r="A62" s="520" t="s">
        <v>2553</v>
      </c>
      <c r="B62" s="509"/>
      <c r="C62" s="521" t="s">
        <v>2655</v>
      </c>
      <c r="D62" s="522"/>
      <c r="E62" s="522"/>
      <c r="F62" s="522"/>
      <c r="G62" s="522"/>
      <c r="H62" s="522"/>
      <c r="I62" s="522"/>
      <c r="J62" s="522"/>
      <c r="K62" s="522"/>
      <c r="L62" s="523"/>
      <c r="M62" s="524"/>
      <c r="N62" s="1152"/>
      <c r="O62" s="1152"/>
      <c r="P62" s="2685"/>
      <c r="Q62" s="503"/>
    </row>
    <row r="63" spans="1:29" s="117"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2591</v>
      </c>
      <c r="B64" s="527" t="s">
        <v>2557</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2692</v>
      </c>
      <c r="C83" s="659" t="s">
        <v>2678</v>
      </c>
      <c r="D83" s="659" t="s">
        <v>2679</v>
      </c>
      <c r="E83" s="659" t="s">
        <v>2680</v>
      </c>
      <c r="F83" s="659" t="s">
        <v>2681</v>
      </c>
      <c r="G83" s="659" t="s">
        <v>2682</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7" customFormat="1" ht="27.75" thickTop="1">
      <c r="A87" s="578"/>
      <c r="B87" s="537" t="s">
        <v>2702</v>
      </c>
      <c r="C87" s="553"/>
      <c r="D87" s="553"/>
      <c r="E87" s="553"/>
      <c r="F87" s="553"/>
      <c r="G87" s="553"/>
      <c r="H87" s="553"/>
      <c r="I87" s="553"/>
      <c r="J87" s="553"/>
      <c r="K87" s="553"/>
      <c r="L87" s="579"/>
      <c r="M87" s="580"/>
      <c r="N87" s="1152"/>
      <c r="O87" s="1152"/>
      <c r="P87" s="268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7"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2566</v>
      </c>
      <c r="B101" s="527" t="s">
        <v>2615</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2617</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2619</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2703</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2620</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2621</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2704</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2687</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2623</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2710</v>
      </c>
      <c r="B1" s="1621"/>
      <c r="C1" s="1622" t="s">
        <v>2533</v>
      </c>
      <c r="D1" s="1623"/>
      <c r="E1" s="1624"/>
      <c r="F1" s="2586"/>
      <c r="G1" s="1625" t="s">
        <v>2646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2330</v>
      </c>
      <c r="B2" s="1419" t="e">
        <f ca="1">IF(C2="——",IF(B37="元/平方米",ROUND(C39*D3/10000,0),ROUND(F3*C39/10000,0)),IF(B37="元/平方米",ROUND(C39*D3/10000,0),ROUND(F3*C39/10000,0))-D2)</f>
        <v>#DIV/0!</v>
      </c>
      <c r="C2" s="2588"/>
      <c r="D2" s="1125" t="e">
        <f ca="1">SUMIF(INDIRECT("'"&amp;F2&amp;"'"&amp;"!A:A"),"承租人权益价值",INDIRECT("'"&amp;F2&amp;"'"&amp;"!c:c"))</f>
        <v>#REF!</v>
      </c>
      <c r="E2" s="2589" t="s">
        <v>2331</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2648</v>
      </c>
      <c r="B4" s="401"/>
      <c r="C4" s="3161" t="s">
        <v>2649</v>
      </c>
      <c r="D4" s="3162"/>
      <c r="E4" s="3163" t="s">
        <v>2650</v>
      </c>
      <c r="F4" s="3164"/>
      <c r="G4" s="3161" t="s">
        <v>2651</v>
      </c>
      <c r="H4" s="3162"/>
      <c r="I4" s="3161" t="s">
        <v>2652</v>
      </c>
      <c r="J4" s="3162"/>
      <c r="K4" s="609" t="s">
        <v>2653</v>
      </c>
      <c r="L4" s="1131"/>
      <c r="M4" s="1132"/>
      <c r="N4" s="1132"/>
      <c r="O4" s="1132"/>
      <c r="P4" s="3165" t="s">
        <v>2654</v>
      </c>
      <c r="Q4" s="3166"/>
      <c r="R4" s="3171" t="s">
        <v>2650</v>
      </c>
      <c r="S4" s="3172"/>
      <c r="T4" s="3171" t="s">
        <v>2651</v>
      </c>
      <c r="U4" s="3172"/>
      <c r="V4" s="3177" t="s">
        <v>2652</v>
      </c>
      <c r="W4" s="3177"/>
      <c r="X4" s="1815"/>
      <c r="Y4" s="3171" t="s">
        <v>2654</v>
      </c>
      <c r="Z4" s="3172"/>
      <c r="AA4" s="3158" t="s">
        <v>2650</v>
      </c>
      <c r="AB4" s="3159" t="s">
        <v>2651</v>
      </c>
      <c r="AC4" s="3158" t="s">
        <v>2652</v>
      </c>
    </row>
    <row r="5" spans="1:29" ht="15">
      <c r="A5" s="403"/>
      <c r="B5" s="404"/>
      <c r="C5" s="3220" t="s">
        <v>2545</v>
      </c>
      <c r="D5" s="3221"/>
      <c r="E5" s="3222" t="s">
        <v>2546</v>
      </c>
      <c r="F5" s="3181"/>
      <c r="G5" s="3220" t="s">
        <v>2547</v>
      </c>
      <c r="H5" s="3221"/>
      <c r="I5" s="3220" t="s">
        <v>2548</v>
      </c>
      <c r="J5" s="3221"/>
      <c r="K5" s="609"/>
      <c r="L5" s="1131"/>
      <c r="M5" s="1132"/>
      <c r="N5" s="1132"/>
      <c r="O5" s="1132"/>
      <c r="P5" s="3167"/>
      <c r="Q5" s="3168"/>
      <c r="R5" s="3173"/>
      <c r="S5" s="3174"/>
      <c r="T5" s="3173"/>
      <c r="U5" s="3174"/>
      <c r="V5" s="3177"/>
      <c r="W5" s="3177"/>
      <c r="X5" s="1815"/>
      <c r="Y5" s="3173"/>
      <c r="Z5" s="3174"/>
      <c r="AA5" s="3159"/>
      <c r="AB5" s="3159"/>
      <c r="AC5" s="3159"/>
    </row>
    <row r="6" spans="1:29" ht="15.75" thickBot="1">
      <c r="A6" s="405"/>
      <c r="B6" s="406"/>
      <c r="C6" s="3178" t="s">
        <v>2549</v>
      </c>
      <c r="D6" s="3179"/>
      <c r="E6" s="3185" t="s">
        <v>2549</v>
      </c>
      <c r="F6" s="3186"/>
      <c r="G6" s="3178" t="s">
        <v>2549</v>
      </c>
      <c r="H6" s="3179"/>
      <c r="I6" s="3178" t="s">
        <v>2549</v>
      </c>
      <c r="J6" s="3179"/>
      <c r="K6" s="609" t="s">
        <v>2550</v>
      </c>
      <c r="L6" s="1131"/>
      <c r="M6" s="1132"/>
      <c r="N6" s="1132"/>
      <c r="O6" s="1132"/>
      <c r="P6" s="3169"/>
      <c r="Q6" s="3170"/>
      <c r="R6" s="3173"/>
      <c r="S6" s="3174"/>
      <c r="T6" s="3175"/>
      <c r="U6" s="3176"/>
      <c r="V6" s="3177"/>
      <c r="W6" s="3177"/>
      <c r="X6" s="1815"/>
      <c r="Y6" s="3175"/>
      <c r="Z6" s="3176"/>
      <c r="AA6" s="3160"/>
      <c r="AB6" s="3160"/>
      <c r="AC6" s="3160"/>
    </row>
    <row r="7" spans="1:29" s="117" customFormat="1" ht="15.75" thickBot="1">
      <c r="A7" s="407" t="s">
        <v>2551</v>
      </c>
      <c r="B7" s="408"/>
      <c r="C7" s="409">
        <f>'数据-取费表'!B2</f>
        <v>43061</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82" t="s">
        <v>2552</v>
      </c>
      <c r="Q7" s="3184"/>
      <c r="R7" s="769" t="s">
        <v>17</v>
      </c>
      <c r="S7" s="770">
        <f t="shared" ref="S7:S14" si="0">F7</f>
        <v>0</v>
      </c>
      <c r="T7" s="769" t="s">
        <v>17</v>
      </c>
      <c r="U7" s="770">
        <f t="shared" ref="U7:U14" si="1">H7</f>
        <v>0</v>
      </c>
      <c r="V7" s="769" t="s">
        <v>17</v>
      </c>
      <c r="W7" s="770">
        <f t="shared" ref="W7:W14" si="2">J7</f>
        <v>0</v>
      </c>
      <c r="X7" s="771"/>
      <c r="Y7" s="3182" t="s">
        <v>2552</v>
      </c>
      <c r="Z7" s="3183"/>
      <c r="AA7" s="772" t="e">
        <f>D7/F7</f>
        <v>#DIV/0!</v>
      </c>
      <c r="AB7" s="772" t="e">
        <f>D7/H7</f>
        <v>#DIV/0!</v>
      </c>
      <c r="AC7" s="772" t="e">
        <f>D7/J7</f>
        <v>#DIV/0!</v>
      </c>
    </row>
    <row r="8" spans="1:29" s="117"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82" t="s">
        <v>2555</v>
      </c>
      <c r="Q8" s="3183"/>
      <c r="R8" s="769" t="s">
        <v>17</v>
      </c>
      <c r="S8" s="770">
        <f t="shared" si="0"/>
        <v>0</v>
      </c>
      <c r="T8" s="769" t="s">
        <v>17</v>
      </c>
      <c r="U8" s="770">
        <f t="shared" si="1"/>
        <v>0</v>
      </c>
      <c r="V8" s="769" t="s">
        <v>17</v>
      </c>
      <c r="W8" s="770">
        <f t="shared" si="2"/>
        <v>0</v>
      </c>
      <c r="X8" s="771"/>
      <c r="Y8" s="3182" t="s">
        <v>2555</v>
      </c>
      <c r="Z8" s="3183"/>
      <c r="AA8" s="772" t="e">
        <f t="shared" ref="AA8:AA36" si="3">D8/F8</f>
        <v>#DIV/0!</v>
      </c>
      <c r="AB8" s="772" t="e">
        <f t="shared" ref="AB8:AB36" si="4">D8/H8</f>
        <v>#DIV/0!</v>
      </c>
      <c r="AC8" s="772" t="e">
        <f t="shared" ref="AC8:AC36" si="5">D8/J8</f>
        <v>#DIV/0!</v>
      </c>
    </row>
    <row r="9" spans="1:29" s="117"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48" t="s">
        <v>2558</v>
      </c>
      <c r="Q9" s="1797" t="str">
        <f t="shared" ref="Q9:Q14" si="6">B9</f>
        <v>用途</v>
      </c>
      <c r="R9" s="769" t="s">
        <v>17</v>
      </c>
      <c r="S9" s="770">
        <f t="shared" si="0"/>
        <v>100</v>
      </c>
      <c r="T9" s="769" t="s">
        <v>17</v>
      </c>
      <c r="U9" s="770">
        <f t="shared" si="1"/>
        <v>100</v>
      </c>
      <c r="V9" s="769" t="s">
        <v>17</v>
      </c>
      <c r="W9" s="770">
        <f t="shared" si="2"/>
        <v>100</v>
      </c>
      <c r="X9" s="771"/>
      <c r="Y9" s="2983" t="s">
        <v>2559</v>
      </c>
      <c r="Z9" s="55" t="str">
        <f t="shared" ref="Z9:Z14" si="7">Q9</f>
        <v>用途</v>
      </c>
      <c r="AA9" s="772">
        <f t="shared" si="3"/>
        <v>1</v>
      </c>
      <c r="AB9" s="772">
        <f t="shared" si="4"/>
        <v>1</v>
      </c>
      <c r="AC9" s="772">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48"/>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48"/>
      <c r="Q11" s="1797">
        <f t="shared" si="6"/>
        <v>111</v>
      </c>
      <c r="R11" s="769" t="s">
        <v>17</v>
      </c>
      <c r="S11" s="770">
        <f t="shared" si="0"/>
        <v>100</v>
      </c>
      <c r="T11" s="769" t="s">
        <v>17</v>
      </c>
      <c r="U11" s="770">
        <f t="shared" si="1"/>
        <v>100</v>
      </c>
      <c r="V11" s="769" t="s">
        <v>17</v>
      </c>
      <c r="W11" s="770">
        <f t="shared" si="2"/>
        <v>100</v>
      </c>
      <c r="X11" s="771"/>
      <c r="Y11" s="298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48"/>
      <c r="Q12" s="1797">
        <f t="shared" si="6"/>
        <v>111</v>
      </c>
      <c r="R12" s="769" t="s">
        <v>17</v>
      </c>
      <c r="S12" s="770">
        <f t="shared" si="0"/>
        <v>100</v>
      </c>
      <c r="T12" s="769" t="s">
        <v>17</v>
      </c>
      <c r="U12" s="770">
        <f t="shared" si="1"/>
        <v>100</v>
      </c>
      <c r="V12" s="769" t="s">
        <v>17</v>
      </c>
      <c r="W12" s="770">
        <f t="shared" si="2"/>
        <v>100</v>
      </c>
      <c r="X12" s="771"/>
      <c r="Y12" s="298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48"/>
      <c r="Q13" s="1797">
        <f t="shared" si="6"/>
        <v>111</v>
      </c>
      <c r="R13" s="769" t="s">
        <v>17</v>
      </c>
      <c r="S13" s="770">
        <f t="shared" si="0"/>
        <v>100</v>
      </c>
      <c r="T13" s="769" t="s">
        <v>17</v>
      </c>
      <c r="U13" s="770">
        <f t="shared" si="1"/>
        <v>100</v>
      </c>
      <c r="V13" s="769" t="s">
        <v>17</v>
      </c>
      <c r="W13" s="770">
        <f t="shared" si="2"/>
        <v>100</v>
      </c>
      <c r="X13" s="771"/>
      <c r="Y13" s="2983"/>
      <c r="Z13" s="55">
        <f t="shared" si="7"/>
        <v>111</v>
      </c>
      <c r="AA13" s="772">
        <f t="shared" si="3"/>
        <v>1</v>
      </c>
      <c r="AB13" s="772">
        <f t="shared" si="4"/>
        <v>1</v>
      </c>
      <c r="AC13" s="772">
        <f t="shared" si="5"/>
        <v>1</v>
      </c>
    </row>
    <row r="14" spans="1:29" ht="85.5">
      <c r="A14" s="400" t="s">
        <v>2562</v>
      </c>
      <c r="B14" s="628" t="s">
        <v>2712</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53" t="s">
        <v>2563</v>
      </c>
      <c r="Q14" s="1812" t="str">
        <f t="shared" si="6"/>
        <v>交通便捷度</v>
      </c>
      <c r="R14" s="773" t="s">
        <v>17</v>
      </c>
      <c r="S14" s="774">
        <f t="shared" si="0"/>
        <v>100</v>
      </c>
      <c r="T14" s="773" t="s">
        <v>17</v>
      </c>
      <c r="U14" s="774">
        <f t="shared" si="1"/>
        <v>100</v>
      </c>
      <c r="V14" s="773" t="s">
        <v>17</v>
      </c>
      <c r="W14" s="774">
        <f t="shared" si="2"/>
        <v>100</v>
      </c>
      <c r="X14" s="1815"/>
      <c r="Y14" s="3153" t="s">
        <v>2563</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1"/>
      <c r="M15" s="1132"/>
      <c r="N15" s="1132"/>
      <c r="O15" s="1132"/>
      <c r="P15" s="3154"/>
      <c r="Q15" s="1812"/>
      <c r="R15" s="773"/>
      <c r="S15" s="774"/>
      <c r="T15" s="773"/>
      <c r="U15" s="774"/>
      <c r="V15" s="773"/>
      <c r="W15" s="774"/>
      <c r="X15" s="1815"/>
      <c r="Y15" s="3154"/>
      <c r="Z15" s="1816"/>
      <c r="AA15" s="1813">
        <v>1</v>
      </c>
      <c r="AB15" s="1813">
        <v>1</v>
      </c>
      <c r="AC15" s="1813">
        <v>1</v>
      </c>
    </row>
    <row r="16" spans="1:29" ht="42.75">
      <c r="A16" s="403"/>
      <c r="B16" s="630" t="s">
        <v>2691</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54"/>
      <c r="Q16" s="1812" t="str">
        <f>B16</f>
        <v>公共配套设施</v>
      </c>
      <c r="R16" s="773" t="s">
        <v>17</v>
      </c>
      <c r="S16" s="774">
        <f>F16</f>
        <v>100</v>
      </c>
      <c r="T16" s="773" t="s">
        <v>17</v>
      </c>
      <c r="U16" s="774">
        <f>H16</f>
        <v>100</v>
      </c>
      <c r="V16" s="773" t="s">
        <v>17</v>
      </c>
      <c r="W16" s="774">
        <f>J16</f>
        <v>100</v>
      </c>
      <c r="X16" s="1815"/>
      <c r="Y16" s="3154"/>
      <c r="Z16" s="1816" t="str">
        <f>Q16</f>
        <v>公共配套设施</v>
      </c>
      <c r="AA16" s="1813">
        <f t="shared" si="3"/>
        <v>1</v>
      </c>
      <c r="AB16" s="1813">
        <f t="shared" si="4"/>
        <v>1</v>
      </c>
      <c r="AC16" s="1813">
        <f t="shared" si="5"/>
        <v>1</v>
      </c>
    </row>
    <row r="17" spans="1:29" ht="15">
      <c r="A17" s="403"/>
      <c r="B17" s="631"/>
      <c r="C17" s="2610"/>
      <c r="D17" s="447"/>
      <c r="E17" s="446"/>
      <c r="F17" s="448"/>
      <c r="G17" s="446"/>
      <c r="H17" s="447"/>
      <c r="I17" s="446"/>
      <c r="J17" s="447"/>
      <c r="K17" s="614"/>
      <c r="L17" s="1141"/>
      <c r="M17" s="1132"/>
      <c r="N17" s="1132"/>
      <c r="O17" s="1132"/>
      <c r="P17" s="3154"/>
      <c r="Q17" s="1812"/>
      <c r="R17" s="773"/>
      <c r="S17" s="774"/>
      <c r="T17" s="773"/>
      <c r="U17" s="774"/>
      <c r="V17" s="773"/>
      <c r="W17" s="774"/>
      <c r="X17" s="1815"/>
      <c r="Y17" s="3154"/>
      <c r="Z17" s="1816"/>
      <c r="AA17" s="1813">
        <v>1</v>
      </c>
      <c r="AB17" s="1813">
        <v>1</v>
      </c>
      <c r="AC17" s="1813">
        <v>1</v>
      </c>
    </row>
    <row r="18" spans="1:29" ht="28.5">
      <c r="A18" s="403"/>
      <c r="B18" s="632" t="s">
        <v>2692</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54"/>
      <c r="Q18" s="1812" t="str">
        <f>B18</f>
        <v>基础设施水平</v>
      </c>
      <c r="R18" s="773" t="s">
        <v>17</v>
      </c>
      <c r="S18" s="774">
        <f>F18</f>
        <v>100</v>
      </c>
      <c r="T18" s="773" t="s">
        <v>17</v>
      </c>
      <c r="U18" s="774">
        <f>H18</f>
        <v>100</v>
      </c>
      <c r="V18" s="773" t="s">
        <v>17</v>
      </c>
      <c r="W18" s="774">
        <f>J18</f>
        <v>100</v>
      </c>
      <c r="X18" s="1815"/>
      <c r="Y18" s="3154"/>
      <c r="Z18" s="1816" t="str">
        <f>Q18</f>
        <v>基础设施水平</v>
      </c>
      <c r="AA18" s="1813">
        <f t="shared" ref="AA18" si="8">D18/F18</f>
        <v>1</v>
      </c>
      <c r="AB18" s="1813">
        <f t="shared" ref="AB18" si="9">D18/H18</f>
        <v>1</v>
      </c>
      <c r="AC18" s="1813">
        <f t="shared" ref="AC18" si="10">D18/J18</f>
        <v>1</v>
      </c>
    </row>
    <row r="19" spans="1:29" ht="15">
      <c r="A19" s="403"/>
      <c r="B19" s="632"/>
      <c r="C19" s="2610"/>
      <c r="D19" s="449"/>
      <c r="E19" s="2610"/>
      <c r="F19" s="452"/>
      <c r="G19" s="2610"/>
      <c r="H19" s="447"/>
      <c r="I19" s="446"/>
      <c r="J19" s="447"/>
      <c r="K19" s="1384"/>
      <c r="L19" s="1141"/>
      <c r="M19" s="1132"/>
      <c r="N19" s="1132"/>
      <c r="O19" s="1132"/>
      <c r="P19" s="3154"/>
      <c r="Q19" s="1812"/>
      <c r="R19" s="773"/>
      <c r="S19" s="774"/>
      <c r="T19" s="773"/>
      <c r="U19" s="774"/>
      <c r="V19" s="773"/>
      <c r="W19" s="774"/>
      <c r="X19" s="1815"/>
      <c r="Y19" s="3154"/>
      <c r="Z19" s="1816"/>
      <c r="AA19" s="1813">
        <v>1</v>
      </c>
      <c r="AB19" s="1813">
        <v>1</v>
      </c>
      <c r="AC19" s="1813">
        <v>1</v>
      </c>
    </row>
    <row r="20" spans="1:29" ht="57">
      <c r="A20" s="403"/>
      <c r="B20" s="630" t="s">
        <v>2713</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54"/>
      <c r="Q20" s="1812" t="str">
        <f>B20</f>
        <v>自然及人文环境</v>
      </c>
      <c r="R20" s="773" t="s">
        <v>17</v>
      </c>
      <c r="S20" s="774">
        <f>F20</f>
        <v>100</v>
      </c>
      <c r="T20" s="773" t="s">
        <v>17</v>
      </c>
      <c r="U20" s="774">
        <f>H20</f>
        <v>100</v>
      </c>
      <c r="V20" s="773" t="s">
        <v>17</v>
      </c>
      <c r="W20" s="774">
        <f>J20</f>
        <v>100</v>
      </c>
      <c r="X20" s="1815"/>
      <c r="Y20" s="3154"/>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1"/>
      <c r="M21" s="1132"/>
      <c r="N21" s="1132"/>
      <c r="O21" s="1132"/>
      <c r="P21" s="3154"/>
      <c r="Q21" s="1812"/>
      <c r="R21" s="773"/>
      <c r="S21" s="774"/>
      <c r="T21" s="773"/>
      <c r="U21" s="774"/>
      <c r="V21" s="773"/>
      <c r="W21" s="774"/>
      <c r="X21" s="1815"/>
      <c r="Y21" s="3154"/>
      <c r="Z21" s="1816"/>
      <c r="AA21" s="1813">
        <v>1</v>
      </c>
      <c r="AB21" s="1813">
        <v>1</v>
      </c>
      <c r="AC21" s="1813">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54"/>
      <c r="Q22" s="1812" t="str">
        <f>B22</f>
        <v>楼层</v>
      </c>
      <c r="R22" s="773" t="s">
        <v>17</v>
      </c>
      <c r="S22" s="774">
        <f>F22</f>
        <v>100</v>
      </c>
      <c r="T22" s="773" t="s">
        <v>17</v>
      </c>
      <c r="U22" s="774">
        <f>H22</f>
        <v>100</v>
      </c>
      <c r="V22" s="773" t="s">
        <v>17</v>
      </c>
      <c r="W22" s="774">
        <f>J22</f>
        <v>100</v>
      </c>
      <c r="X22" s="1815"/>
      <c r="Y22" s="3154"/>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54"/>
      <c r="Q23" s="1812">
        <f>B23</f>
        <v>111</v>
      </c>
      <c r="R23" s="773" t="s">
        <v>17</v>
      </c>
      <c r="S23" s="774">
        <f>F23</f>
        <v>100</v>
      </c>
      <c r="T23" s="773" t="s">
        <v>17</v>
      </c>
      <c r="U23" s="774">
        <f>H23</f>
        <v>100</v>
      </c>
      <c r="V23" s="773" t="s">
        <v>17</v>
      </c>
      <c r="W23" s="774">
        <f>J23</f>
        <v>100</v>
      </c>
      <c r="X23" s="1815"/>
      <c r="Y23" s="3154"/>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54"/>
      <c r="Q24" s="1812">
        <f t="shared" ref="Q24:Q36" si="11">B24</f>
        <v>111</v>
      </c>
      <c r="R24" s="773" t="s">
        <v>17</v>
      </c>
      <c r="S24" s="774">
        <f>F24</f>
        <v>100</v>
      </c>
      <c r="T24" s="773" t="s">
        <v>17</v>
      </c>
      <c r="U24" s="774">
        <f>H24</f>
        <v>100</v>
      </c>
      <c r="V24" s="773" t="s">
        <v>17</v>
      </c>
      <c r="W24" s="774">
        <f>J24</f>
        <v>100</v>
      </c>
      <c r="X24" s="1815"/>
      <c r="Y24" s="3154"/>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54"/>
      <c r="Q25" s="1797">
        <f t="shared" si="11"/>
        <v>111</v>
      </c>
      <c r="R25" s="769" t="s">
        <v>17</v>
      </c>
      <c r="S25" s="770">
        <f>F25</f>
        <v>100</v>
      </c>
      <c r="T25" s="769" t="s">
        <v>17</v>
      </c>
      <c r="U25" s="770">
        <f>H25</f>
        <v>100</v>
      </c>
      <c r="V25" s="769" t="s">
        <v>17</v>
      </c>
      <c r="W25" s="770">
        <f>J25</f>
        <v>100</v>
      </c>
      <c r="X25" s="771"/>
      <c r="Y25" s="3154"/>
      <c r="Z25" s="55">
        <f>Q25</f>
        <v>111</v>
      </c>
      <c r="AA25" s="1813">
        <f>D25/F25</f>
        <v>1</v>
      </c>
      <c r="AB25" s="1813">
        <f>D25/H25</f>
        <v>1</v>
      </c>
      <c r="AC25" s="1813">
        <f>D25/J25</f>
        <v>1</v>
      </c>
    </row>
    <row r="26" spans="1:29" ht="15">
      <c r="A26" s="651" t="s">
        <v>2566</v>
      </c>
      <c r="B26" s="70" t="s">
        <v>2715</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155" t="s">
        <v>2568</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56" t="s">
        <v>2568</v>
      </c>
      <c r="Z26" s="1816" t="str">
        <f t="shared" ref="Z26:Z36" si="15">Q26</f>
        <v>配套类型</v>
      </c>
      <c r="AA26" s="1813">
        <f t="shared" si="3"/>
        <v>1</v>
      </c>
      <c r="AB26" s="1813">
        <f t="shared" si="4"/>
        <v>1</v>
      </c>
      <c r="AC26" s="1813">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56"/>
      <c r="Q27" s="775" t="str">
        <f t="shared" si="11"/>
        <v>项目停车位配比</v>
      </c>
      <c r="R27" s="776" t="s">
        <v>17</v>
      </c>
      <c r="S27" s="777">
        <f t="shared" si="12"/>
        <v>100</v>
      </c>
      <c r="T27" s="776" t="s">
        <v>17</v>
      </c>
      <c r="U27" s="777">
        <f t="shared" si="13"/>
        <v>100</v>
      </c>
      <c r="V27" s="776" t="s">
        <v>17</v>
      </c>
      <c r="W27" s="777">
        <f t="shared" si="14"/>
        <v>100</v>
      </c>
      <c r="X27" s="778"/>
      <c r="Y27" s="3156"/>
      <c r="Z27" s="779" t="str">
        <f t="shared" si="15"/>
        <v>项目停车位配比</v>
      </c>
      <c r="AA27" s="1813">
        <f t="shared" si="3"/>
        <v>1</v>
      </c>
      <c r="AB27" s="1813">
        <f t="shared" si="4"/>
        <v>1</v>
      </c>
      <c r="AC27" s="1813">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56"/>
      <c r="Q28" s="1812" t="str">
        <f t="shared" si="11"/>
        <v>公共部分装修</v>
      </c>
      <c r="R28" s="773" t="s">
        <v>17</v>
      </c>
      <c r="S28" s="774">
        <f t="shared" si="12"/>
        <v>100</v>
      </c>
      <c r="T28" s="773" t="s">
        <v>17</v>
      </c>
      <c r="U28" s="774">
        <f t="shared" si="13"/>
        <v>100</v>
      </c>
      <c r="V28" s="773" t="s">
        <v>17</v>
      </c>
      <c r="W28" s="774">
        <f t="shared" si="14"/>
        <v>100</v>
      </c>
      <c r="X28" s="1815"/>
      <c r="Y28" s="3156"/>
      <c r="Z28" s="1816" t="str">
        <f t="shared" si="15"/>
        <v>公共部分装修</v>
      </c>
      <c r="AA28" s="1813">
        <f t="shared" si="3"/>
        <v>1</v>
      </c>
      <c r="AB28" s="1813">
        <f t="shared" si="4"/>
        <v>1</v>
      </c>
      <c r="AC28" s="1813">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56"/>
      <c r="Q29" s="1812" t="str">
        <f t="shared" si="11"/>
        <v>成新率</v>
      </c>
      <c r="R29" s="773" t="s">
        <v>17</v>
      </c>
      <c r="S29" s="774" t="e">
        <f t="shared" si="12"/>
        <v>#N/A</v>
      </c>
      <c r="T29" s="773" t="s">
        <v>17</v>
      </c>
      <c r="U29" s="774" t="e">
        <f t="shared" si="13"/>
        <v>#N/A</v>
      </c>
      <c r="V29" s="773" t="s">
        <v>17</v>
      </c>
      <c r="W29" s="774" t="e">
        <f t="shared" si="14"/>
        <v>#N/A</v>
      </c>
      <c r="X29" s="1815"/>
      <c r="Y29" s="3156"/>
      <c r="Z29" s="1816" t="str">
        <f t="shared" si="15"/>
        <v>成新率</v>
      </c>
      <c r="AA29" s="1813" t="e">
        <f t="shared" si="3"/>
        <v>#N/A</v>
      </c>
      <c r="AB29" s="1813" t="e">
        <f t="shared" si="4"/>
        <v>#N/A</v>
      </c>
      <c r="AC29" s="1813"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56"/>
      <c r="Q30" s="1812" t="str">
        <f t="shared" si="11"/>
        <v>物业等级</v>
      </c>
      <c r="R30" s="773" t="s">
        <v>17</v>
      </c>
      <c r="S30" s="774">
        <f t="shared" si="12"/>
        <v>100</v>
      </c>
      <c r="T30" s="773" t="s">
        <v>17</v>
      </c>
      <c r="U30" s="774">
        <f t="shared" si="13"/>
        <v>100</v>
      </c>
      <c r="V30" s="773" t="s">
        <v>17</v>
      </c>
      <c r="W30" s="774">
        <f t="shared" si="14"/>
        <v>100</v>
      </c>
      <c r="X30" s="1815"/>
      <c r="Y30" s="3156"/>
      <c r="Z30" s="1816" t="str">
        <f t="shared" si="15"/>
        <v>物业等级</v>
      </c>
      <c r="AA30" s="1813">
        <f t="shared" si="3"/>
        <v>1</v>
      </c>
      <c r="AB30" s="1813">
        <f t="shared" si="4"/>
        <v>1</v>
      </c>
      <c r="AC30" s="1813">
        <f t="shared" si="5"/>
        <v>1</v>
      </c>
    </row>
    <row r="31" spans="1:29" s="117"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56"/>
      <c r="Q31" s="1797" t="str">
        <f t="shared" si="11"/>
        <v>停车位面积</v>
      </c>
      <c r="R31" s="769" t="s">
        <v>17</v>
      </c>
      <c r="S31" s="770" t="e">
        <f t="shared" si="12"/>
        <v>#N/A</v>
      </c>
      <c r="T31" s="769" t="s">
        <v>17</v>
      </c>
      <c r="U31" s="770" t="e">
        <f t="shared" si="13"/>
        <v>#N/A</v>
      </c>
      <c r="V31" s="769" t="s">
        <v>17</v>
      </c>
      <c r="W31" s="770" t="e">
        <f t="shared" si="14"/>
        <v>#N/A</v>
      </c>
      <c r="X31" s="771"/>
      <c r="Y31" s="3156"/>
      <c r="Z31" s="55" t="str">
        <f t="shared" si="15"/>
        <v>停车位面积</v>
      </c>
      <c r="AA31" s="772" t="e">
        <f t="shared" si="3"/>
        <v>#N/A</v>
      </c>
      <c r="AB31" s="772" t="e">
        <f t="shared" si="4"/>
        <v>#N/A</v>
      </c>
      <c r="AC31" s="772"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56" t="s">
        <v>2568</v>
      </c>
      <c r="Q32" s="1812" t="str">
        <f t="shared" si="11"/>
        <v>车位类型</v>
      </c>
      <c r="R32" s="773" t="s">
        <v>17</v>
      </c>
      <c r="S32" s="774">
        <f t="shared" si="12"/>
        <v>100</v>
      </c>
      <c r="T32" s="773" t="s">
        <v>17</v>
      </c>
      <c r="U32" s="774">
        <f t="shared" si="13"/>
        <v>100</v>
      </c>
      <c r="V32" s="773" t="s">
        <v>17</v>
      </c>
      <c r="W32" s="774">
        <f t="shared" si="14"/>
        <v>100</v>
      </c>
      <c r="X32" s="1815"/>
      <c r="Y32" s="3156" t="s">
        <v>2568</v>
      </c>
      <c r="Z32" s="1816" t="str">
        <f t="shared" si="15"/>
        <v>车位类型</v>
      </c>
      <c r="AA32" s="1813">
        <f t="shared" si="3"/>
        <v>1</v>
      </c>
      <c r="AB32" s="1813">
        <f t="shared" si="4"/>
        <v>1</v>
      </c>
      <c r="AC32" s="1813">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56"/>
      <c r="Q33" s="1812" t="str">
        <f t="shared" si="11"/>
        <v>是否直接入户</v>
      </c>
      <c r="R33" s="773" t="s">
        <v>17</v>
      </c>
      <c r="S33" s="774">
        <f t="shared" si="12"/>
        <v>100</v>
      </c>
      <c r="T33" s="773" t="s">
        <v>17</v>
      </c>
      <c r="U33" s="774">
        <f t="shared" si="13"/>
        <v>100</v>
      </c>
      <c r="V33" s="773" t="s">
        <v>17</v>
      </c>
      <c r="W33" s="774">
        <f t="shared" si="14"/>
        <v>100</v>
      </c>
      <c r="X33" s="1815"/>
      <c r="Y33" s="3156"/>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56"/>
      <c r="Q34" s="1812">
        <f t="shared" si="11"/>
        <v>111</v>
      </c>
      <c r="R34" s="773" t="s">
        <v>17</v>
      </c>
      <c r="S34" s="774">
        <f t="shared" si="12"/>
        <v>100</v>
      </c>
      <c r="T34" s="773" t="s">
        <v>17</v>
      </c>
      <c r="U34" s="774">
        <f t="shared" si="13"/>
        <v>100</v>
      </c>
      <c r="V34" s="773" t="s">
        <v>17</v>
      </c>
      <c r="W34" s="774">
        <f t="shared" si="14"/>
        <v>100</v>
      </c>
      <c r="X34" s="1815"/>
      <c r="Y34" s="3156"/>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56"/>
      <c r="Q35" s="775">
        <f t="shared" si="11"/>
        <v>111</v>
      </c>
      <c r="R35" s="776" t="s">
        <v>17</v>
      </c>
      <c r="S35" s="777">
        <f t="shared" si="12"/>
        <v>100</v>
      </c>
      <c r="T35" s="776" t="s">
        <v>17</v>
      </c>
      <c r="U35" s="777">
        <f t="shared" si="13"/>
        <v>100</v>
      </c>
      <c r="V35" s="776" t="s">
        <v>17</v>
      </c>
      <c r="W35" s="777">
        <f t="shared" si="14"/>
        <v>100</v>
      </c>
      <c r="X35" s="778"/>
      <c r="Y35" s="3156"/>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56"/>
      <c r="Q36" s="1812">
        <f t="shared" si="11"/>
        <v>111</v>
      </c>
      <c r="R36" s="773" t="s">
        <v>17</v>
      </c>
      <c r="S36" s="774">
        <f t="shared" si="12"/>
        <v>100</v>
      </c>
      <c r="T36" s="773" t="s">
        <v>17</v>
      </c>
      <c r="U36" s="774">
        <f t="shared" si="13"/>
        <v>100</v>
      </c>
      <c r="V36" s="773" t="s">
        <v>17</v>
      </c>
      <c r="W36" s="774">
        <f t="shared" si="14"/>
        <v>100</v>
      </c>
      <c r="X36" s="1815"/>
      <c r="Y36" s="3156"/>
      <c r="Z36" s="1816">
        <f t="shared" si="15"/>
        <v>111</v>
      </c>
      <c r="AA36" s="1813">
        <f t="shared" si="3"/>
        <v>1</v>
      </c>
      <c r="AB36" s="1813">
        <f t="shared" si="4"/>
        <v>1</v>
      </c>
      <c r="AC36" s="1813">
        <f t="shared" si="5"/>
        <v>1</v>
      </c>
    </row>
    <row r="37" spans="1:29" ht="15">
      <c r="A37" s="478" t="s">
        <v>2723</v>
      </c>
      <c r="B37" s="2697" t="s">
        <v>2724</v>
      </c>
      <c r="C37" s="1408" t="s">
        <v>1</v>
      </c>
      <c r="D37" s="1409"/>
      <c r="E37" s="1410"/>
      <c r="F37" s="1411"/>
      <c r="G37" s="1412"/>
      <c r="H37" s="1413"/>
      <c r="I37" s="1410"/>
      <c r="J37" s="1413"/>
      <c r="K37" s="618"/>
      <c r="L37" s="1144"/>
      <c r="M37" s="1145"/>
      <c r="N37" s="1132"/>
      <c r="O37" s="1145"/>
      <c r="P37" s="3148" t="str">
        <f>A37</f>
        <v>成交单价</v>
      </c>
      <c r="Q37" s="3148"/>
      <c r="R37" s="3149">
        <f>E37</f>
        <v>0</v>
      </c>
      <c r="S37" s="3149"/>
      <c r="T37" s="3149">
        <f>G37</f>
        <v>0</v>
      </c>
      <c r="U37" s="3149"/>
      <c r="V37" s="3149">
        <f>I37</f>
        <v>0</v>
      </c>
      <c r="W37" s="3149"/>
      <c r="X37" s="758"/>
      <c r="Y37" s="780"/>
      <c r="Z37" s="758"/>
      <c r="AA37" s="758"/>
      <c r="AB37" s="758"/>
      <c r="AC37" s="758"/>
    </row>
    <row r="38" spans="1:29" ht="15.75" thickBot="1">
      <c r="A38" s="485" t="s">
        <v>2725</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48" t="str">
        <f>A38</f>
        <v>比较价值（元/平方米）</v>
      </c>
      <c r="Q38" s="3148"/>
      <c r="R38" s="3149" t="e">
        <f>IF(F1="售价",ROUND(PRODUCT(R37,AA7:AA36),0),ROUND(PRODUCT(R37,AA7:AA36),1))</f>
        <v>#DIV/0!</v>
      </c>
      <c r="S38" s="3149"/>
      <c r="T38" s="3149" t="e">
        <f>IF(F1="售价",ROUND(PRODUCT(T37,AB7:AB36),0),ROUND(PRODUCT(T37,AB7:AB36),1))</f>
        <v>#DIV/0!</v>
      </c>
      <c r="U38" s="3149"/>
      <c r="V38" s="3149" t="e">
        <f>IF(F1="售价",ROUND(PRODUCT(V37,AC7:AC36),0),ROUND(PRODUCT(V37,AC7:AC36),1))</f>
        <v>#DIV/0!</v>
      </c>
      <c r="W38" s="3149"/>
      <c r="X38" s="758"/>
      <c r="Y38" s="758"/>
      <c r="Z38" s="758"/>
      <c r="AA38" s="758"/>
      <c r="AB38" s="758"/>
      <c r="AC38" s="758"/>
    </row>
    <row r="39" spans="1:29" ht="15.75" thickBot="1">
      <c r="A39" s="491" t="s">
        <v>2726</v>
      </c>
      <c r="B39" s="492"/>
      <c r="C39" s="1418" t="e">
        <f>R39</f>
        <v>#DIV/0!</v>
      </c>
      <c r="D39" s="1418"/>
      <c r="E39" s="1418"/>
      <c r="F39" s="1418"/>
      <c r="G39" s="1418"/>
      <c r="H39" s="1418"/>
      <c r="I39" s="1418"/>
      <c r="J39" s="1418"/>
      <c r="K39" s="620"/>
      <c r="L39" s="1144"/>
      <c r="M39" s="1145"/>
      <c r="N39" s="1145"/>
      <c r="O39" s="1145"/>
      <c r="P39" s="3150" t="str">
        <f>A39</f>
        <v>估价对象XX用房的比较价值（楼面单价，元/平方米）</v>
      </c>
      <c r="Q39" s="3151"/>
      <c r="R39" s="3152" t="e">
        <f>IF(F1="售价",ROUND(AVERAGE(R38:V38),0),ROUND(AVERAGE(R38:V38),1))</f>
        <v>#DIV/0!</v>
      </c>
      <c r="S39" s="3152"/>
      <c r="T39" s="3152"/>
      <c r="U39" s="3152"/>
      <c r="V39" s="3152"/>
      <c r="W39" s="3152"/>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2730</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2731</v>
      </c>
      <c r="B48" s="505"/>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39"/>
      <c r="Q48" s="1440"/>
      <c r="R48" s="1440"/>
      <c r="S48" s="1440"/>
      <c r="T48" s="1440"/>
      <c r="U48" s="1440"/>
      <c r="V48" s="1440"/>
      <c r="W48" s="1440"/>
      <c r="X48" s="1440"/>
      <c r="Y48" s="1440"/>
      <c r="Z48" s="1440"/>
      <c r="AA48" s="1440"/>
      <c r="AB48" s="1440"/>
      <c r="AC48" s="1440"/>
    </row>
    <row r="49" spans="1:29" s="117" customFormat="1" ht="15">
      <c r="A49" s="508"/>
      <c r="B49" s="509"/>
      <c r="C49" s="1568">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2588</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2553</v>
      </c>
      <c r="B51" s="509"/>
      <c r="C51" s="521" t="s">
        <v>2655</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2591</v>
      </c>
      <c r="B53" s="527" t="s">
        <v>2557</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2606</v>
      </c>
      <c r="C65" s="577" t="s">
        <v>2600</v>
      </c>
      <c r="D65" s="577" t="s">
        <v>2601</v>
      </c>
      <c r="E65" s="577" t="s">
        <v>2602</v>
      </c>
      <c r="F65" s="577" t="s">
        <v>2603</v>
      </c>
      <c r="G65" s="577" t="s">
        <v>2604</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2692</v>
      </c>
      <c r="C67" s="659" t="s">
        <v>2678</v>
      </c>
      <c r="D67" s="659" t="s">
        <v>2679</v>
      </c>
      <c r="E67" s="659" t="s">
        <v>2680</v>
      </c>
      <c r="F67" s="659" t="s">
        <v>2681</v>
      </c>
      <c r="G67" s="659" t="s">
        <v>2682</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2612</v>
      </c>
      <c r="C69" s="577" t="s">
        <v>2600</v>
      </c>
      <c r="D69" s="577" t="s">
        <v>2601</v>
      </c>
      <c r="E69" s="577" t="s">
        <v>2602</v>
      </c>
      <c r="F69" s="577" t="s">
        <v>2603</v>
      </c>
      <c r="G69" s="577" t="s">
        <v>2604</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2732</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2566</v>
      </c>
      <c r="B79" s="527" t="s">
        <v>2733</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2734</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2619</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2736</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2738</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2739</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2710</v>
      </c>
      <c r="B1" s="1621"/>
      <c r="C1" s="1622" t="s">
        <v>2533</v>
      </c>
      <c r="D1" s="1623"/>
      <c r="E1" s="1632"/>
      <c r="F1" s="2586"/>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19" t="e">
        <f ca="1">IF(C2="——",ROUND(C37*D3/10000,0),ROUND(C37*D3/10000,0)-D2)</f>
        <v>#DIV/0!</v>
      </c>
      <c r="C2" s="2588"/>
      <c r="D2" s="1125" t="e">
        <f ca="1">SUMIF(INDIRECT("'"&amp;F2&amp;"'"&amp;"!A:A"),"承租人权益价值",INDIRECT("'"&amp;F2&amp;"'"&amp;"!c:c"))</f>
        <v>#REF!</v>
      </c>
      <c r="E2" s="2589" t="s">
        <v>2331</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2647</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2648</v>
      </c>
      <c r="B4" s="401"/>
      <c r="C4" s="3161" t="s">
        <v>2649</v>
      </c>
      <c r="D4" s="3162"/>
      <c r="E4" s="3163" t="s">
        <v>2650</v>
      </c>
      <c r="F4" s="3164"/>
      <c r="G4" s="3161" t="s">
        <v>2651</v>
      </c>
      <c r="H4" s="3162"/>
      <c r="I4" s="3161" t="s">
        <v>2652</v>
      </c>
      <c r="J4" s="3162"/>
      <c r="K4" s="609" t="s">
        <v>2653</v>
      </c>
      <c r="L4" s="1131"/>
      <c r="M4" s="1132"/>
      <c r="N4" s="1132"/>
      <c r="O4" s="1132"/>
      <c r="P4" s="3165" t="s">
        <v>2654</v>
      </c>
      <c r="Q4" s="3166"/>
      <c r="R4" s="3171" t="s">
        <v>2650</v>
      </c>
      <c r="S4" s="3172"/>
      <c r="T4" s="3171" t="s">
        <v>2651</v>
      </c>
      <c r="U4" s="3172"/>
      <c r="V4" s="3177" t="s">
        <v>2652</v>
      </c>
      <c r="W4" s="3177"/>
      <c r="X4" s="1815"/>
      <c r="Y4" s="3171" t="s">
        <v>2654</v>
      </c>
      <c r="Z4" s="3172"/>
      <c r="AA4" s="3158" t="s">
        <v>2650</v>
      </c>
      <c r="AB4" s="3159" t="s">
        <v>2651</v>
      </c>
      <c r="AC4" s="3158" t="s">
        <v>2652</v>
      </c>
    </row>
    <row r="5" spans="1:29" ht="15">
      <c r="A5" s="403"/>
      <c r="B5" s="404"/>
      <c r="C5" s="3220" t="s">
        <v>2545</v>
      </c>
      <c r="D5" s="3221"/>
      <c r="E5" s="3222" t="s">
        <v>2546</v>
      </c>
      <c r="F5" s="3181"/>
      <c r="G5" s="3220" t="s">
        <v>2547</v>
      </c>
      <c r="H5" s="3221"/>
      <c r="I5" s="3220" t="s">
        <v>2548</v>
      </c>
      <c r="J5" s="3221"/>
      <c r="K5" s="609"/>
      <c r="L5" s="1131"/>
      <c r="M5" s="1132"/>
      <c r="N5" s="1132"/>
      <c r="O5" s="1132"/>
      <c r="P5" s="3167"/>
      <c r="Q5" s="3168"/>
      <c r="R5" s="3173"/>
      <c r="S5" s="3174"/>
      <c r="T5" s="3173"/>
      <c r="U5" s="3174"/>
      <c r="V5" s="3177"/>
      <c r="W5" s="3177"/>
      <c r="X5" s="1815"/>
      <c r="Y5" s="3173"/>
      <c r="Z5" s="3174"/>
      <c r="AA5" s="3159"/>
      <c r="AB5" s="3159"/>
      <c r="AC5" s="3159"/>
    </row>
    <row r="6" spans="1:29" ht="15.75" thickBot="1">
      <c r="A6" s="405"/>
      <c r="B6" s="406"/>
      <c r="C6" s="3178" t="s">
        <v>2549</v>
      </c>
      <c r="D6" s="3179"/>
      <c r="E6" s="3185" t="s">
        <v>2549</v>
      </c>
      <c r="F6" s="3186"/>
      <c r="G6" s="3178" t="s">
        <v>2549</v>
      </c>
      <c r="H6" s="3179"/>
      <c r="I6" s="3178" t="s">
        <v>2549</v>
      </c>
      <c r="J6" s="3179"/>
      <c r="K6" s="609" t="s">
        <v>2550</v>
      </c>
      <c r="L6" s="1131"/>
      <c r="M6" s="1132"/>
      <c r="N6" s="1132"/>
      <c r="O6" s="1132"/>
      <c r="P6" s="3169"/>
      <c r="Q6" s="3170"/>
      <c r="R6" s="3173"/>
      <c r="S6" s="3174"/>
      <c r="T6" s="3175"/>
      <c r="U6" s="3176"/>
      <c r="V6" s="3177"/>
      <c r="W6" s="3177"/>
      <c r="X6" s="1815"/>
      <c r="Y6" s="3175"/>
      <c r="Z6" s="3176"/>
      <c r="AA6" s="3160"/>
      <c r="AB6" s="3160"/>
      <c r="AC6" s="3160"/>
    </row>
    <row r="7" spans="1:29" s="117" customFormat="1" ht="15.75" thickBot="1">
      <c r="A7" s="407" t="s">
        <v>2551</v>
      </c>
      <c r="B7" s="408"/>
      <c r="C7" s="409">
        <f>'数据-取费表'!B2</f>
        <v>43061</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182" t="s">
        <v>2552</v>
      </c>
      <c r="Q7" s="3184"/>
      <c r="R7" s="769" t="s">
        <v>17</v>
      </c>
      <c r="S7" s="770">
        <f t="shared" ref="S7:S14" si="0">F7</f>
        <v>0</v>
      </c>
      <c r="T7" s="769" t="s">
        <v>17</v>
      </c>
      <c r="U7" s="770">
        <f t="shared" ref="U7:U14" si="1">H7</f>
        <v>0</v>
      </c>
      <c r="V7" s="769" t="s">
        <v>17</v>
      </c>
      <c r="W7" s="770">
        <f t="shared" ref="W7:W14" si="2">J7</f>
        <v>0</v>
      </c>
      <c r="X7" s="771"/>
      <c r="Y7" s="3182" t="s">
        <v>2552</v>
      </c>
      <c r="Z7" s="3183"/>
      <c r="AA7" s="772" t="e">
        <f>D7/F7</f>
        <v>#DIV/0!</v>
      </c>
      <c r="AB7" s="772" t="e">
        <f>D7/H7</f>
        <v>#DIV/0!</v>
      </c>
      <c r="AC7" s="772" t="e">
        <f>D7/J7</f>
        <v>#DIV/0!</v>
      </c>
    </row>
    <row r="8" spans="1:29" s="117"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82" t="s">
        <v>2555</v>
      </c>
      <c r="Q8" s="3183"/>
      <c r="R8" s="769" t="s">
        <v>17</v>
      </c>
      <c r="S8" s="770">
        <f t="shared" si="0"/>
        <v>0</v>
      </c>
      <c r="T8" s="769" t="s">
        <v>17</v>
      </c>
      <c r="U8" s="770">
        <f t="shared" si="1"/>
        <v>0</v>
      </c>
      <c r="V8" s="769" t="s">
        <v>17</v>
      </c>
      <c r="W8" s="770">
        <f t="shared" si="2"/>
        <v>0</v>
      </c>
      <c r="X8" s="771"/>
      <c r="Y8" s="3182" t="s">
        <v>2555</v>
      </c>
      <c r="Z8" s="3183"/>
      <c r="AA8" s="772" t="e">
        <f t="shared" ref="AA8:AA34" si="3">D8/F8</f>
        <v>#DIV/0!</v>
      </c>
      <c r="AB8" s="772" t="e">
        <f t="shared" ref="AB8:AB34" si="4">D8/H8</f>
        <v>#DIV/0!</v>
      </c>
      <c r="AC8" s="772" t="e">
        <f t="shared" ref="AC8:AC34" si="5">D8/J8</f>
        <v>#DIV/0!</v>
      </c>
    </row>
    <row r="9" spans="1:29" s="117"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48" t="s">
        <v>2558</v>
      </c>
      <c r="Q9" s="1797" t="str">
        <f t="shared" ref="Q9:Q14" si="6">B9</f>
        <v>用途</v>
      </c>
      <c r="R9" s="769" t="s">
        <v>17</v>
      </c>
      <c r="S9" s="770">
        <f t="shared" si="0"/>
        <v>100</v>
      </c>
      <c r="T9" s="769" t="s">
        <v>17</v>
      </c>
      <c r="U9" s="770">
        <f t="shared" si="1"/>
        <v>100</v>
      </c>
      <c r="V9" s="769" t="s">
        <v>17</v>
      </c>
      <c r="W9" s="770">
        <f t="shared" si="2"/>
        <v>100</v>
      </c>
      <c r="X9" s="771"/>
      <c r="Y9" s="2983" t="s">
        <v>2559</v>
      </c>
      <c r="Z9" s="55" t="str">
        <f t="shared" ref="Z9:Z14" si="7">Q9</f>
        <v>用途</v>
      </c>
      <c r="AA9" s="772">
        <f t="shared" si="3"/>
        <v>1</v>
      </c>
      <c r="AB9" s="772">
        <f t="shared" si="4"/>
        <v>1</v>
      </c>
      <c r="AC9" s="772">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48"/>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48"/>
      <c r="Q11" s="1797">
        <f t="shared" si="6"/>
        <v>111</v>
      </c>
      <c r="R11" s="769" t="s">
        <v>17</v>
      </c>
      <c r="S11" s="770">
        <f t="shared" si="0"/>
        <v>100</v>
      </c>
      <c r="T11" s="769" t="s">
        <v>17</v>
      </c>
      <c r="U11" s="770">
        <f t="shared" si="1"/>
        <v>100</v>
      </c>
      <c r="V11" s="769" t="s">
        <v>17</v>
      </c>
      <c r="W11" s="770">
        <f t="shared" si="2"/>
        <v>100</v>
      </c>
      <c r="X11" s="771"/>
      <c r="Y11" s="2983"/>
      <c r="Z11" s="55">
        <f t="shared" si="7"/>
        <v>111</v>
      </c>
      <c r="AA11" s="772">
        <f t="shared" si="3"/>
        <v>1</v>
      </c>
      <c r="AB11" s="772">
        <f t="shared" si="4"/>
        <v>1</v>
      </c>
      <c r="AC11" s="772">
        <f t="shared" si="5"/>
        <v>1</v>
      </c>
    </row>
    <row r="12" spans="1:29" s="117"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48"/>
      <c r="Q12" s="1797">
        <f t="shared" si="6"/>
        <v>111</v>
      </c>
      <c r="R12" s="769" t="s">
        <v>17</v>
      </c>
      <c r="S12" s="770">
        <f t="shared" si="0"/>
        <v>100</v>
      </c>
      <c r="T12" s="769" t="s">
        <v>17</v>
      </c>
      <c r="U12" s="770">
        <f t="shared" si="1"/>
        <v>100</v>
      </c>
      <c r="V12" s="769" t="s">
        <v>17</v>
      </c>
      <c r="W12" s="770">
        <f t="shared" si="2"/>
        <v>100</v>
      </c>
      <c r="X12" s="771"/>
      <c r="Y12" s="2983"/>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148"/>
      <c r="Q13" s="1797">
        <f t="shared" si="6"/>
        <v>111</v>
      </c>
      <c r="R13" s="769" t="s">
        <v>17</v>
      </c>
      <c r="S13" s="770">
        <f t="shared" si="0"/>
        <v>100</v>
      </c>
      <c r="T13" s="769" t="s">
        <v>17</v>
      </c>
      <c r="U13" s="770">
        <f t="shared" si="1"/>
        <v>100</v>
      </c>
      <c r="V13" s="769" t="s">
        <v>17</v>
      </c>
      <c r="W13" s="770">
        <f t="shared" si="2"/>
        <v>100</v>
      </c>
      <c r="X13" s="771"/>
      <c r="Y13" s="2983"/>
      <c r="Z13" s="55">
        <f t="shared" si="7"/>
        <v>111</v>
      </c>
      <c r="AA13" s="772">
        <f t="shared" si="3"/>
        <v>1</v>
      </c>
      <c r="AB13" s="772">
        <f t="shared" si="4"/>
        <v>1</v>
      </c>
      <c r="AC13" s="772">
        <f t="shared" si="5"/>
        <v>1</v>
      </c>
    </row>
    <row r="14" spans="1:29" ht="85.5">
      <c r="A14" s="439" t="s">
        <v>2562</v>
      </c>
      <c r="B14" s="69" t="s">
        <v>2712</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53" t="s">
        <v>2563</v>
      </c>
      <c r="Q14" s="1812" t="str">
        <f t="shared" si="6"/>
        <v>交通便捷度</v>
      </c>
      <c r="R14" s="773" t="s">
        <v>17</v>
      </c>
      <c r="S14" s="774">
        <f t="shared" si="0"/>
        <v>100</v>
      </c>
      <c r="T14" s="773" t="s">
        <v>17</v>
      </c>
      <c r="U14" s="774">
        <f t="shared" si="1"/>
        <v>100</v>
      </c>
      <c r="V14" s="773" t="s">
        <v>17</v>
      </c>
      <c r="W14" s="774">
        <f t="shared" si="2"/>
        <v>100</v>
      </c>
      <c r="X14" s="1815"/>
      <c r="Y14" s="3153" t="s">
        <v>2563</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1"/>
      <c r="M15" s="1132"/>
      <c r="N15" s="1132"/>
      <c r="O15" s="1140"/>
      <c r="P15" s="3154"/>
      <c r="Q15" s="1812"/>
      <c r="R15" s="773"/>
      <c r="S15" s="774"/>
      <c r="T15" s="773"/>
      <c r="U15" s="774"/>
      <c r="V15" s="773"/>
      <c r="W15" s="774"/>
      <c r="X15" s="1815"/>
      <c r="Y15" s="3154"/>
      <c r="Z15" s="1816"/>
      <c r="AA15" s="1813">
        <v>1</v>
      </c>
      <c r="AB15" s="1813">
        <v>1</v>
      </c>
      <c r="AC15" s="1813">
        <v>1</v>
      </c>
    </row>
    <row r="16" spans="1:29" ht="42.75">
      <c r="A16" s="427"/>
      <c r="B16" s="450" t="s">
        <v>2691</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54"/>
      <c r="Q16" s="1812" t="str">
        <f>B16</f>
        <v>公共配套设施</v>
      </c>
      <c r="R16" s="773" t="s">
        <v>17</v>
      </c>
      <c r="S16" s="774">
        <f>F16</f>
        <v>100</v>
      </c>
      <c r="T16" s="773" t="s">
        <v>17</v>
      </c>
      <c r="U16" s="774">
        <f>H16</f>
        <v>100</v>
      </c>
      <c r="V16" s="773" t="s">
        <v>17</v>
      </c>
      <c r="W16" s="774">
        <f>J16</f>
        <v>100</v>
      </c>
      <c r="X16" s="1815"/>
      <c r="Y16" s="3154"/>
      <c r="Z16" s="1816" t="str">
        <f>Q16</f>
        <v>公共配套设施</v>
      </c>
      <c r="AA16" s="1813">
        <f t="shared" si="3"/>
        <v>1</v>
      </c>
      <c r="AB16" s="1813">
        <f t="shared" si="4"/>
        <v>1</v>
      </c>
      <c r="AC16" s="1813">
        <f t="shared" si="5"/>
        <v>1</v>
      </c>
    </row>
    <row r="17" spans="1:29" ht="15">
      <c r="A17" s="427"/>
      <c r="B17" s="455"/>
      <c r="C17" s="2610"/>
      <c r="D17" s="447"/>
      <c r="E17" s="446"/>
      <c r="F17" s="448"/>
      <c r="G17" s="446"/>
      <c r="H17" s="447"/>
      <c r="I17" s="446"/>
      <c r="J17" s="447"/>
      <c r="K17" s="614"/>
      <c r="L17" s="1141"/>
      <c r="M17" s="1132"/>
      <c r="N17" s="1132"/>
      <c r="O17" s="1140"/>
      <c r="P17" s="3154"/>
      <c r="Q17" s="1812"/>
      <c r="R17" s="773"/>
      <c r="S17" s="774"/>
      <c r="T17" s="773"/>
      <c r="U17" s="774"/>
      <c r="V17" s="773"/>
      <c r="W17" s="774"/>
      <c r="X17" s="1815"/>
      <c r="Y17" s="3154"/>
      <c r="Z17" s="1816"/>
      <c r="AA17" s="1813">
        <v>1</v>
      </c>
      <c r="AB17" s="1813">
        <v>1</v>
      </c>
      <c r="AC17" s="1813">
        <v>1</v>
      </c>
    </row>
    <row r="18" spans="1:29" ht="28.5">
      <c r="A18" s="427"/>
      <c r="B18" s="1385" t="s">
        <v>2692</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54"/>
      <c r="Q18" s="1812" t="str">
        <f>B18</f>
        <v>基础设施水平</v>
      </c>
      <c r="R18" s="773" t="s">
        <v>17</v>
      </c>
      <c r="S18" s="774">
        <f>F18</f>
        <v>100</v>
      </c>
      <c r="T18" s="773" t="s">
        <v>17</v>
      </c>
      <c r="U18" s="774">
        <f>H18</f>
        <v>100</v>
      </c>
      <c r="V18" s="773" t="s">
        <v>17</v>
      </c>
      <c r="W18" s="774">
        <f>J18</f>
        <v>100</v>
      </c>
      <c r="X18" s="1815"/>
      <c r="Y18" s="3154"/>
      <c r="Z18" s="1816" t="str">
        <f>Q18</f>
        <v>基础设施水平</v>
      </c>
      <c r="AA18" s="1813">
        <f t="shared" ref="AA18" si="8">D18/F18</f>
        <v>1</v>
      </c>
      <c r="AB18" s="1813">
        <f t="shared" ref="AB18" si="9">D18/H18</f>
        <v>1</v>
      </c>
      <c r="AC18" s="1813">
        <f t="shared" ref="AC18" si="10">D18/J18</f>
        <v>1</v>
      </c>
    </row>
    <row r="19" spans="1:29" ht="15">
      <c r="A19" s="427"/>
      <c r="B19" s="1385"/>
      <c r="C19" s="2610"/>
      <c r="D19" s="449"/>
      <c r="E19" s="2610"/>
      <c r="F19" s="452"/>
      <c r="G19" s="2610"/>
      <c r="H19" s="447"/>
      <c r="I19" s="446"/>
      <c r="J19" s="447"/>
      <c r="K19" s="1384"/>
      <c r="L19" s="1141"/>
      <c r="M19" s="1132"/>
      <c r="N19" s="1132"/>
      <c r="O19" s="1140"/>
      <c r="P19" s="3154"/>
      <c r="Q19" s="1812"/>
      <c r="R19" s="773"/>
      <c r="S19" s="774"/>
      <c r="T19" s="773"/>
      <c r="U19" s="774"/>
      <c r="V19" s="773"/>
      <c r="W19" s="774"/>
      <c r="X19" s="1815"/>
      <c r="Y19" s="3154"/>
      <c r="Z19" s="1816"/>
      <c r="AA19" s="1813">
        <v>1</v>
      </c>
      <c r="AB19" s="1813">
        <v>1</v>
      </c>
      <c r="AC19" s="1813">
        <v>1</v>
      </c>
    </row>
    <row r="20" spans="1:29" ht="57">
      <c r="A20" s="427"/>
      <c r="B20" s="450" t="s">
        <v>2713</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54"/>
      <c r="Q20" s="1812" t="str">
        <f>B20</f>
        <v>自然及人文环境</v>
      </c>
      <c r="R20" s="773" t="s">
        <v>17</v>
      </c>
      <c r="S20" s="774">
        <f>F20</f>
        <v>100</v>
      </c>
      <c r="T20" s="773" t="s">
        <v>17</v>
      </c>
      <c r="U20" s="774">
        <f>H20</f>
        <v>100</v>
      </c>
      <c r="V20" s="773" t="s">
        <v>17</v>
      </c>
      <c r="W20" s="774">
        <f>J20</f>
        <v>100</v>
      </c>
      <c r="X20" s="1815"/>
      <c r="Y20" s="3154"/>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1"/>
      <c r="M21" s="1132"/>
      <c r="N21" s="1132"/>
      <c r="O21" s="1140"/>
      <c r="P21" s="3154"/>
      <c r="Q21" s="1812"/>
      <c r="R21" s="773"/>
      <c r="S21" s="774"/>
      <c r="T21" s="773"/>
      <c r="U21" s="774"/>
      <c r="V21" s="773"/>
      <c r="W21" s="774"/>
      <c r="X21" s="1815"/>
      <c r="Y21" s="3154"/>
      <c r="Z21" s="1816"/>
      <c r="AA21" s="1813">
        <v>1</v>
      </c>
      <c r="AB21" s="1813">
        <v>1</v>
      </c>
      <c r="AC21" s="1813">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54"/>
      <c r="Q22" s="1812" t="str">
        <f>B22</f>
        <v>楼层</v>
      </c>
      <c r="R22" s="773" t="s">
        <v>17</v>
      </c>
      <c r="S22" s="774">
        <f>F22</f>
        <v>100</v>
      </c>
      <c r="T22" s="773" t="s">
        <v>17</v>
      </c>
      <c r="U22" s="774">
        <f>H22</f>
        <v>100</v>
      </c>
      <c r="V22" s="773" t="s">
        <v>17</v>
      </c>
      <c r="W22" s="774">
        <f>J22</f>
        <v>100</v>
      </c>
      <c r="X22" s="1815"/>
      <c r="Y22" s="3154"/>
      <c r="Z22" s="1816" t="str">
        <f>Q22</f>
        <v>楼层</v>
      </c>
      <c r="AA22" s="1813">
        <f t="shared" si="3"/>
        <v>1</v>
      </c>
      <c r="AB22" s="1813">
        <f t="shared" si="4"/>
        <v>1</v>
      </c>
      <c r="AC22" s="1813">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54"/>
      <c r="Q23" s="1812">
        <f>B23</f>
        <v>111</v>
      </c>
      <c r="R23" s="773" t="s">
        <v>17</v>
      </c>
      <c r="S23" s="774">
        <f>F23</f>
        <v>100</v>
      </c>
      <c r="T23" s="773" t="s">
        <v>17</v>
      </c>
      <c r="U23" s="774">
        <f>H23</f>
        <v>100</v>
      </c>
      <c r="V23" s="773" t="s">
        <v>17</v>
      </c>
      <c r="W23" s="774">
        <f>J23</f>
        <v>100</v>
      </c>
      <c r="X23" s="1815"/>
      <c r="Y23" s="3154"/>
      <c r="Z23" s="1816">
        <f>Q23</f>
        <v>111</v>
      </c>
      <c r="AA23" s="1813">
        <f t="shared" si="3"/>
        <v>1</v>
      </c>
      <c r="AB23" s="1813">
        <f t="shared" si="4"/>
        <v>1</v>
      </c>
      <c r="AC23" s="1813">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54"/>
      <c r="Q24" s="1812">
        <f t="shared" ref="Q24:Q34" si="11">B24</f>
        <v>111</v>
      </c>
      <c r="R24" s="773" t="s">
        <v>17</v>
      </c>
      <c r="S24" s="774">
        <f>F24</f>
        <v>100</v>
      </c>
      <c r="T24" s="773" t="s">
        <v>17</v>
      </c>
      <c r="U24" s="774">
        <f>H24</f>
        <v>100</v>
      </c>
      <c r="V24" s="773" t="s">
        <v>17</v>
      </c>
      <c r="W24" s="774">
        <f>J24</f>
        <v>100</v>
      </c>
      <c r="X24" s="1815"/>
      <c r="Y24" s="3154"/>
      <c r="Z24" s="1816">
        <f>Q24</f>
        <v>111</v>
      </c>
      <c r="AA24" s="1813">
        <f t="shared" si="3"/>
        <v>1</v>
      </c>
      <c r="AB24" s="1813">
        <f t="shared" si="4"/>
        <v>1</v>
      </c>
      <c r="AC24" s="1813">
        <f t="shared" si="5"/>
        <v>1</v>
      </c>
    </row>
    <row r="25" spans="1:29" s="117"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154"/>
      <c r="Q25" s="1797">
        <f t="shared" si="11"/>
        <v>111</v>
      </c>
      <c r="R25" s="769" t="s">
        <v>17</v>
      </c>
      <c r="S25" s="770">
        <f>F25</f>
        <v>100</v>
      </c>
      <c r="T25" s="769" t="s">
        <v>17</v>
      </c>
      <c r="U25" s="770">
        <f>H25</f>
        <v>100</v>
      </c>
      <c r="V25" s="769" t="s">
        <v>17</v>
      </c>
      <c r="W25" s="770">
        <f>J25</f>
        <v>100</v>
      </c>
      <c r="X25" s="771"/>
      <c r="Y25" s="3154"/>
      <c r="Z25" s="55">
        <f>Q25</f>
        <v>111</v>
      </c>
      <c r="AA25" s="1813">
        <f>D25/F25</f>
        <v>1</v>
      </c>
      <c r="AB25" s="1813">
        <f>D25/H25</f>
        <v>1</v>
      </c>
      <c r="AC25" s="1813">
        <f>D25/J25</f>
        <v>1</v>
      </c>
    </row>
    <row r="26" spans="1:29" ht="15">
      <c r="A26" s="465" t="s">
        <v>2566</v>
      </c>
      <c r="B26" s="71" t="s">
        <v>2717</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155" t="s">
        <v>2568</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56" t="s">
        <v>2568</v>
      </c>
      <c r="Z26" s="1816" t="str">
        <f t="shared" ref="Z26:Z34" si="15">Q26</f>
        <v>公共部分装修</v>
      </c>
      <c r="AA26" s="1813">
        <f t="shared" si="3"/>
        <v>1</v>
      </c>
      <c r="AB26" s="1813">
        <f t="shared" si="4"/>
        <v>1</v>
      </c>
      <c r="AC26" s="1813">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56"/>
      <c r="Q27" s="775" t="str">
        <f t="shared" si="11"/>
        <v>成新率</v>
      </c>
      <c r="R27" s="776" t="s">
        <v>17</v>
      </c>
      <c r="S27" s="777" t="e">
        <f t="shared" si="12"/>
        <v>#N/A</v>
      </c>
      <c r="T27" s="776" t="s">
        <v>17</v>
      </c>
      <c r="U27" s="777" t="e">
        <f t="shared" si="13"/>
        <v>#N/A</v>
      </c>
      <c r="V27" s="776" t="s">
        <v>17</v>
      </c>
      <c r="W27" s="777" t="e">
        <f t="shared" si="14"/>
        <v>#N/A</v>
      </c>
      <c r="X27" s="778"/>
      <c r="Y27" s="3156"/>
      <c r="Z27" s="779" t="str">
        <f t="shared" si="15"/>
        <v>成新率</v>
      </c>
      <c r="AA27" s="1813" t="e">
        <f t="shared" si="3"/>
        <v>#N/A</v>
      </c>
      <c r="AB27" s="1813" t="e">
        <f t="shared" si="4"/>
        <v>#N/A</v>
      </c>
      <c r="AC27" s="1813"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56"/>
      <c r="Q28" s="1812" t="str">
        <f t="shared" si="11"/>
        <v>物业等级</v>
      </c>
      <c r="R28" s="773" t="s">
        <v>17</v>
      </c>
      <c r="S28" s="774">
        <f t="shared" si="12"/>
        <v>100</v>
      </c>
      <c r="T28" s="773" t="s">
        <v>17</v>
      </c>
      <c r="U28" s="774">
        <f t="shared" si="13"/>
        <v>100</v>
      </c>
      <c r="V28" s="773" t="s">
        <v>17</v>
      </c>
      <c r="W28" s="774">
        <f t="shared" si="14"/>
        <v>100</v>
      </c>
      <c r="X28" s="1815"/>
      <c r="Y28" s="3156"/>
      <c r="Z28" s="1816" t="str">
        <f t="shared" si="15"/>
        <v>物业等级</v>
      </c>
      <c r="AA28" s="1813">
        <f t="shared" si="3"/>
        <v>1</v>
      </c>
      <c r="AB28" s="1813">
        <f t="shared" si="4"/>
        <v>1</v>
      </c>
      <c r="AC28" s="1813">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56"/>
      <c r="Q29" s="1812" t="str">
        <f t="shared" si="11"/>
        <v>有无电梯</v>
      </c>
      <c r="R29" s="773" t="s">
        <v>17</v>
      </c>
      <c r="S29" s="774">
        <f t="shared" si="12"/>
        <v>100</v>
      </c>
      <c r="T29" s="773" t="s">
        <v>17</v>
      </c>
      <c r="U29" s="774">
        <f t="shared" si="13"/>
        <v>100</v>
      </c>
      <c r="V29" s="773" t="s">
        <v>17</v>
      </c>
      <c r="W29" s="774">
        <f t="shared" si="14"/>
        <v>100</v>
      </c>
      <c r="X29" s="1815"/>
      <c r="Y29" s="3156"/>
      <c r="Z29" s="1816" t="str">
        <f t="shared" si="15"/>
        <v>有无电梯</v>
      </c>
      <c r="AA29" s="1813">
        <f t="shared" si="3"/>
        <v>1</v>
      </c>
      <c r="AB29" s="1813">
        <f t="shared" si="4"/>
        <v>1</v>
      </c>
      <c r="AC29" s="1813">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56"/>
      <c r="Q30" s="1812" t="str">
        <f t="shared" si="11"/>
        <v>建筑面积</v>
      </c>
      <c r="R30" s="773" t="s">
        <v>17</v>
      </c>
      <c r="S30" s="774" t="e">
        <f t="shared" si="12"/>
        <v>#N/A</v>
      </c>
      <c r="T30" s="773" t="s">
        <v>17</v>
      </c>
      <c r="U30" s="774" t="e">
        <f t="shared" si="13"/>
        <v>#N/A</v>
      </c>
      <c r="V30" s="773" t="s">
        <v>17</v>
      </c>
      <c r="W30" s="774" t="e">
        <f t="shared" si="14"/>
        <v>#N/A</v>
      </c>
      <c r="X30" s="1815"/>
      <c r="Y30" s="3156"/>
      <c r="Z30" s="1816" t="str">
        <f t="shared" si="15"/>
        <v>建筑面积</v>
      </c>
      <c r="AA30" s="1813" t="e">
        <f t="shared" si="3"/>
        <v>#N/A</v>
      </c>
      <c r="AB30" s="1813" t="e">
        <f t="shared" si="4"/>
        <v>#N/A</v>
      </c>
      <c r="AC30" s="1813" t="e">
        <f t="shared" si="5"/>
        <v>#N/A</v>
      </c>
    </row>
    <row r="31" spans="1:29" s="117"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56"/>
      <c r="Q31" s="1797" t="str">
        <f t="shared" si="11"/>
        <v>是否封闭</v>
      </c>
      <c r="R31" s="769" t="s">
        <v>17</v>
      </c>
      <c r="S31" s="770">
        <f t="shared" si="12"/>
        <v>100</v>
      </c>
      <c r="T31" s="769" t="s">
        <v>17</v>
      </c>
      <c r="U31" s="770">
        <f t="shared" si="13"/>
        <v>100</v>
      </c>
      <c r="V31" s="769" t="s">
        <v>17</v>
      </c>
      <c r="W31" s="770">
        <f t="shared" si="14"/>
        <v>100</v>
      </c>
      <c r="X31" s="771"/>
      <c r="Y31" s="3156"/>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56" t="s">
        <v>2568</v>
      </c>
      <c r="Q32" s="1812">
        <f t="shared" si="11"/>
        <v>111</v>
      </c>
      <c r="R32" s="773" t="s">
        <v>17</v>
      </c>
      <c r="S32" s="774">
        <f t="shared" si="12"/>
        <v>100</v>
      </c>
      <c r="T32" s="773" t="s">
        <v>17</v>
      </c>
      <c r="U32" s="774">
        <f t="shared" si="13"/>
        <v>100</v>
      </c>
      <c r="V32" s="773" t="s">
        <v>17</v>
      </c>
      <c r="W32" s="774">
        <f t="shared" si="14"/>
        <v>100</v>
      </c>
      <c r="X32" s="1815"/>
      <c r="Y32" s="3156" t="s">
        <v>2568</v>
      </c>
      <c r="Z32" s="1816">
        <f t="shared" si="15"/>
        <v>111</v>
      </c>
      <c r="AA32" s="1813">
        <f t="shared" si="3"/>
        <v>1</v>
      </c>
      <c r="AB32" s="1813">
        <f t="shared" si="4"/>
        <v>1</v>
      </c>
      <c r="AC32" s="1813">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56"/>
      <c r="Q33" s="1812">
        <f t="shared" si="11"/>
        <v>111</v>
      </c>
      <c r="R33" s="773" t="s">
        <v>17</v>
      </c>
      <c r="S33" s="774">
        <f t="shared" si="12"/>
        <v>100</v>
      </c>
      <c r="T33" s="773" t="s">
        <v>17</v>
      </c>
      <c r="U33" s="774">
        <f t="shared" si="13"/>
        <v>100</v>
      </c>
      <c r="V33" s="773" t="s">
        <v>17</v>
      </c>
      <c r="W33" s="774">
        <f t="shared" si="14"/>
        <v>100</v>
      </c>
      <c r="X33" s="1815"/>
      <c r="Y33" s="3156"/>
      <c r="Z33" s="1816">
        <f t="shared" si="15"/>
        <v>111</v>
      </c>
      <c r="AA33" s="1813">
        <f t="shared" si="3"/>
        <v>1</v>
      </c>
      <c r="AB33" s="1813">
        <f t="shared" si="4"/>
        <v>1</v>
      </c>
      <c r="AC33" s="1813">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156"/>
      <c r="Q34" s="1812">
        <f t="shared" si="11"/>
        <v>111</v>
      </c>
      <c r="R34" s="773" t="s">
        <v>17</v>
      </c>
      <c r="S34" s="774">
        <f t="shared" si="12"/>
        <v>100</v>
      </c>
      <c r="T34" s="773" t="s">
        <v>17</v>
      </c>
      <c r="U34" s="774">
        <f t="shared" si="13"/>
        <v>100</v>
      </c>
      <c r="V34" s="773" t="s">
        <v>17</v>
      </c>
      <c r="W34" s="774">
        <f t="shared" si="14"/>
        <v>100</v>
      </c>
      <c r="X34" s="1815"/>
      <c r="Y34" s="3156"/>
      <c r="Z34" s="1816">
        <f t="shared" si="15"/>
        <v>111</v>
      </c>
      <c r="AA34" s="1813">
        <f t="shared" si="3"/>
        <v>1</v>
      </c>
      <c r="AB34" s="1813">
        <f t="shared" si="4"/>
        <v>1</v>
      </c>
      <c r="AC34" s="1813">
        <f t="shared" si="5"/>
        <v>1</v>
      </c>
    </row>
    <row r="35" spans="1:29" ht="15">
      <c r="A35" s="478" t="s">
        <v>2580</v>
      </c>
      <c r="B35" s="479"/>
      <c r="C35" s="1408" t="s">
        <v>1</v>
      </c>
      <c r="D35" s="1409"/>
      <c r="E35" s="1410"/>
      <c r="F35" s="1411"/>
      <c r="G35" s="1412"/>
      <c r="H35" s="1413"/>
      <c r="I35" s="1410"/>
      <c r="J35" s="1413"/>
      <c r="K35" s="782"/>
      <c r="L35" s="1144"/>
      <c r="M35" s="1145"/>
      <c r="N35" s="1132"/>
      <c r="O35" s="1145"/>
      <c r="P35" s="3148" t="str">
        <f>A35</f>
        <v>成交单价（元/平方米）</v>
      </c>
      <c r="Q35" s="3148"/>
      <c r="R35" s="3149">
        <f>E35</f>
        <v>0</v>
      </c>
      <c r="S35" s="3149"/>
      <c r="T35" s="3149">
        <f>G35</f>
        <v>0</v>
      </c>
      <c r="U35" s="3149"/>
      <c r="V35" s="3149">
        <f>I35</f>
        <v>0</v>
      </c>
      <c r="W35" s="3149"/>
      <c r="X35" s="758"/>
      <c r="Y35" s="780"/>
      <c r="Z35" s="758"/>
      <c r="AA35" s="758"/>
      <c r="AB35" s="758"/>
      <c r="AC35" s="758"/>
    </row>
    <row r="36" spans="1:29" ht="15.75" thickBot="1">
      <c r="A36" s="485" t="s">
        <v>2672</v>
      </c>
      <c r="B36" s="486"/>
      <c r="C36" s="1414" t="e">
        <f>R37</f>
        <v>#DIV/0!</v>
      </c>
      <c r="D36" s="1415"/>
      <c r="E36" s="1416" t="e">
        <f>R36</f>
        <v>#DIV/0!</v>
      </c>
      <c r="F36" s="1416"/>
      <c r="G36" s="1414" t="e">
        <f>T36</f>
        <v>#DIV/0!</v>
      </c>
      <c r="H36" s="1415"/>
      <c r="I36" s="1416" t="e">
        <f>V36</f>
        <v>#DIV/0!</v>
      </c>
      <c r="J36" s="1415"/>
      <c r="K36" s="783"/>
      <c r="L36" s="1144"/>
      <c r="M36" s="1145"/>
      <c r="N36" s="1132"/>
      <c r="O36" s="1145"/>
      <c r="P36" s="3148" t="str">
        <f>A36</f>
        <v>比较价值（元/平方米）</v>
      </c>
      <c r="Q36" s="3148"/>
      <c r="R36" s="3149" t="e">
        <f>IF(F1="售价",ROUND(PRODUCT(R35,AA7:AA34),0),ROUND(PRODUCT(R35,AA7:AA34),1))</f>
        <v>#DIV/0!</v>
      </c>
      <c r="S36" s="3149"/>
      <c r="T36" s="3149" t="e">
        <f>IF(F1="售价",ROUND(PRODUCT(T35,AB7:AB34),0),ROUND(PRODUCT(T35,AB7:AB34),1))</f>
        <v>#DIV/0!</v>
      </c>
      <c r="U36" s="3149"/>
      <c r="V36" s="3149" t="e">
        <f>IF(F1="售价",ROUND(PRODUCT(V35,AC7:AC34),0),ROUND(PRODUCT(V35,AC7:AC34),1))</f>
        <v>#DIV/0!</v>
      </c>
      <c r="W36" s="3149"/>
      <c r="X36" s="758"/>
      <c r="Y36" s="758"/>
      <c r="Z36" s="758"/>
      <c r="AA36" s="758"/>
      <c r="AB36" s="758"/>
      <c r="AC36" s="758"/>
    </row>
    <row r="37" spans="1:29" ht="15.75" thickBot="1">
      <c r="A37" s="491" t="s">
        <v>2673</v>
      </c>
      <c r="B37" s="492"/>
      <c r="C37" s="1418" t="e">
        <f>R37</f>
        <v>#DIV/0!</v>
      </c>
      <c r="D37" s="1418"/>
      <c r="E37" s="1418"/>
      <c r="F37" s="1418"/>
      <c r="G37" s="1418"/>
      <c r="H37" s="1418"/>
      <c r="I37" s="1418"/>
      <c r="J37" s="1418"/>
      <c r="K37" s="784"/>
      <c r="L37" s="1144"/>
      <c r="M37" s="1145"/>
      <c r="N37" s="1145"/>
      <c r="O37" s="1145"/>
      <c r="P37" s="3150" t="str">
        <f>A37</f>
        <v>估价对象XX用房的比较价值（楼面单价，元/平方米）</v>
      </c>
      <c r="Q37" s="3151"/>
      <c r="R37" s="3152" t="e">
        <f>IF(F1="售价",ROUND(AVERAGE(R36:V36),0),ROUND(AVERAGE(R36:V36),1))</f>
        <v>#DIV/0!</v>
      </c>
      <c r="S37" s="3152"/>
      <c r="T37" s="3152"/>
      <c r="U37" s="3152"/>
      <c r="V37" s="3152"/>
      <c r="W37" s="3152"/>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2677</v>
      </c>
      <c r="B45" s="758"/>
      <c r="C45" s="763"/>
      <c r="D45" s="763"/>
      <c r="E45" s="763"/>
      <c r="F45" s="764"/>
      <c r="G45" s="764"/>
      <c r="H45" s="763"/>
      <c r="I45" s="763"/>
      <c r="J45" s="763"/>
      <c r="K45" s="765"/>
      <c r="L45" s="766"/>
      <c r="M45" s="763"/>
      <c r="N45" s="763"/>
      <c r="O45" s="763"/>
      <c r="P45" s="502"/>
      <c r="Q45" s="503"/>
    </row>
    <row r="46" spans="1:29" s="507" customFormat="1" ht="15">
      <c r="A46" s="504" t="s">
        <v>2551</v>
      </c>
      <c r="B46" s="505"/>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2588</v>
      </c>
      <c r="B48" s="515"/>
      <c r="C48" s="516"/>
      <c r="D48" s="517"/>
      <c r="E48" s="517"/>
      <c r="F48" s="517"/>
      <c r="G48" s="517"/>
      <c r="H48" s="517"/>
      <c r="I48" s="517"/>
      <c r="J48" s="517"/>
      <c r="K48" s="517"/>
      <c r="L48" s="517"/>
      <c r="M48" s="518"/>
      <c r="N48" s="517"/>
      <c r="O48" s="519"/>
      <c r="P48" s="503"/>
      <c r="Q48" s="503"/>
    </row>
    <row r="49" spans="1:17" s="117" customFormat="1" ht="15">
      <c r="A49" s="520" t="s">
        <v>2553</v>
      </c>
      <c r="B49" s="509"/>
      <c r="C49" s="521" t="s">
        <v>2655</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2591</v>
      </c>
      <c r="B51" s="527" t="s">
        <v>2557</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2732</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2566</v>
      </c>
      <c r="B77" s="527" t="s">
        <v>2619</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2736</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2744</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2746</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#DIV/0!</v>
      </c>
      <c r="C3" s="246" t="s">
        <v>2749</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2648</v>
      </c>
      <c r="B4" s="401"/>
      <c r="C4" s="3161" t="s">
        <v>2649</v>
      </c>
      <c r="D4" s="3162"/>
      <c r="E4" s="3163" t="s">
        <v>2650</v>
      </c>
      <c r="F4" s="3164"/>
      <c r="G4" s="3161" t="s">
        <v>2651</v>
      </c>
      <c r="H4" s="3162"/>
      <c r="I4" s="3161" t="s">
        <v>2652</v>
      </c>
      <c r="J4" s="3162"/>
      <c r="K4" s="609" t="s">
        <v>2653</v>
      </c>
      <c r="L4" s="1131"/>
      <c r="M4" s="1132"/>
      <c r="N4" s="1132"/>
      <c r="O4" s="1132"/>
      <c r="P4" s="3165" t="s">
        <v>2654</v>
      </c>
      <c r="Q4" s="3166"/>
      <c r="R4" s="3171" t="s">
        <v>2650</v>
      </c>
      <c r="S4" s="3172"/>
      <c r="T4" s="3171" t="s">
        <v>2651</v>
      </c>
      <c r="U4" s="3172"/>
      <c r="V4" s="3177" t="s">
        <v>2652</v>
      </c>
      <c r="W4" s="3177"/>
      <c r="X4" s="1815"/>
      <c r="Y4" s="3171" t="s">
        <v>2654</v>
      </c>
      <c r="Z4" s="3172"/>
      <c r="AA4" s="3158" t="s">
        <v>2650</v>
      </c>
      <c r="AB4" s="3159" t="s">
        <v>2651</v>
      </c>
      <c r="AC4" s="3158" t="s">
        <v>2652</v>
      </c>
    </row>
    <row r="5" spans="1:30" ht="15">
      <c r="A5" s="403"/>
      <c r="B5" s="404"/>
      <c r="C5" s="3220" t="s">
        <v>2545</v>
      </c>
      <c r="D5" s="3221"/>
      <c r="E5" s="3222" t="s">
        <v>2546</v>
      </c>
      <c r="F5" s="3181"/>
      <c r="G5" s="3220" t="s">
        <v>2547</v>
      </c>
      <c r="H5" s="3221"/>
      <c r="I5" s="3220" t="s">
        <v>2548</v>
      </c>
      <c r="J5" s="3221"/>
      <c r="K5" s="609"/>
      <c r="L5" s="1131"/>
      <c r="M5" s="1132"/>
      <c r="N5" s="1132"/>
      <c r="O5" s="1132"/>
      <c r="P5" s="3167"/>
      <c r="Q5" s="3168"/>
      <c r="R5" s="3173"/>
      <c r="S5" s="3174"/>
      <c r="T5" s="3173"/>
      <c r="U5" s="3174"/>
      <c r="V5" s="3177"/>
      <c r="W5" s="3177"/>
      <c r="X5" s="1815"/>
      <c r="Y5" s="3173"/>
      <c r="Z5" s="3174"/>
      <c r="AA5" s="3159"/>
      <c r="AB5" s="3159"/>
      <c r="AC5" s="3159"/>
    </row>
    <row r="6" spans="1:30" ht="15.75" thickBot="1">
      <c r="A6" s="405"/>
      <c r="B6" s="406"/>
      <c r="C6" s="3178" t="s">
        <v>2549</v>
      </c>
      <c r="D6" s="3179"/>
      <c r="E6" s="3185" t="s">
        <v>2549</v>
      </c>
      <c r="F6" s="3186"/>
      <c r="G6" s="3178" t="s">
        <v>2549</v>
      </c>
      <c r="H6" s="3179"/>
      <c r="I6" s="3178" t="s">
        <v>2549</v>
      </c>
      <c r="J6" s="3179"/>
      <c r="K6" s="609" t="s">
        <v>2550</v>
      </c>
      <c r="L6" s="1131"/>
      <c r="M6" s="1132"/>
      <c r="N6" s="1132"/>
      <c r="O6" s="1132"/>
      <c r="P6" s="3169"/>
      <c r="Q6" s="3170"/>
      <c r="R6" s="3173"/>
      <c r="S6" s="3174"/>
      <c r="T6" s="3175"/>
      <c r="U6" s="3176"/>
      <c r="V6" s="3177"/>
      <c r="W6" s="3177"/>
      <c r="X6" s="1815"/>
      <c r="Y6" s="3175"/>
      <c r="Z6" s="3176"/>
      <c r="AA6" s="3160"/>
      <c r="AB6" s="3160"/>
      <c r="AC6" s="3160"/>
    </row>
    <row r="7" spans="1:30" s="117" customFormat="1" ht="15.75" thickBot="1">
      <c r="A7" s="407" t="s">
        <v>2551</v>
      </c>
      <c r="B7" s="408"/>
      <c r="C7" s="409">
        <f>'数据-取费表'!B2</f>
        <v>43061</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3"/>
      <c r="M7" s="1134"/>
      <c r="N7" s="1134"/>
      <c r="O7" s="1134"/>
      <c r="P7" s="3182" t="s">
        <v>2552</v>
      </c>
      <c r="Q7" s="3184"/>
      <c r="R7" s="769" t="s">
        <v>17</v>
      </c>
      <c r="S7" s="770">
        <f t="shared" ref="S7:S15" si="0">F7</f>
        <v>0</v>
      </c>
      <c r="T7" s="769" t="s">
        <v>17</v>
      </c>
      <c r="U7" s="770">
        <f t="shared" ref="U7:U15" si="1">H7</f>
        <v>0</v>
      </c>
      <c r="V7" s="769" t="s">
        <v>17</v>
      </c>
      <c r="W7" s="770">
        <f t="shared" ref="W7:W15" si="2">J7</f>
        <v>0</v>
      </c>
      <c r="X7" s="771"/>
      <c r="Y7" s="3182" t="s">
        <v>2552</v>
      </c>
      <c r="Z7" s="3183"/>
      <c r="AA7" s="772" t="e">
        <f>D7/F7</f>
        <v>#DIV/0!</v>
      </c>
      <c r="AB7" s="772" t="e">
        <f>D7/H7</f>
        <v>#DIV/0!</v>
      </c>
      <c r="AC7" s="772" t="e">
        <f>D7/J7</f>
        <v>#DIV/0!</v>
      </c>
    </row>
    <row r="8" spans="1:30" s="117"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82" t="s">
        <v>2555</v>
      </c>
      <c r="Q8" s="3183"/>
      <c r="R8" s="769" t="s">
        <v>17</v>
      </c>
      <c r="S8" s="770">
        <f t="shared" si="0"/>
        <v>0</v>
      </c>
      <c r="T8" s="769" t="s">
        <v>17</v>
      </c>
      <c r="U8" s="770">
        <f t="shared" si="1"/>
        <v>0</v>
      </c>
      <c r="V8" s="769" t="s">
        <v>17</v>
      </c>
      <c r="W8" s="770">
        <f t="shared" si="2"/>
        <v>0</v>
      </c>
      <c r="X8" s="771"/>
      <c r="Y8" s="3182" t="s">
        <v>2555</v>
      </c>
      <c r="Z8" s="3183"/>
      <c r="AA8" s="772" t="e">
        <f t="shared" ref="AA8:AA45" si="3">D8/F8</f>
        <v>#DIV/0!</v>
      </c>
      <c r="AB8" s="772" t="e">
        <f t="shared" ref="AB8:AB45" si="4">D8/H8</f>
        <v>#DIV/0!</v>
      </c>
      <c r="AC8" s="772" t="e">
        <f t="shared" ref="AC8:AC45" si="5">D8/J8</f>
        <v>#DIV/0!</v>
      </c>
    </row>
    <row r="9" spans="1:30" s="117" customFormat="1">
      <c r="A9" s="414" t="s">
        <v>2556</v>
      </c>
      <c r="B9" s="71" t="s">
        <v>2557</v>
      </c>
      <c r="C9" s="2701"/>
      <c r="D9" s="134">
        <v>100</v>
      </c>
      <c r="E9" s="2701"/>
      <c r="F9" s="134">
        <f>SUMIF(75:75,E9,76:76)-SUMIF(75:75,C9,76:76)+100</f>
        <v>100</v>
      </c>
      <c r="G9" s="2701"/>
      <c r="H9" s="134">
        <f>SUMIF(75:75,G9,76:76)-SUMIF(75:75,C9,76:76)+100</f>
        <v>100</v>
      </c>
      <c r="I9" s="2701"/>
      <c r="J9" s="134">
        <f>SUMIF(75:75,I9,76:76)-SUMIF(75:75,C9,76:76)+100</f>
        <v>100</v>
      </c>
      <c r="K9" s="610"/>
      <c r="L9" s="1133"/>
      <c r="M9" s="1134"/>
      <c r="N9" s="1134"/>
      <c r="O9" s="1135"/>
      <c r="P9" s="3148" t="s">
        <v>2558</v>
      </c>
      <c r="Q9" s="1797" t="str">
        <f t="shared" ref="Q9:Q15" si="6">B9</f>
        <v>用途</v>
      </c>
      <c r="R9" s="769" t="s">
        <v>17</v>
      </c>
      <c r="S9" s="770">
        <f t="shared" si="0"/>
        <v>100</v>
      </c>
      <c r="T9" s="769" t="s">
        <v>17</v>
      </c>
      <c r="U9" s="770">
        <f t="shared" si="1"/>
        <v>100</v>
      </c>
      <c r="V9" s="769" t="s">
        <v>17</v>
      </c>
      <c r="W9" s="770">
        <f t="shared" si="2"/>
        <v>100</v>
      </c>
      <c r="X9" s="771"/>
      <c r="Y9" s="2983" t="s">
        <v>2559</v>
      </c>
      <c r="Z9" s="55" t="str">
        <f t="shared" ref="Z9:Z15" si="7">Q9</f>
        <v>用途</v>
      </c>
      <c r="AA9" s="772">
        <f t="shared" si="3"/>
        <v>1</v>
      </c>
      <c r="AB9" s="772">
        <f t="shared" si="4"/>
        <v>1</v>
      </c>
      <c r="AC9" s="772">
        <f t="shared" si="5"/>
        <v>1</v>
      </c>
    </row>
    <row r="10" spans="1:30" s="426" customFormat="1" ht="27">
      <c r="A10" s="420"/>
      <c r="B10" s="421" t="s">
        <v>2560</v>
      </c>
      <c r="C10" s="431"/>
      <c r="D10" s="135">
        <v>100</v>
      </c>
      <c r="E10" s="464"/>
      <c r="F10" s="135">
        <f>ROUND(100/'数据-取费表'!G16,0)</f>
        <v>107</v>
      </c>
      <c r="G10" s="462"/>
      <c r="H10" s="135">
        <f>ROUND(100/'数据-取费表'!G16,0)</f>
        <v>107</v>
      </c>
      <c r="I10" s="462"/>
      <c r="J10" s="135">
        <f>ROUND(100/'数据-取费表'!G16,0)</f>
        <v>107</v>
      </c>
      <c r="K10" s="671"/>
      <c r="L10" s="1136"/>
      <c r="M10" s="1137"/>
      <c r="N10" s="1137"/>
      <c r="O10" s="1138"/>
      <c r="P10" s="3148"/>
      <c r="Q10" s="1797" t="str">
        <f t="shared" si="6"/>
        <v>土地使用年限（年）</v>
      </c>
      <c r="R10" s="769" t="s">
        <v>17</v>
      </c>
      <c r="S10" s="770">
        <f t="shared" si="0"/>
        <v>107</v>
      </c>
      <c r="T10" s="769" t="s">
        <v>17</v>
      </c>
      <c r="U10" s="770">
        <f t="shared" si="1"/>
        <v>107</v>
      </c>
      <c r="V10" s="769" t="s">
        <v>17</v>
      </c>
      <c r="W10" s="770">
        <f t="shared" si="2"/>
        <v>107</v>
      </c>
      <c r="X10" s="771"/>
      <c r="Y10" s="2983"/>
      <c r="Z10" s="55" t="str">
        <f t="shared" si="7"/>
        <v>土地使用年限（年）</v>
      </c>
      <c r="AA10" s="772">
        <f t="shared" si="3"/>
        <v>0.93457943925233644</v>
      </c>
      <c r="AB10" s="772">
        <f t="shared" si="4"/>
        <v>0.93457943925233644</v>
      </c>
      <c r="AC10" s="772">
        <f t="shared" si="5"/>
        <v>0.93457943925233644</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48"/>
      <c r="Q11" s="1797" t="str">
        <f t="shared" si="6"/>
        <v>容积率</v>
      </c>
      <c r="R11" s="769" t="s">
        <v>17</v>
      </c>
      <c r="S11" s="770" t="e">
        <f t="shared" si="0"/>
        <v>#N/A</v>
      </c>
      <c r="T11" s="769" t="s">
        <v>17</v>
      </c>
      <c r="U11" s="770" t="e">
        <f t="shared" si="1"/>
        <v>#N/A</v>
      </c>
      <c r="V11" s="769" t="s">
        <v>17</v>
      </c>
      <c r="W11" s="770" t="e">
        <f t="shared" si="2"/>
        <v>#N/A</v>
      </c>
      <c r="X11" s="771"/>
      <c r="Y11" s="2983"/>
      <c r="Z11" s="55" t="str">
        <f t="shared" si="7"/>
        <v>容积率</v>
      </c>
      <c r="AA11" s="772" t="e">
        <f t="shared" si="3"/>
        <v>#N/A</v>
      </c>
      <c r="AB11" s="772" t="e">
        <f t="shared" si="4"/>
        <v>#N/A</v>
      </c>
      <c r="AC11" s="772" t="e">
        <f t="shared" si="5"/>
        <v>#N/A</v>
      </c>
    </row>
    <row r="12" spans="1:30" s="117" customFormat="1" ht="15">
      <c r="A12" s="430"/>
      <c r="B12" s="2602" t="s">
        <v>2750</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48"/>
      <c r="Q12" s="1797" t="str">
        <f t="shared" si="6"/>
        <v>配建</v>
      </c>
      <c r="R12" s="769" t="s">
        <v>17</v>
      </c>
      <c r="S12" s="770">
        <f t="shared" si="0"/>
        <v>100</v>
      </c>
      <c r="T12" s="769" t="s">
        <v>17</v>
      </c>
      <c r="U12" s="770">
        <f t="shared" si="1"/>
        <v>100</v>
      </c>
      <c r="V12" s="769" t="s">
        <v>17</v>
      </c>
      <c r="W12" s="770">
        <f t="shared" si="2"/>
        <v>100</v>
      </c>
      <c r="X12" s="771"/>
      <c r="Y12" s="2983"/>
      <c r="Z12" s="55"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48"/>
      <c r="Q13" s="1797">
        <f t="shared" si="6"/>
        <v>111</v>
      </c>
      <c r="R13" s="769" t="s">
        <v>17</v>
      </c>
      <c r="S13" s="770">
        <f t="shared" si="0"/>
        <v>100</v>
      </c>
      <c r="T13" s="769" t="s">
        <v>17</v>
      </c>
      <c r="U13" s="770">
        <f t="shared" si="1"/>
        <v>100</v>
      </c>
      <c r="V13" s="769" t="s">
        <v>17</v>
      </c>
      <c r="W13" s="770">
        <f t="shared" si="2"/>
        <v>100</v>
      </c>
      <c r="X13" s="771"/>
      <c r="Y13" s="2983"/>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48"/>
      <c r="Q14" s="1797">
        <f t="shared" si="6"/>
        <v>111</v>
      </c>
      <c r="R14" s="769" t="s">
        <v>17</v>
      </c>
      <c r="S14" s="770">
        <f t="shared" si="0"/>
        <v>100</v>
      </c>
      <c r="T14" s="769" t="s">
        <v>17</v>
      </c>
      <c r="U14" s="770">
        <f t="shared" si="1"/>
        <v>100</v>
      </c>
      <c r="V14" s="769" t="s">
        <v>17</v>
      </c>
      <c r="W14" s="770">
        <f t="shared" si="2"/>
        <v>100</v>
      </c>
      <c r="X14" s="771"/>
      <c r="Y14" s="2983"/>
      <c r="Z14" s="55">
        <f t="shared" si="7"/>
        <v>111</v>
      </c>
      <c r="AA14" s="772">
        <f>D14/F14</f>
        <v>1</v>
      </c>
      <c r="AB14" s="772">
        <f>D14/H14</f>
        <v>1</v>
      </c>
      <c r="AC14" s="772">
        <f>D14/J14</f>
        <v>1</v>
      </c>
    </row>
    <row r="15" spans="1:30" ht="99.75">
      <c r="A15" s="439" t="s">
        <v>2562</v>
      </c>
      <c r="B15" s="69" t="s">
        <v>2089</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53" t="s">
        <v>2563</v>
      </c>
      <c r="Q15" s="1812" t="str">
        <f t="shared" si="6"/>
        <v>居住社区成熟度</v>
      </c>
      <c r="R15" s="773" t="s">
        <v>17</v>
      </c>
      <c r="S15" s="774">
        <f t="shared" si="0"/>
        <v>100</v>
      </c>
      <c r="T15" s="773" t="s">
        <v>17</v>
      </c>
      <c r="U15" s="774">
        <f t="shared" si="1"/>
        <v>100</v>
      </c>
      <c r="V15" s="773" t="s">
        <v>17</v>
      </c>
      <c r="W15" s="774">
        <f t="shared" si="2"/>
        <v>100</v>
      </c>
      <c r="X15" s="1815"/>
      <c r="Y15" s="3153" t="s">
        <v>2563</v>
      </c>
      <c r="Z15" s="1816" t="str">
        <f t="shared" si="7"/>
        <v>居住社区成熟度</v>
      </c>
      <c r="AA15" s="1813">
        <f t="shared" si="3"/>
        <v>1</v>
      </c>
      <c r="AB15" s="1813">
        <f t="shared" si="4"/>
        <v>1</v>
      </c>
      <c r="AC15" s="1813">
        <f t="shared" si="5"/>
        <v>1</v>
      </c>
    </row>
    <row r="16" spans="1:30" ht="15">
      <c r="A16" s="427"/>
      <c r="B16" s="445"/>
      <c r="C16" s="446"/>
      <c r="D16" s="447"/>
      <c r="E16" s="2607"/>
      <c r="F16" s="447"/>
      <c r="G16" s="2607"/>
      <c r="H16" s="449"/>
      <c r="I16" s="2606"/>
      <c r="J16" s="447"/>
      <c r="K16" s="671"/>
      <c r="L16" s="1141"/>
      <c r="M16" s="1132"/>
      <c r="N16" s="1132"/>
      <c r="O16" s="1140"/>
      <c r="P16" s="3154"/>
      <c r="Q16" s="1812"/>
      <c r="R16" s="773"/>
      <c r="S16" s="774"/>
      <c r="T16" s="773"/>
      <c r="U16" s="774"/>
      <c r="V16" s="773"/>
      <c r="W16" s="774"/>
      <c r="X16" s="1815"/>
      <c r="Y16" s="3154"/>
      <c r="Z16" s="1816"/>
      <c r="AA16" s="1813">
        <v>1</v>
      </c>
      <c r="AB16" s="1813">
        <v>1</v>
      </c>
      <c r="AC16" s="1813">
        <v>1</v>
      </c>
    </row>
    <row r="17" spans="1:29" ht="71.25">
      <c r="A17" s="427"/>
      <c r="B17" s="450" t="s">
        <v>2656</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54"/>
      <c r="Q17" s="1812" t="str">
        <f>B17</f>
        <v>商业繁华度</v>
      </c>
      <c r="R17" s="773" t="s">
        <v>17</v>
      </c>
      <c r="S17" s="774">
        <f>F17</f>
        <v>100</v>
      </c>
      <c r="T17" s="773" t="s">
        <v>17</v>
      </c>
      <c r="U17" s="774">
        <f>H17</f>
        <v>100</v>
      </c>
      <c r="V17" s="773" t="s">
        <v>17</v>
      </c>
      <c r="W17" s="774">
        <f>J17</f>
        <v>100</v>
      </c>
      <c r="X17" s="1815"/>
      <c r="Y17" s="3154"/>
      <c r="Z17" s="1816" t="str">
        <f>Q17</f>
        <v>商业繁华度</v>
      </c>
      <c r="AA17" s="1813">
        <f t="shared" si="3"/>
        <v>1</v>
      </c>
      <c r="AB17" s="1813">
        <f t="shared" si="4"/>
        <v>1</v>
      </c>
      <c r="AC17" s="1813">
        <f t="shared" si="5"/>
        <v>1</v>
      </c>
    </row>
    <row r="18" spans="1:29" ht="15">
      <c r="A18" s="427"/>
      <c r="B18" s="455"/>
      <c r="C18" s="2610"/>
      <c r="D18" s="449"/>
      <c r="E18" s="2612"/>
      <c r="F18" s="449"/>
      <c r="G18" s="2612"/>
      <c r="H18" s="447"/>
      <c r="I18" s="2611"/>
      <c r="J18" s="447"/>
      <c r="K18" s="671"/>
      <c r="L18" s="1141"/>
      <c r="M18" s="1132"/>
      <c r="N18" s="1132"/>
      <c r="O18" s="1140"/>
      <c r="P18" s="3154"/>
      <c r="Q18" s="1812"/>
      <c r="R18" s="773"/>
      <c r="S18" s="774"/>
      <c r="T18" s="773"/>
      <c r="U18" s="774"/>
      <c r="V18" s="773"/>
      <c r="W18" s="774"/>
      <c r="X18" s="1815"/>
      <c r="Y18" s="3154"/>
      <c r="Z18" s="1816"/>
      <c r="AA18" s="1813">
        <v>1</v>
      </c>
      <c r="AB18" s="1813">
        <v>1</v>
      </c>
      <c r="AC18" s="1813">
        <v>1</v>
      </c>
    </row>
    <row r="19" spans="1:29" ht="71.25">
      <c r="A19" s="427"/>
      <c r="B19" s="450" t="s">
        <v>2690</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154"/>
      <c r="Q19" s="1812" t="str">
        <f>B19</f>
        <v>办公集聚程度</v>
      </c>
      <c r="R19" s="773" t="s">
        <v>17</v>
      </c>
      <c r="S19" s="774">
        <f>F19</f>
        <v>100</v>
      </c>
      <c r="T19" s="773" t="s">
        <v>17</v>
      </c>
      <c r="U19" s="774">
        <f>H19</f>
        <v>100</v>
      </c>
      <c r="V19" s="773" t="s">
        <v>17</v>
      </c>
      <c r="W19" s="774">
        <f>J19</f>
        <v>100</v>
      </c>
      <c r="X19" s="1815"/>
      <c r="Y19" s="3154"/>
      <c r="Z19" s="1816" t="str">
        <f>Q19</f>
        <v>办公集聚程度</v>
      </c>
      <c r="AA19" s="1813">
        <f t="shared" si="3"/>
        <v>1</v>
      </c>
      <c r="AB19" s="1813">
        <f t="shared" si="4"/>
        <v>1</v>
      </c>
      <c r="AC19" s="1813">
        <f t="shared" si="5"/>
        <v>1</v>
      </c>
    </row>
    <row r="20" spans="1:29" ht="15">
      <c r="A20" s="427"/>
      <c r="B20" s="455"/>
      <c r="C20" s="446"/>
      <c r="D20" s="447"/>
      <c r="E20" s="2607"/>
      <c r="F20" s="447"/>
      <c r="G20" s="2607"/>
      <c r="H20" s="447"/>
      <c r="I20" s="2606"/>
      <c r="J20" s="447"/>
      <c r="K20" s="671"/>
      <c r="L20" s="1141"/>
      <c r="M20" s="1132"/>
      <c r="N20" s="1132"/>
      <c r="O20" s="1140"/>
      <c r="P20" s="3154"/>
      <c r="Q20" s="1812"/>
      <c r="R20" s="773"/>
      <c r="S20" s="774"/>
      <c r="T20" s="773"/>
      <c r="U20" s="774"/>
      <c r="V20" s="773"/>
      <c r="W20" s="774"/>
      <c r="X20" s="1815"/>
      <c r="Y20" s="3154"/>
      <c r="Z20" s="1816"/>
      <c r="AA20" s="1813">
        <v>1</v>
      </c>
      <c r="AB20" s="1813">
        <v>1</v>
      </c>
      <c r="AC20" s="1813">
        <v>1</v>
      </c>
    </row>
    <row r="21" spans="1:29" ht="85.5">
      <c r="A21" s="427"/>
      <c r="B21" s="450" t="s">
        <v>2712</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154"/>
      <c r="Q21" s="1812" t="str">
        <f>B21</f>
        <v>交通便捷度</v>
      </c>
      <c r="R21" s="773" t="s">
        <v>17</v>
      </c>
      <c r="S21" s="774">
        <f>F21</f>
        <v>100</v>
      </c>
      <c r="T21" s="773" t="s">
        <v>17</v>
      </c>
      <c r="U21" s="774">
        <f>H21</f>
        <v>100</v>
      </c>
      <c r="V21" s="773" t="s">
        <v>17</v>
      </c>
      <c r="W21" s="774">
        <f>J21</f>
        <v>100</v>
      </c>
      <c r="X21" s="1815"/>
      <c r="Y21" s="3154"/>
      <c r="Z21" s="1816" t="str">
        <f>Q21</f>
        <v>交通便捷度</v>
      </c>
      <c r="AA21" s="1813">
        <f t="shared" si="3"/>
        <v>1</v>
      </c>
      <c r="AB21" s="1813">
        <f t="shared" si="4"/>
        <v>1</v>
      </c>
      <c r="AC21" s="1813">
        <f t="shared" si="5"/>
        <v>1</v>
      </c>
    </row>
    <row r="22" spans="1:29" ht="15">
      <c r="A22" s="427"/>
      <c r="B22" s="1385"/>
      <c r="C22" s="446"/>
      <c r="D22" s="449"/>
      <c r="E22" s="2607"/>
      <c r="F22" s="447"/>
      <c r="G22" s="2607"/>
      <c r="H22" s="447"/>
      <c r="I22" s="2606"/>
      <c r="J22" s="447"/>
      <c r="K22" s="671"/>
      <c r="L22" s="1141"/>
      <c r="M22" s="1132"/>
      <c r="N22" s="1132"/>
      <c r="O22" s="1140"/>
      <c r="P22" s="3154"/>
      <c r="Q22" s="1812"/>
      <c r="R22" s="773"/>
      <c r="S22" s="774"/>
      <c r="T22" s="773"/>
      <c r="U22" s="774"/>
      <c r="V22" s="773"/>
      <c r="W22" s="774"/>
      <c r="X22" s="1815"/>
      <c r="Y22" s="3154"/>
      <c r="Z22" s="1816"/>
      <c r="AA22" s="1813">
        <v>1</v>
      </c>
      <c r="AB22" s="1813">
        <v>1</v>
      </c>
      <c r="AC22" s="1813">
        <v>1</v>
      </c>
    </row>
    <row r="23" spans="1:29" ht="15">
      <c r="A23" s="403"/>
      <c r="B23" s="450" t="s">
        <v>2751</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154"/>
      <c r="Q23" s="1812" t="str">
        <f t="shared" ref="Q23:Q37" si="8">B23</f>
        <v>区域土地利用方向</v>
      </c>
      <c r="R23" s="773" t="s">
        <v>17</v>
      </c>
      <c r="S23" s="774">
        <f>F23</f>
        <v>100</v>
      </c>
      <c r="T23" s="773" t="s">
        <v>17</v>
      </c>
      <c r="U23" s="774">
        <f>H23</f>
        <v>100</v>
      </c>
      <c r="V23" s="773" t="s">
        <v>17</v>
      </c>
      <c r="W23" s="774">
        <f>J23</f>
        <v>100</v>
      </c>
      <c r="X23" s="1815"/>
      <c r="Y23" s="3154"/>
      <c r="Z23" s="1816" t="str">
        <f>Q23</f>
        <v>区域土地利用方向</v>
      </c>
      <c r="AA23" s="1813">
        <f t="shared" si="3"/>
        <v>1</v>
      </c>
      <c r="AB23" s="1813">
        <f t="shared" si="4"/>
        <v>1</v>
      </c>
      <c r="AC23" s="1813">
        <f t="shared" si="5"/>
        <v>1</v>
      </c>
    </row>
    <row r="24" spans="1:29" ht="15">
      <c r="A24" s="403"/>
      <c r="B24" s="455"/>
      <c r="C24" s="615"/>
      <c r="D24" s="447"/>
      <c r="E24" s="2607"/>
      <c r="F24" s="447"/>
      <c r="G24" s="2606"/>
      <c r="H24" s="447"/>
      <c r="I24" s="2606"/>
      <c r="J24" s="447"/>
      <c r="K24" s="811"/>
      <c r="L24" s="1141"/>
      <c r="M24" s="1132"/>
      <c r="N24" s="1132"/>
      <c r="O24" s="1140"/>
      <c r="P24" s="3154"/>
      <c r="Q24" s="1812"/>
      <c r="R24" s="773"/>
      <c r="S24" s="774"/>
      <c r="T24" s="773"/>
      <c r="U24" s="774"/>
      <c r="V24" s="773"/>
      <c r="W24" s="774"/>
      <c r="X24" s="1815"/>
      <c r="Y24" s="3154"/>
      <c r="Z24" s="1816"/>
      <c r="AA24" s="1813"/>
      <c r="AB24" s="1813"/>
      <c r="AC24" s="1813"/>
    </row>
    <row r="25" spans="1:29" ht="57">
      <c r="A25" s="403"/>
      <c r="B25" s="1385" t="s">
        <v>2752</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154"/>
      <c r="Q25" s="1812" t="str">
        <f t="shared" si="8"/>
        <v>自然及人文环境状况</v>
      </c>
      <c r="R25" s="773" t="s">
        <v>17</v>
      </c>
      <c r="S25" s="774">
        <f>F25</f>
        <v>100</v>
      </c>
      <c r="T25" s="773" t="s">
        <v>17</v>
      </c>
      <c r="U25" s="774">
        <f>H25</f>
        <v>100</v>
      </c>
      <c r="V25" s="773" t="s">
        <v>17</v>
      </c>
      <c r="W25" s="774">
        <f>J25</f>
        <v>100</v>
      </c>
      <c r="X25" s="1815"/>
      <c r="Y25" s="3154"/>
      <c r="Z25" s="1816" t="str">
        <f>Q25</f>
        <v>自然及人文环境状况</v>
      </c>
      <c r="AA25" s="1813">
        <f t="shared" si="3"/>
        <v>1</v>
      </c>
      <c r="AB25" s="1813">
        <f t="shared" si="4"/>
        <v>1</v>
      </c>
      <c r="AC25" s="1813">
        <f t="shared" si="5"/>
        <v>1</v>
      </c>
    </row>
    <row r="26" spans="1:29" ht="15">
      <c r="A26" s="403"/>
      <c r="B26" s="455"/>
      <c r="C26" s="446"/>
      <c r="D26" s="447"/>
      <c r="E26" s="2613"/>
      <c r="F26" s="447"/>
      <c r="G26" s="2613"/>
      <c r="H26" s="447"/>
      <c r="I26" s="446"/>
      <c r="J26" s="447"/>
      <c r="K26" s="671"/>
      <c r="L26" s="1141"/>
      <c r="M26" s="1132"/>
      <c r="N26" s="1132"/>
      <c r="O26" s="1140"/>
      <c r="P26" s="3154"/>
      <c r="Q26" s="1812"/>
      <c r="R26" s="773"/>
      <c r="S26" s="774"/>
      <c r="T26" s="773"/>
      <c r="U26" s="774"/>
      <c r="V26" s="773"/>
      <c r="W26" s="774"/>
      <c r="X26" s="1815"/>
      <c r="Y26" s="3154"/>
      <c r="Z26" s="1816"/>
      <c r="AA26" s="1813">
        <v>1</v>
      </c>
      <c r="AB26" s="1813">
        <v>1</v>
      </c>
      <c r="AC26" s="1813">
        <v>1</v>
      </c>
    </row>
    <row r="27" spans="1:29" s="117" customFormat="1" ht="42.75">
      <c r="A27" s="648"/>
      <c r="B27" s="1385" t="s">
        <v>2657</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154"/>
      <c r="Q27" s="1797" t="str">
        <f t="shared" si="8"/>
        <v>公共配套设施</v>
      </c>
      <c r="R27" s="769" t="s">
        <v>17</v>
      </c>
      <c r="S27" s="770">
        <f>F27</f>
        <v>100</v>
      </c>
      <c r="T27" s="769" t="s">
        <v>17</v>
      </c>
      <c r="U27" s="770">
        <f>H27</f>
        <v>100</v>
      </c>
      <c r="V27" s="769" t="s">
        <v>17</v>
      </c>
      <c r="W27" s="770">
        <f>J27</f>
        <v>100</v>
      </c>
      <c r="X27" s="771"/>
      <c r="Y27" s="3154"/>
      <c r="Z27" s="55" t="str">
        <f>Q27</f>
        <v>公共配套设施</v>
      </c>
      <c r="AA27" s="1813">
        <f>D27/F27</f>
        <v>1</v>
      </c>
      <c r="AB27" s="1813">
        <f>D27/H27</f>
        <v>1</v>
      </c>
      <c r="AC27" s="1813">
        <f>D27/J27</f>
        <v>1</v>
      </c>
    </row>
    <row r="28" spans="1:29" s="117" customFormat="1" ht="15">
      <c r="A28" s="648"/>
      <c r="B28" s="455"/>
      <c r="C28" s="2702"/>
      <c r="D28" s="447"/>
      <c r="E28" s="2613"/>
      <c r="F28" s="447"/>
      <c r="G28" s="2613"/>
      <c r="H28" s="447"/>
      <c r="I28" s="446"/>
      <c r="J28" s="447"/>
      <c r="K28" s="671"/>
      <c r="L28" s="1133"/>
      <c r="M28" s="1134"/>
      <c r="N28" s="1134"/>
      <c r="O28" s="1135"/>
      <c r="P28" s="3154"/>
      <c r="Q28" s="1797"/>
      <c r="R28" s="769"/>
      <c r="S28" s="770"/>
      <c r="T28" s="769"/>
      <c r="U28" s="770"/>
      <c r="V28" s="769"/>
      <c r="W28" s="770"/>
      <c r="X28" s="771"/>
      <c r="Y28" s="3154"/>
      <c r="Z28" s="55"/>
      <c r="AA28" s="1813">
        <v>1</v>
      </c>
      <c r="AB28" s="1813">
        <v>1</v>
      </c>
      <c r="AC28" s="1813">
        <v>1</v>
      </c>
    </row>
    <row r="29" spans="1:29" s="117" customFormat="1" ht="28.5">
      <c r="A29" s="648"/>
      <c r="B29" s="1385" t="s">
        <v>2658</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154"/>
      <c r="Q29" s="1797" t="str">
        <f t="shared" ref="Q29" si="9">B29</f>
        <v>基础设施水平</v>
      </c>
      <c r="R29" s="769" t="s">
        <v>17</v>
      </c>
      <c r="S29" s="770">
        <f>F29</f>
        <v>100</v>
      </c>
      <c r="T29" s="769" t="s">
        <v>17</v>
      </c>
      <c r="U29" s="770">
        <f>H29</f>
        <v>100</v>
      </c>
      <c r="V29" s="769" t="s">
        <v>17</v>
      </c>
      <c r="W29" s="770">
        <f>J29</f>
        <v>100</v>
      </c>
      <c r="X29" s="771"/>
      <c r="Y29" s="3154"/>
      <c r="Z29" s="55" t="str">
        <f>Q29</f>
        <v>基础设施水平</v>
      </c>
      <c r="AA29" s="1813">
        <f>D29/F29</f>
        <v>1</v>
      </c>
      <c r="AB29" s="1813">
        <f>D29/H29</f>
        <v>1</v>
      </c>
      <c r="AC29" s="1813">
        <f>D29/J29</f>
        <v>1</v>
      </c>
    </row>
    <row r="30" spans="1:29" s="117" customFormat="1" ht="15">
      <c r="A30" s="648"/>
      <c r="B30" s="455"/>
      <c r="C30" s="2702"/>
      <c r="D30" s="447"/>
      <c r="E30" s="2703"/>
      <c r="F30" s="447"/>
      <c r="G30" s="2703"/>
      <c r="H30" s="447"/>
      <c r="I30" s="2703"/>
      <c r="J30" s="447"/>
      <c r="K30" s="671"/>
      <c r="L30" s="1133"/>
      <c r="M30" s="1134"/>
      <c r="N30" s="1134"/>
      <c r="O30" s="1135"/>
      <c r="P30" s="3154"/>
      <c r="Q30" s="1797"/>
      <c r="R30" s="769"/>
      <c r="S30" s="770"/>
      <c r="T30" s="769"/>
      <c r="U30" s="770"/>
      <c r="V30" s="769"/>
      <c r="W30" s="770"/>
      <c r="X30" s="771"/>
      <c r="Y30" s="3154"/>
      <c r="Z30" s="55"/>
      <c r="AA30" s="1813">
        <v>1</v>
      </c>
      <c r="AB30" s="1813">
        <v>1</v>
      </c>
      <c r="AC30" s="1813">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5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54"/>
      <c r="Z31" s="1816" t="str">
        <f t="shared" ref="Z31:Z45" si="13">Q31</f>
        <v>临街状况</v>
      </c>
      <c r="AA31" s="1813">
        <f t="shared" si="3"/>
        <v>1</v>
      </c>
      <c r="AB31" s="1813">
        <f t="shared" si="4"/>
        <v>1</v>
      </c>
      <c r="AC31" s="1813">
        <f t="shared" si="5"/>
        <v>1</v>
      </c>
    </row>
    <row r="32" spans="1:29" ht="27">
      <c r="A32" s="427"/>
      <c r="B32" s="1385"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154"/>
      <c r="Q32" s="1812" t="str">
        <f t="shared" si="8"/>
        <v>毗邻道路的类型与等级</v>
      </c>
      <c r="R32" s="773" t="s">
        <v>17</v>
      </c>
      <c r="S32" s="774">
        <f t="shared" si="10"/>
        <v>100</v>
      </c>
      <c r="T32" s="773" t="s">
        <v>17</v>
      </c>
      <c r="U32" s="774">
        <f t="shared" si="11"/>
        <v>100</v>
      </c>
      <c r="V32" s="773" t="s">
        <v>17</v>
      </c>
      <c r="W32" s="774">
        <f t="shared" si="12"/>
        <v>100</v>
      </c>
      <c r="X32" s="1815"/>
      <c r="Y32" s="3154"/>
      <c r="Z32" s="1816" t="str">
        <f t="shared" si="13"/>
        <v>毗邻道路的类型与等级</v>
      </c>
      <c r="AA32" s="1813">
        <f t="shared" si="3"/>
        <v>1</v>
      </c>
      <c r="AB32" s="1813">
        <f t="shared" si="4"/>
        <v>1</v>
      </c>
      <c r="AC32" s="1813">
        <f t="shared" si="5"/>
        <v>1</v>
      </c>
    </row>
    <row r="33" spans="1:29" ht="15">
      <c r="A33" s="427"/>
      <c r="B33" s="455"/>
      <c r="C33" s="446"/>
      <c r="D33" s="447"/>
      <c r="E33" s="2613"/>
      <c r="F33" s="447"/>
      <c r="G33" s="2613"/>
      <c r="H33" s="447"/>
      <c r="I33" s="446"/>
      <c r="J33" s="447"/>
      <c r="K33" s="612"/>
      <c r="L33" s="1141"/>
      <c r="M33" s="1132"/>
      <c r="N33" s="1132"/>
      <c r="O33" s="1140"/>
      <c r="P33" s="3154"/>
      <c r="Q33" s="1812"/>
      <c r="R33" s="773"/>
      <c r="S33" s="774"/>
      <c r="T33" s="773"/>
      <c r="U33" s="774"/>
      <c r="V33" s="773"/>
      <c r="W33" s="774"/>
      <c r="X33" s="1815"/>
      <c r="Y33" s="3154"/>
      <c r="Z33" s="1816"/>
      <c r="AA33" s="1813">
        <v>1</v>
      </c>
      <c r="AB33" s="1813">
        <v>1</v>
      </c>
      <c r="AC33" s="1813">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54"/>
      <c r="Q34" s="1812" t="str">
        <f t="shared" si="8"/>
        <v>土地级别</v>
      </c>
      <c r="R34" s="773" t="s">
        <v>17</v>
      </c>
      <c r="S34" s="774">
        <f t="shared" si="10"/>
        <v>100</v>
      </c>
      <c r="T34" s="773" t="s">
        <v>17</v>
      </c>
      <c r="U34" s="774">
        <f t="shared" si="11"/>
        <v>100</v>
      </c>
      <c r="V34" s="773" t="s">
        <v>17</v>
      </c>
      <c r="W34" s="774">
        <f t="shared" si="12"/>
        <v>100</v>
      </c>
      <c r="X34" s="1815"/>
      <c r="Y34" s="3154"/>
      <c r="Z34" s="1816" t="str">
        <f t="shared" si="13"/>
        <v>土地级别</v>
      </c>
      <c r="AA34" s="1813">
        <f t="shared" si="3"/>
        <v>1</v>
      </c>
      <c r="AB34" s="1813">
        <f t="shared" si="4"/>
        <v>1</v>
      </c>
      <c r="AC34" s="1813">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54"/>
      <c r="Q35" s="1812">
        <f t="shared" si="8"/>
        <v>111</v>
      </c>
      <c r="R35" s="773" t="s">
        <v>17</v>
      </c>
      <c r="S35" s="774">
        <f t="shared" si="10"/>
        <v>100</v>
      </c>
      <c r="T35" s="773" t="s">
        <v>17</v>
      </c>
      <c r="U35" s="774">
        <f t="shared" si="11"/>
        <v>100</v>
      </c>
      <c r="V35" s="773" t="s">
        <v>17</v>
      </c>
      <c r="W35" s="774">
        <f t="shared" si="12"/>
        <v>100</v>
      </c>
      <c r="X35" s="1815"/>
      <c r="Y35" s="3154"/>
      <c r="Z35" s="1816">
        <f t="shared" si="13"/>
        <v>111</v>
      </c>
      <c r="AA35" s="1813">
        <f t="shared" si="3"/>
        <v>1</v>
      </c>
      <c r="AB35" s="1813">
        <f t="shared" si="4"/>
        <v>1</v>
      </c>
      <c r="AC35" s="1813">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155" t="s">
        <v>2568</v>
      </c>
      <c r="Q36" s="1812">
        <f t="shared" si="8"/>
        <v>111</v>
      </c>
      <c r="R36" s="773" t="s">
        <v>17</v>
      </c>
      <c r="S36" s="774">
        <f t="shared" si="10"/>
        <v>100</v>
      </c>
      <c r="T36" s="773" t="s">
        <v>17</v>
      </c>
      <c r="U36" s="774">
        <f t="shared" si="11"/>
        <v>100</v>
      </c>
      <c r="V36" s="773" t="s">
        <v>17</v>
      </c>
      <c r="W36" s="774">
        <f t="shared" si="12"/>
        <v>100</v>
      </c>
      <c r="X36" s="1815"/>
      <c r="Y36" s="3156" t="s">
        <v>2568</v>
      </c>
      <c r="Z36" s="1816">
        <f t="shared" si="13"/>
        <v>111</v>
      </c>
      <c r="AA36" s="1813">
        <f t="shared" si="3"/>
        <v>1</v>
      </c>
      <c r="AB36" s="1813">
        <f t="shared" si="4"/>
        <v>1</v>
      </c>
      <c r="AC36" s="1813">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56"/>
      <c r="Q37" s="1812">
        <f t="shared" si="8"/>
        <v>111</v>
      </c>
      <c r="R37" s="776" t="s">
        <v>17</v>
      </c>
      <c r="S37" s="777">
        <f t="shared" si="10"/>
        <v>100</v>
      </c>
      <c r="T37" s="776" t="s">
        <v>17</v>
      </c>
      <c r="U37" s="777">
        <f t="shared" si="11"/>
        <v>100</v>
      </c>
      <c r="V37" s="776" t="s">
        <v>17</v>
      </c>
      <c r="W37" s="777">
        <f t="shared" si="12"/>
        <v>100</v>
      </c>
      <c r="X37" s="778"/>
      <c r="Y37" s="3156"/>
      <c r="Z37" s="779">
        <f t="shared" si="13"/>
        <v>111</v>
      </c>
      <c r="AA37" s="1813">
        <f t="shared" si="3"/>
        <v>1</v>
      </c>
      <c r="AB37" s="1813">
        <f t="shared" si="4"/>
        <v>1</v>
      </c>
      <c r="AC37" s="1813">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156"/>
      <c r="Q38" s="1812" t="str">
        <f>B38</f>
        <v>宗地面积</v>
      </c>
      <c r="R38" s="773" t="s">
        <v>17</v>
      </c>
      <c r="S38" s="774" t="e">
        <f t="shared" si="10"/>
        <v>#N/A</v>
      </c>
      <c r="T38" s="773" t="s">
        <v>17</v>
      </c>
      <c r="U38" s="774" t="e">
        <f t="shared" si="11"/>
        <v>#N/A</v>
      </c>
      <c r="V38" s="773" t="s">
        <v>17</v>
      </c>
      <c r="W38" s="774" t="e">
        <f t="shared" si="12"/>
        <v>#N/A</v>
      </c>
      <c r="X38" s="1815"/>
      <c r="Y38" s="3156"/>
      <c r="Z38" s="1816" t="str">
        <f t="shared" si="13"/>
        <v>宗地面积</v>
      </c>
      <c r="AA38" s="1813" t="e">
        <f t="shared" si="3"/>
        <v>#N/A</v>
      </c>
      <c r="AB38" s="1813" t="e">
        <f t="shared" si="4"/>
        <v>#N/A</v>
      </c>
      <c r="AC38" s="1813" t="e">
        <f t="shared" si="5"/>
        <v>#N/A</v>
      </c>
    </row>
    <row r="39" spans="1:29" ht="15">
      <c r="A39" s="471"/>
      <c r="B39" s="421" t="s">
        <v>2755</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156"/>
      <c r="Q39" s="1812" t="str">
        <f t="shared" ref="Q39:Q45" si="14">B39</f>
        <v>宗地形状</v>
      </c>
      <c r="R39" s="773" t="s">
        <v>17</v>
      </c>
      <c r="S39" s="774">
        <f t="shared" si="10"/>
        <v>100</v>
      </c>
      <c r="T39" s="773" t="s">
        <v>17</v>
      </c>
      <c r="U39" s="774">
        <f t="shared" si="11"/>
        <v>100</v>
      </c>
      <c r="V39" s="773" t="s">
        <v>17</v>
      </c>
      <c r="W39" s="774">
        <f t="shared" si="12"/>
        <v>100</v>
      </c>
      <c r="X39" s="1815"/>
      <c r="Y39" s="3156"/>
      <c r="Z39" s="1816" t="str">
        <f t="shared" si="13"/>
        <v>宗地形状</v>
      </c>
      <c r="AA39" s="1813">
        <f t="shared" si="3"/>
        <v>1</v>
      </c>
      <c r="AB39" s="1813">
        <f t="shared" si="4"/>
        <v>1</v>
      </c>
      <c r="AC39" s="1813">
        <f t="shared" si="5"/>
        <v>1</v>
      </c>
    </row>
    <row r="40" spans="1:29" ht="15">
      <c r="A40" s="471"/>
      <c r="B40" s="421" t="s">
        <v>2756</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156"/>
      <c r="Q40" s="1812" t="str">
        <f t="shared" si="14"/>
        <v>临街宽度及深度</v>
      </c>
      <c r="R40" s="773" t="s">
        <v>17</v>
      </c>
      <c r="S40" s="774">
        <f t="shared" si="10"/>
        <v>100</v>
      </c>
      <c r="T40" s="773" t="s">
        <v>17</v>
      </c>
      <c r="U40" s="774">
        <f t="shared" si="11"/>
        <v>100</v>
      </c>
      <c r="V40" s="773" t="s">
        <v>17</v>
      </c>
      <c r="W40" s="774">
        <f t="shared" si="12"/>
        <v>100</v>
      </c>
      <c r="X40" s="1815"/>
      <c r="Y40" s="3156"/>
      <c r="Z40" s="1816" t="str">
        <f t="shared" si="13"/>
        <v>临街宽度及深度</v>
      </c>
      <c r="AA40" s="1813">
        <f t="shared" si="3"/>
        <v>1</v>
      </c>
      <c r="AB40" s="1813">
        <f t="shared" si="4"/>
        <v>1</v>
      </c>
      <c r="AC40" s="1813">
        <f t="shared" si="5"/>
        <v>1</v>
      </c>
    </row>
    <row r="41" spans="1:29" s="117" customFormat="1" ht="15">
      <c r="A41" s="472"/>
      <c r="B41" s="421" t="s">
        <v>2757</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3"/>
      <c r="M41" s="1134"/>
      <c r="N41" s="1134"/>
      <c r="O41" s="1135"/>
      <c r="P41" s="3156"/>
      <c r="Q41" s="1812" t="str">
        <f t="shared" si="14"/>
        <v>宗地开发程度</v>
      </c>
      <c r="R41" s="769" t="s">
        <v>17</v>
      </c>
      <c r="S41" s="770">
        <f t="shared" si="10"/>
        <v>100</v>
      </c>
      <c r="T41" s="769" t="s">
        <v>17</v>
      </c>
      <c r="U41" s="770">
        <f t="shared" si="11"/>
        <v>100</v>
      </c>
      <c r="V41" s="769" t="s">
        <v>17</v>
      </c>
      <c r="W41" s="770">
        <f t="shared" si="12"/>
        <v>100</v>
      </c>
      <c r="X41" s="771"/>
      <c r="Y41" s="3156"/>
      <c r="Z41" s="55" t="str">
        <f t="shared" si="13"/>
        <v>宗地开发程度</v>
      </c>
      <c r="AA41" s="772">
        <f t="shared" si="3"/>
        <v>1</v>
      </c>
      <c r="AB41" s="772">
        <f t="shared" si="4"/>
        <v>1</v>
      </c>
      <c r="AC41" s="772">
        <f t="shared" si="5"/>
        <v>1</v>
      </c>
    </row>
    <row r="42" spans="1:29" ht="15">
      <c r="A42" s="471"/>
      <c r="B42" s="421" t="s">
        <v>2758</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156" t="s">
        <v>2568</v>
      </c>
      <c r="Q42" s="1812" t="str">
        <f t="shared" si="14"/>
        <v>工程地质条件</v>
      </c>
      <c r="R42" s="773" t="s">
        <v>17</v>
      </c>
      <c r="S42" s="774">
        <f t="shared" si="10"/>
        <v>100</v>
      </c>
      <c r="T42" s="773" t="s">
        <v>17</v>
      </c>
      <c r="U42" s="774">
        <f t="shared" si="11"/>
        <v>100</v>
      </c>
      <c r="V42" s="773" t="s">
        <v>17</v>
      </c>
      <c r="W42" s="774">
        <f t="shared" si="12"/>
        <v>100</v>
      </c>
      <c r="X42" s="1815"/>
      <c r="Y42" s="3156" t="s">
        <v>2568</v>
      </c>
      <c r="Z42" s="1816" t="str">
        <f t="shared" si="13"/>
        <v>工程地质条件</v>
      </c>
      <c r="AA42" s="1813">
        <f t="shared" si="3"/>
        <v>1</v>
      </c>
      <c r="AB42" s="1813">
        <f t="shared" si="4"/>
        <v>1</v>
      </c>
      <c r="AC42" s="1813">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56"/>
      <c r="Q43" s="1812">
        <f t="shared" si="14"/>
        <v>111</v>
      </c>
      <c r="R43" s="773" t="s">
        <v>17</v>
      </c>
      <c r="S43" s="774">
        <f t="shared" si="10"/>
        <v>100</v>
      </c>
      <c r="T43" s="773" t="s">
        <v>17</v>
      </c>
      <c r="U43" s="774">
        <f t="shared" si="11"/>
        <v>100</v>
      </c>
      <c r="V43" s="773" t="s">
        <v>17</v>
      </c>
      <c r="W43" s="774">
        <f t="shared" si="12"/>
        <v>100</v>
      </c>
      <c r="X43" s="1815"/>
      <c r="Y43" s="3156"/>
      <c r="Z43" s="1816">
        <f t="shared" si="13"/>
        <v>111</v>
      </c>
      <c r="AA43" s="1813">
        <f t="shared" si="3"/>
        <v>1</v>
      </c>
      <c r="AB43" s="1813">
        <f t="shared" si="4"/>
        <v>1</v>
      </c>
      <c r="AC43" s="1813">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56"/>
      <c r="Q44" s="1812">
        <f t="shared" si="14"/>
        <v>111</v>
      </c>
      <c r="R44" s="773" t="s">
        <v>17</v>
      </c>
      <c r="S44" s="774">
        <f t="shared" si="10"/>
        <v>100</v>
      </c>
      <c r="T44" s="773" t="s">
        <v>17</v>
      </c>
      <c r="U44" s="774">
        <f t="shared" si="11"/>
        <v>100</v>
      </c>
      <c r="V44" s="773" t="s">
        <v>17</v>
      </c>
      <c r="W44" s="774">
        <f t="shared" si="12"/>
        <v>100</v>
      </c>
      <c r="X44" s="1815"/>
      <c r="Y44" s="3156"/>
      <c r="Z44" s="1816">
        <f t="shared" si="13"/>
        <v>111</v>
      </c>
      <c r="AA44" s="1813">
        <f t="shared" si="3"/>
        <v>1</v>
      </c>
      <c r="AB44" s="1813">
        <f t="shared" si="4"/>
        <v>1</v>
      </c>
      <c r="AC44" s="1813">
        <f t="shared" si="5"/>
        <v>1</v>
      </c>
    </row>
    <row r="45" spans="1:29" s="470" customFormat="1" ht="15.75" thickBot="1">
      <c r="A45" s="467"/>
      <c r="B45" s="1388">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56"/>
      <c r="Q45" s="1812">
        <f t="shared" si="14"/>
        <v>111</v>
      </c>
      <c r="R45" s="776" t="s">
        <v>17</v>
      </c>
      <c r="S45" s="777">
        <f t="shared" si="10"/>
        <v>100</v>
      </c>
      <c r="T45" s="776" t="s">
        <v>17</v>
      </c>
      <c r="U45" s="777">
        <f t="shared" si="11"/>
        <v>100</v>
      </c>
      <c r="V45" s="776" t="s">
        <v>17</v>
      </c>
      <c r="W45" s="777">
        <f t="shared" si="12"/>
        <v>100</v>
      </c>
      <c r="X45" s="778"/>
      <c r="Y45" s="3156"/>
      <c r="Z45" s="779">
        <f t="shared" si="13"/>
        <v>111</v>
      </c>
      <c r="AA45" s="1813">
        <f t="shared" si="3"/>
        <v>1</v>
      </c>
      <c r="AB45" s="1813">
        <f t="shared" si="4"/>
        <v>1</v>
      </c>
      <c r="AC45" s="1813">
        <f t="shared" si="5"/>
        <v>1</v>
      </c>
    </row>
    <row r="46" spans="1:29" ht="15">
      <c r="A46" s="478" t="s">
        <v>2723</v>
      </c>
      <c r="B46" s="2706" t="s">
        <v>2759</v>
      </c>
      <c r="C46" s="681" t="s">
        <v>1</v>
      </c>
      <c r="D46" s="480"/>
      <c r="E46" s="481"/>
      <c r="F46" s="482"/>
      <c r="G46" s="483"/>
      <c r="H46" s="484"/>
      <c r="I46" s="481"/>
      <c r="J46" s="484"/>
      <c r="K46" s="782"/>
      <c r="L46" s="1144"/>
      <c r="M46" s="1145"/>
      <c r="N46" s="1132"/>
      <c r="O46" s="1145"/>
      <c r="P46" s="3148" t="str">
        <f>A46</f>
        <v>成交单价</v>
      </c>
      <c r="Q46" s="3148"/>
      <c r="R46" s="3177">
        <f>E46</f>
        <v>0</v>
      </c>
      <c r="S46" s="3177"/>
      <c r="T46" s="3177">
        <f>G46</f>
        <v>0</v>
      </c>
      <c r="U46" s="3177"/>
      <c r="V46" s="3177">
        <f>I46</f>
        <v>0</v>
      </c>
      <c r="W46" s="3177"/>
      <c r="X46" s="758"/>
      <c r="Y46" s="780"/>
      <c r="Z46" s="758"/>
      <c r="AA46" s="758"/>
      <c r="AB46" s="758"/>
      <c r="AC46" s="758"/>
    </row>
    <row r="47" spans="1:29" ht="15.75" thickBot="1">
      <c r="A47" s="485" t="s">
        <v>2672</v>
      </c>
      <c r="B47" s="682"/>
      <c r="C47" s="489" t="e">
        <f>R48</f>
        <v>#DIV/0!</v>
      </c>
      <c r="D47" s="488"/>
      <c r="E47" s="489" t="e">
        <f>R47</f>
        <v>#DIV/0!</v>
      </c>
      <c r="F47" s="490"/>
      <c r="G47" s="487" t="e">
        <f>T47</f>
        <v>#DIV/0!</v>
      </c>
      <c r="H47" s="488"/>
      <c r="I47" s="489" t="e">
        <f>V47</f>
        <v>#DIV/0!</v>
      </c>
      <c r="J47" s="488"/>
      <c r="K47" s="783"/>
      <c r="L47" s="1144"/>
      <c r="M47" s="1145"/>
      <c r="N47" s="1145"/>
      <c r="O47" s="1145"/>
      <c r="P47" s="3148" t="str">
        <f>A47</f>
        <v>比较价值（元/平方米）</v>
      </c>
      <c r="Q47" s="3148"/>
      <c r="R47" s="3238" t="e">
        <f>ROUND(PRODUCT(R46,AA7:AA45),0)</f>
        <v>#DIV/0!</v>
      </c>
      <c r="S47" s="3238"/>
      <c r="T47" s="3238" t="e">
        <f>ROUND(PRODUCT(T46,AB7:AB45),0)</f>
        <v>#DIV/0!</v>
      </c>
      <c r="U47" s="3238"/>
      <c r="V47" s="3238" t="e">
        <f>ROUND(PRODUCT(V46,AC7:AC45),0)</f>
        <v>#DIV/0!</v>
      </c>
      <c r="W47" s="3238"/>
      <c r="X47" s="758"/>
      <c r="Y47" s="758"/>
      <c r="Z47" s="758"/>
      <c r="AA47" s="758"/>
      <c r="AB47" s="758"/>
      <c r="AC47" s="758"/>
    </row>
    <row r="48" spans="1:29" ht="15.75" thickBot="1">
      <c r="A48" s="491" t="s">
        <v>2760</v>
      </c>
      <c r="B48" s="492"/>
      <c r="C48" s="493" t="e">
        <f>R48</f>
        <v>#DIV/0!</v>
      </c>
      <c r="D48" s="493"/>
      <c r="E48" s="493"/>
      <c r="F48" s="493"/>
      <c r="G48" s="493"/>
      <c r="H48" s="493"/>
      <c r="I48" s="493"/>
      <c r="J48" s="493"/>
      <c r="K48" s="784"/>
      <c r="L48" s="1144"/>
      <c r="M48" s="1145"/>
      <c r="N48" s="1145"/>
      <c r="O48" s="1145"/>
      <c r="P48" s="3150" t="str">
        <f>A48</f>
        <v>估价对象XX用房的比较价值（楼面单价，元/平方米）</v>
      </c>
      <c r="Q48" s="3151"/>
      <c r="R48" s="3239" t="e">
        <f>ROUND(AVERAGE(R47:V47),0)</f>
        <v>#DIV/0!</v>
      </c>
      <c r="S48" s="3239"/>
      <c r="T48" s="3239"/>
      <c r="U48" s="3239"/>
      <c r="V48" s="3239"/>
      <c r="W48" s="3239"/>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2761</v>
      </c>
      <c r="B55" s="684" t="s">
        <v>2762</v>
      </c>
      <c r="C55" s="2707" t="s">
        <v>2763</v>
      </c>
      <c r="D55" s="2708" t="s">
        <v>2764</v>
      </c>
      <c r="E55" s="685" t="s">
        <v>2765</v>
      </c>
      <c r="F55" s="1108" t="s">
        <v>2766</v>
      </c>
      <c r="G55" s="3161" t="s">
        <v>2767</v>
      </c>
      <c r="H55" s="3240"/>
      <c r="I55" s="143" t="s">
        <v>2768</v>
      </c>
      <c r="J55" s="2709">
        <f>项目基本情况!F35</f>
        <v>0</v>
      </c>
      <c r="K55" s="2710" t="s">
        <v>2769</v>
      </c>
      <c r="L55" s="1107"/>
      <c r="M55" s="1145"/>
      <c r="N55" s="1145"/>
      <c r="O55" s="1145"/>
    </row>
    <row r="56" spans="1:15" s="691" customFormat="1">
      <c r="A56" s="687" t="s">
        <v>2770</v>
      </c>
      <c r="B56" s="688" t="e">
        <f>C48</f>
        <v>#DIV/0!</v>
      </c>
      <c r="C56" s="689">
        <v>1</v>
      </c>
      <c r="D56" s="1164">
        <v>1</v>
      </c>
      <c r="E56" s="689">
        <f>'数据-汇总表'!E8+'数据-汇总表'!E9</f>
        <v>4799.08</v>
      </c>
      <c r="F56" s="1104" t="e">
        <f t="shared" ref="F56:F65" si="15">ROUND(B56*E56/10000,0)</f>
        <v>#DIV/0!</v>
      </c>
      <c r="G56" s="3219"/>
      <c r="H56" s="3148"/>
      <c r="I56" s="1109">
        <v>1</v>
      </c>
      <c r="J56" s="1112">
        <v>1</v>
      </c>
      <c r="K56" s="1146"/>
      <c r="L56" s="943"/>
      <c r="M56" s="943"/>
      <c r="N56" s="943"/>
      <c r="O56" s="943"/>
    </row>
    <row r="57" spans="1:15" s="691" customFormat="1">
      <c r="A57" s="692" t="s">
        <v>2771</v>
      </c>
      <c r="B57" s="261" t="e">
        <f>ROUND($C$48*C57*D57,0)</f>
        <v>#DIV/0!</v>
      </c>
      <c r="C57" s="199">
        <f t="shared" ref="C57:C65" si="16">IF($C$55="北京市系数",I57,J57)</f>
        <v>0</v>
      </c>
      <c r="D57" s="1165">
        <v>0.25</v>
      </c>
      <c r="E57" s="693"/>
      <c r="F57" s="1104" t="e">
        <f t="shared" si="15"/>
        <v>#DIV/0!</v>
      </c>
      <c r="G57" s="3241" t="s">
        <v>2772</v>
      </c>
      <c r="H57" s="1105">
        <f>项目基本情况!B37</f>
        <v>0</v>
      </c>
      <c r="I57" s="1109">
        <f>SUMIF(修正!A45:A56,H57,修正!B45:B56)</f>
        <v>0</v>
      </c>
      <c r="J57" s="1113"/>
      <c r="K57" s="1145"/>
      <c r="L57" s="943"/>
      <c r="M57" s="943"/>
      <c r="N57" s="943"/>
      <c r="O57" s="943"/>
    </row>
    <row r="58" spans="1:15" s="691" customFormat="1">
      <c r="A58" s="692" t="s">
        <v>2773</v>
      </c>
      <c r="B58" s="261" t="e">
        <f t="shared" ref="B58:B65" si="17">ROUND($C$48*C58*D58,0)</f>
        <v>#DIV/0!</v>
      </c>
      <c r="C58" s="199">
        <f t="shared" si="16"/>
        <v>0</v>
      </c>
      <c r="D58" s="1165">
        <v>0.25</v>
      </c>
      <c r="E58" s="693"/>
      <c r="F58" s="1104" t="e">
        <f t="shared" si="15"/>
        <v>#DIV/0!</v>
      </c>
      <c r="G58" s="3241"/>
      <c r="H58" s="1105">
        <f>项目基本情况!B37</f>
        <v>0</v>
      </c>
      <c r="I58" s="1109">
        <f>SUMIF(修正!A45:A56,H58,修正!C45:C56)</f>
        <v>0</v>
      </c>
      <c r="J58" s="1113"/>
      <c r="K58" s="1146"/>
      <c r="L58" s="943"/>
      <c r="M58" s="943"/>
      <c r="N58" s="943"/>
      <c r="O58" s="943"/>
    </row>
    <row r="59" spans="1:15" s="691" customFormat="1">
      <c r="A59" s="692" t="s">
        <v>2774</v>
      </c>
      <c r="B59" s="261" t="e">
        <f t="shared" si="17"/>
        <v>#DIV/0!</v>
      </c>
      <c r="C59" s="199">
        <f t="shared" si="16"/>
        <v>0</v>
      </c>
      <c r="D59" s="1165">
        <v>0.25</v>
      </c>
      <c r="E59" s="693"/>
      <c r="F59" s="1104" t="e">
        <f t="shared" si="15"/>
        <v>#DIV/0!</v>
      </c>
      <c r="G59" s="3241"/>
      <c r="H59" s="1105">
        <f>项目基本情况!B37</f>
        <v>0</v>
      </c>
      <c r="I59" s="1109">
        <f>SUMIF(修正!A45:A56,H59,修正!D45:D56)</f>
        <v>0</v>
      </c>
      <c r="J59" s="1113"/>
      <c r="K59" s="1145"/>
      <c r="L59" s="943"/>
      <c r="M59" s="943"/>
      <c r="N59" s="943"/>
      <c r="O59" s="943"/>
    </row>
    <row r="60" spans="1:15" s="691" customFormat="1">
      <c r="A60" s="692" t="s">
        <v>2775</v>
      </c>
      <c r="B60" s="261" t="e">
        <f t="shared" si="17"/>
        <v>#DIV/0!</v>
      </c>
      <c r="C60" s="199">
        <f t="shared" si="16"/>
        <v>0</v>
      </c>
      <c r="D60" s="1165">
        <v>0.25</v>
      </c>
      <c r="E60" s="693"/>
      <c r="F60" s="1104" t="e">
        <f t="shared" si="15"/>
        <v>#DIV/0!</v>
      </c>
      <c r="G60" s="3241"/>
      <c r="H60" s="1105">
        <f>项目基本情况!B37</f>
        <v>0</v>
      </c>
      <c r="I60" s="1109">
        <f>SUMIF(修正!A45:A56,H60,修正!E45:E56)</f>
        <v>0</v>
      </c>
      <c r="J60" s="1113"/>
      <c r="K60" s="1146"/>
      <c r="L60" s="943"/>
      <c r="M60" s="943"/>
      <c r="N60" s="943"/>
      <c r="O60" s="943"/>
    </row>
    <row r="61" spans="1:15" s="691" customFormat="1">
      <c r="A61" s="692" t="s">
        <v>2776</v>
      </c>
      <c r="B61" s="261" t="e">
        <f t="shared" si="17"/>
        <v>#DIV/0!</v>
      </c>
      <c r="C61" s="199">
        <f t="shared" si="16"/>
        <v>0</v>
      </c>
      <c r="D61" s="1165">
        <v>0.25</v>
      </c>
      <c r="E61" s="260">
        <f>'数据-汇总表'!E11</f>
        <v>0</v>
      </c>
      <c r="F61" s="1104" t="e">
        <f t="shared" si="15"/>
        <v>#DIV/0!</v>
      </c>
      <c r="G61" s="2711" t="s">
        <v>2777</v>
      </c>
      <c r="H61" s="1105">
        <f>项目基本情况!C37</f>
        <v>0</v>
      </c>
      <c r="I61" s="1109">
        <f>SUMIF(修正!A45:A56,H61,修正!F45:F56)</f>
        <v>0</v>
      </c>
      <c r="J61" s="1113"/>
      <c r="K61" s="1145"/>
      <c r="L61" s="943"/>
      <c r="M61" s="943"/>
      <c r="N61" s="943"/>
      <c r="O61" s="943"/>
    </row>
    <row r="62" spans="1:15" s="691" customFormat="1">
      <c r="A62" s="692" t="s">
        <v>2778</v>
      </c>
      <c r="B62" s="261" t="e">
        <f t="shared" si="17"/>
        <v>#DIV/0!</v>
      </c>
      <c r="C62" s="199">
        <f t="shared" si="16"/>
        <v>0</v>
      </c>
      <c r="D62" s="1165">
        <v>0.25</v>
      </c>
      <c r="E62" s="260">
        <f>'数据-汇总表'!E12</f>
        <v>0</v>
      </c>
      <c r="F62" s="1104" t="e">
        <f t="shared" si="15"/>
        <v>#DIV/0!</v>
      </c>
      <c r="G62" s="1110" t="s">
        <v>2779</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2780</v>
      </c>
      <c r="B63" s="261" t="e">
        <f t="shared" si="17"/>
        <v>#DIV/0!</v>
      </c>
      <c r="C63" s="199">
        <f t="shared" si="16"/>
        <v>0</v>
      </c>
      <c r="D63" s="1165">
        <v>0.25</v>
      </c>
      <c r="E63" s="260">
        <f>'数据-汇总表'!E13</f>
        <v>0</v>
      </c>
      <c r="F63" s="1104" t="e">
        <f t="shared" si="15"/>
        <v>#DIV/0!</v>
      </c>
      <c r="G63" s="1110" t="s">
        <v>2781</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2782</v>
      </c>
      <c r="B64" s="261" t="e">
        <f t="shared" si="17"/>
        <v>#DIV/0!</v>
      </c>
      <c r="C64" s="199">
        <f t="shared" si="16"/>
        <v>0</v>
      </c>
      <c r="D64" s="1165">
        <v>0.25</v>
      </c>
      <c r="E64" s="260">
        <f>'数据-汇总表'!E14</f>
        <v>0</v>
      </c>
      <c r="F64" s="1104" t="e">
        <f t="shared" si="15"/>
        <v>#DIV/0!</v>
      </c>
      <c r="G64" s="2711" t="s">
        <v>2772</v>
      </c>
      <c r="H64" s="1105">
        <f>项目基本情况!B37</f>
        <v>0</v>
      </c>
      <c r="I64" s="1109">
        <f>SUMIF(修正!A45:A56,H64,修正!H45:H56)</f>
        <v>0</v>
      </c>
      <c r="J64" s="1113"/>
      <c r="K64" s="1146"/>
      <c r="L64" s="943"/>
      <c r="M64" s="943"/>
      <c r="N64" s="943"/>
      <c r="O64" s="943"/>
    </row>
    <row r="65" spans="1:17" s="691" customFormat="1" ht="15" thickBot="1">
      <c r="A65" s="692" t="s">
        <v>2783</v>
      </c>
      <c r="B65" s="261" t="e">
        <f t="shared" si="17"/>
        <v>#DIV/0!</v>
      </c>
      <c r="C65" s="199">
        <f t="shared" si="16"/>
        <v>0</v>
      </c>
      <c r="D65" s="1165">
        <v>0.25</v>
      </c>
      <c r="E65" s="260">
        <f>'数据-汇总表'!E15</f>
        <v>0</v>
      </c>
      <c r="F65" s="1104" t="e">
        <f t="shared" si="15"/>
        <v>#DIV/0!</v>
      </c>
      <c r="G65" s="2712" t="s">
        <v>2777</v>
      </c>
      <c r="H65" s="1115">
        <f>项目基本情况!C37</f>
        <v>0</v>
      </c>
      <c r="I65" s="1111">
        <f>SUMIF(修正!A45:A56,H65,修正!H45:H56)</f>
        <v>0</v>
      </c>
      <c r="J65" s="1114"/>
      <c r="K65" s="1145"/>
      <c r="L65" s="943"/>
      <c r="M65" s="943"/>
      <c r="N65" s="943"/>
      <c r="O65" s="943"/>
    </row>
    <row r="66" spans="1:17" s="691" customFormat="1" ht="13.5" thickBot="1">
      <c r="A66" s="694" t="s">
        <v>2784</v>
      </c>
      <c r="B66" s="695" t="s">
        <v>28</v>
      </c>
      <c r="C66" s="695" t="s">
        <v>29</v>
      </c>
      <c r="D66" s="695" t="s">
        <v>1029</v>
      </c>
      <c r="E66" s="695">
        <f>IF(B46="楼面地价",SUM(E56:E65),'数据-汇总表'!D3)</f>
        <v>4799.08</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2677</v>
      </c>
      <c r="B69" s="758"/>
      <c r="C69" s="763"/>
      <c r="D69" s="763"/>
      <c r="E69" s="763"/>
      <c r="F69" s="764"/>
      <c r="G69" s="764"/>
      <c r="H69" s="763"/>
      <c r="I69" s="763"/>
      <c r="J69" s="1160"/>
      <c r="K69" s="1161"/>
      <c r="L69" s="1162"/>
      <c r="M69" s="1160"/>
      <c r="N69" s="1160"/>
      <c r="O69" s="1160"/>
      <c r="P69" s="502"/>
      <c r="Q69" s="503"/>
    </row>
    <row r="70" spans="1:17" s="507" customFormat="1" ht="15">
      <c r="A70" s="2713" t="s">
        <v>2785</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6"/>
    </row>
    <row r="71" spans="1:17" s="117" customFormat="1" ht="30" customHeight="1">
      <c r="A71" s="2714" t="s">
        <v>2786</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9"/>
      <c r="N71" s="594"/>
      <c r="O71" s="1570"/>
      <c r="P71" s="503"/>
    </row>
    <row r="72" spans="1:17" s="117" customFormat="1" ht="15.75" thickBot="1">
      <c r="A72" s="514" t="s">
        <v>2588</v>
      </c>
      <c r="B72" s="515"/>
      <c r="C72" s="516"/>
      <c r="D72" s="517"/>
      <c r="E72" s="517"/>
      <c r="F72" s="517"/>
      <c r="G72" s="517"/>
      <c r="H72" s="517"/>
      <c r="I72" s="517"/>
      <c r="J72" s="517"/>
      <c r="K72" s="517"/>
      <c r="L72" s="517"/>
      <c r="M72" s="518"/>
      <c r="N72" s="517"/>
      <c r="O72" s="1163"/>
      <c r="P72" s="503"/>
      <c r="Q72" s="503"/>
    </row>
    <row r="73" spans="1:17" s="117" customFormat="1" ht="15">
      <c r="A73" s="520" t="s">
        <v>2553</v>
      </c>
      <c r="B73" s="509"/>
      <c r="C73" s="521" t="s">
        <v>2655</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2591</v>
      </c>
      <c r="B75" s="527" t="s">
        <v>2557</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2560</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2788</v>
      </c>
      <c r="C96" s="577" t="s">
        <v>2600</v>
      </c>
      <c r="D96" s="577" t="s">
        <v>2601</v>
      </c>
      <c r="E96" s="577" t="s">
        <v>2602</v>
      </c>
      <c r="F96" s="577" t="s">
        <v>2603</v>
      </c>
      <c r="G96" s="577" t="s">
        <v>2604</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2789</v>
      </c>
      <c r="C98" s="572" t="s">
        <v>2600</v>
      </c>
      <c r="D98" s="572" t="s">
        <v>2601</v>
      </c>
      <c r="E98" s="572" t="s">
        <v>2602</v>
      </c>
      <c r="F98" s="572" t="s">
        <v>2603</v>
      </c>
      <c r="G98" s="572" t="s">
        <v>2604</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2694</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2753</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2795</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2796</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2797</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2798</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2749</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2648</v>
      </c>
      <c r="B4" s="401"/>
      <c r="C4" s="3161" t="s">
        <v>2649</v>
      </c>
      <c r="D4" s="3162"/>
      <c r="E4" s="3163" t="s">
        <v>2650</v>
      </c>
      <c r="F4" s="3164"/>
      <c r="G4" s="3161" t="s">
        <v>2651</v>
      </c>
      <c r="H4" s="3162"/>
      <c r="I4" s="3161" t="s">
        <v>2652</v>
      </c>
      <c r="J4" s="3162"/>
      <c r="K4" s="609" t="s">
        <v>2653</v>
      </c>
      <c r="L4" s="1131"/>
      <c r="M4" s="1132"/>
      <c r="N4" s="1132"/>
      <c r="O4" s="1132"/>
      <c r="P4" s="3165" t="s">
        <v>2654</v>
      </c>
      <c r="Q4" s="3166"/>
      <c r="R4" s="3171" t="s">
        <v>2650</v>
      </c>
      <c r="S4" s="3172"/>
      <c r="T4" s="3171" t="s">
        <v>2651</v>
      </c>
      <c r="U4" s="3172"/>
      <c r="V4" s="3177" t="s">
        <v>2652</v>
      </c>
      <c r="W4" s="3177"/>
      <c r="X4" s="1815"/>
      <c r="Y4" s="3171" t="s">
        <v>2654</v>
      </c>
      <c r="Z4" s="3172"/>
      <c r="AA4" s="3158" t="s">
        <v>2650</v>
      </c>
      <c r="AB4" s="3159" t="s">
        <v>2651</v>
      </c>
      <c r="AC4" s="3158" t="s">
        <v>2652</v>
      </c>
    </row>
    <row r="5" spans="1:29" ht="15">
      <c r="A5" s="403"/>
      <c r="B5" s="404"/>
      <c r="C5" s="3220" t="s">
        <v>2545</v>
      </c>
      <c r="D5" s="3221"/>
      <c r="E5" s="3222" t="s">
        <v>2546</v>
      </c>
      <c r="F5" s="3181"/>
      <c r="G5" s="3220" t="s">
        <v>2547</v>
      </c>
      <c r="H5" s="3221"/>
      <c r="I5" s="3220" t="s">
        <v>2548</v>
      </c>
      <c r="J5" s="3221"/>
      <c r="K5" s="609"/>
      <c r="L5" s="1131"/>
      <c r="M5" s="1132"/>
      <c r="N5" s="1132"/>
      <c r="O5" s="1132"/>
      <c r="P5" s="3167"/>
      <c r="Q5" s="3168"/>
      <c r="R5" s="3173"/>
      <c r="S5" s="3174"/>
      <c r="T5" s="3173"/>
      <c r="U5" s="3174"/>
      <c r="V5" s="3177"/>
      <c r="W5" s="3177"/>
      <c r="X5" s="1815"/>
      <c r="Y5" s="3173"/>
      <c r="Z5" s="3174"/>
      <c r="AA5" s="3159"/>
      <c r="AB5" s="3159"/>
      <c r="AC5" s="3159"/>
    </row>
    <row r="6" spans="1:29" ht="15.75" thickBot="1">
      <c r="A6" s="405"/>
      <c r="B6" s="406"/>
      <c r="C6" s="3242" t="s">
        <v>2800</v>
      </c>
      <c r="D6" s="3243"/>
      <c r="E6" s="3244" t="s">
        <v>2800</v>
      </c>
      <c r="F6" s="3245"/>
      <c r="G6" s="3242" t="s">
        <v>2800</v>
      </c>
      <c r="H6" s="3243"/>
      <c r="I6" s="3242" t="s">
        <v>2800</v>
      </c>
      <c r="J6" s="3243"/>
      <c r="K6" s="609" t="s">
        <v>2550</v>
      </c>
      <c r="L6" s="1131"/>
      <c r="M6" s="1132"/>
      <c r="N6" s="1132"/>
      <c r="O6" s="1132"/>
      <c r="P6" s="3169"/>
      <c r="Q6" s="3170"/>
      <c r="R6" s="3173"/>
      <c r="S6" s="3174"/>
      <c r="T6" s="3175"/>
      <c r="U6" s="3176"/>
      <c r="V6" s="3177"/>
      <c r="W6" s="3177"/>
      <c r="X6" s="1815"/>
      <c r="Y6" s="3175"/>
      <c r="Z6" s="3176"/>
      <c r="AA6" s="3160"/>
      <c r="AB6" s="3160"/>
      <c r="AC6" s="3160"/>
    </row>
    <row r="7" spans="1:29" s="117" customFormat="1" ht="15.75" thickBot="1">
      <c r="A7" s="407" t="s">
        <v>2551</v>
      </c>
      <c r="B7" s="408"/>
      <c r="C7" s="409">
        <f>'数据-取费表'!B2</f>
        <v>43061</v>
      </c>
      <c r="D7" s="410">
        <v>100</v>
      </c>
      <c r="E7" s="411"/>
      <c r="F7" s="412">
        <f>SUMIF(65:65,YEAR(E7)&amp;"-"&amp;INT((MONTH(E7)+2)/3),66:66)</f>
        <v>0</v>
      </c>
      <c r="G7" s="2698"/>
      <c r="H7" s="410">
        <f>SUMIF(65:65,YEAR(G7)&amp;"-"&amp;INT((MONTH(G7)+2)/3),66:66)</f>
        <v>0</v>
      </c>
      <c r="I7" s="2698"/>
      <c r="J7" s="410">
        <f>SUMIF(65:65,YEAR(I7)&amp;"-"&amp;INT((MONTH(I7)+2)/3),66:66)</f>
        <v>0</v>
      </c>
      <c r="K7" s="610"/>
      <c r="L7" s="1133"/>
      <c r="M7" s="1134"/>
      <c r="N7" s="1134"/>
      <c r="O7" s="1134"/>
      <c r="P7" s="3182" t="s">
        <v>2552</v>
      </c>
      <c r="Q7" s="3184"/>
      <c r="R7" s="769" t="s">
        <v>17</v>
      </c>
      <c r="S7" s="770">
        <f t="shared" ref="S7:S15" si="0">F7</f>
        <v>0</v>
      </c>
      <c r="T7" s="769" t="s">
        <v>17</v>
      </c>
      <c r="U7" s="770">
        <f t="shared" ref="U7:U15" si="1">H7</f>
        <v>0</v>
      </c>
      <c r="V7" s="769" t="s">
        <v>17</v>
      </c>
      <c r="W7" s="770">
        <f t="shared" ref="W7:W15" si="2">J7</f>
        <v>0</v>
      </c>
      <c r="X7" s="771"/>
      <c r="Y7" s="3182" t="s">
        <v>2552</v>
      </c>
      <c r="Z7" s="3183"/>
      <c r="AA7" s="772" t="e">
        <f>D7/F7</f>
        <v>#DIV/0!</v>
      </c>
      <c r="AB7" s="772" t="e">
        <f>D7/H7</f>
        <v>#DIV/0!</v>
      </c>
      <c r="AC7" s="772" t="e">
        <f>D7/J7</f>
        <v>#DIV/0!</v>
      </c>
    </row>
    <row r="8" spans="1:29" s="117"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82" t="s">
        <v>2555</v>
      </c>
      <c r="Q8" s="3183"/>
      <c r="R8" s="769" t="s">
        <v>17</v>
      </c>
      <c r="S8" s="770">
        <f t="shared" si="0"/>
        <v>0</v>
      </c>
      <c r="T8" s="769" t="s">
        <v>17</v>
      </c>
      <c r="U8" s="770">
        <f t="shared" si="1"/>
        <v>0</v>
      </c>
      <c r="V8" s="769" t="s">
        <v>17</v>
      </c>
      <c r="W8" s="770">
        <f t="shared" si="2"/>
        <v>0</v>
      </c>
      <c r="X8" s="771"/>
      <c r="Y8" s="3182" t="s">
        <v>2555</v>
      </c>
      <c r="Z8" s="3183"/>
      <c r="AA8" s="772" t="e">
        <f t="shared" ref="AA8:AA40" si="3">D8/F8</f>
        <v>#DIV/0!</v>
      </c>
      <c r="AB8" s="772" t="e">
        <f t="shared" ref="AB8:AB40" si="4">D8/H8</f>
        <v>#DIV/0!</v>
      </c>
      <c r="AC8" s="772" t="e">
        <f t="shared" ref="AC8:AC40" si="5">D8/J8</f>
        <v>#DIV/0!</v>
      </c>
    </row>
    <row r="9" spans="1:29" s="117" customFormat="1">
      <c r="A9" s="414" t="s">
        <v>2556</v>
      </c>
      <c r="B9" s="71" t="s">
        <v>2557</v>
      </c>
      <c r="C9" s="2701"/>
      <c r="D9" s="134">
        <v>100</v>
      </c>
      <c r="E9" s="2701"/>
      <c r="F9" s="134">
        <f>SUMIF(70:70,E9,71:71)-SUMIF(70:70,C9,71:71)+100</f>
        <v>100</v>
      </c>
      <c r="G9" s="2701"/>
      <c r="H9" s="134">
        <f>SUMIF(70:70,G9,71:71)-SUMIF(70:70,C9,71:71)+100</f>
        <v>100</v>
      </c>
      <c r="I9" s="2701"/>
      <c r="J9" s="134">
        <f>SUMIF(70:70,I9,71:71)-SUMIF(70:70,C9,71:71)+100</f>
        <v>100</v>
      </c>
      <c r="K9" s="610"/>
      <c r="L9" s="1133"/>
      <c r="M9" s="1134"/>
      <c r="N9" s="1134"/>
      <c r="O9" s="1135"/>
      <c r="P9" s="3148" t="s">
        <v>2558</v>
      </c>
      <c r="Q9" s="1797" t="str">
        <f t="shared" ref="Q9:Q15" si="6">B9</f>
        <v>用途</v>
      </c>
      <c r="R9" s="769" t="s">
        <v>17</v>
      </c>
      <c r="S9" s="770">
        <f t="shared" si="0"/>
        <v>100</v>
      </c>
      <c r="T9" s="769" t="s">
        <v>17</v>
      </c>
      <c r="U9" s="770">
        <f t="shared" si="1"/>
        <v>100</v>
      </c>
      <c r="V9" s="769" t="s">
        <v>17</v>
      </c>
      <c r="W9" s="770">
        <f t="shared" si="2"/>
        <v>100</v>
      </c>
      <c r="X9" s="771"/>
      <c r="Y9" s="2983" t="s">
        <v>2559</v>
      </c>
      <c r="Z9" s="55" t="str">
        <f t="shared" ref="Z9:Z15" si="7">Q9</f>
        <v>用途</v>
      </c>
      <c r="AA9" s="772">
        <f t="shared" si="3"/>
        <v>1</v>
      </c>
      <c r="AB9" s="772">
        <f t="shared" si="4"/>
        <v>1</v>
      </c>
      <c r="AC9" s="772">
        <f t="shared" si="5"/>
        <v>1</v>
      </c>
    </row>
    <row r="10" spans="1:29" s="426" customFormat="1" ht="27">
      <c r="A10" s="420"/>
      <c r="B10" s="421" t="s">
        <v>2560</v>
      </c>
      <c r="C10" s="431"/>
      <c r="D10" s="135">
        <v>100</v>
      </c>
      <c r="E10" s="431"/>
      <c r="F10" s="135">
        <f>ROUND(100/'数据-取费表'!G16,0)</f>
        <v>107</v>
      </c>
      <c r="G10" s="431"/>
      <c r="H10" s="135">
        <f>ROUND(100/'数据-取费表'!G16,0)</f>
        <v>107</v>
      </c>
      <c r="I10" s="431"/>
      <c r="J10" s="135">
        <f>ROUND(100/'数据-取费表'!G16,0)</f>
        <v>107</v>
      </c>
      <c r="K10" s="671"/>
      <c r="L10" s="1136"/>
      <c r="M10" s="1137"/>
      <c r="N10" s="1137"/>
      <c r="O10" s="1138"/>
      <c r="P10" s="3148"/>
      <c r="Q10" s="1797" t="str">
        <f t="shared" si="6"/>
        <v>土地使用年限（年）</v>
      </c>
      <c r="R10" s="769" t="s">
        <v>17</v>
      </c>
      <c r="S10" s="770">
        <f t="shared" si="0"/>
        <v>107</v>
      </c>
      <c r="T10" s="769" t="s">
        <v>17</v>
      </c>
      <c r="U10" s="770">
        <f t="shared" si="1"/>
        <v>107</v>
      </c>
      <c r="V10" s="769" t="s">
        <v>17</v>
      </c>
      <c r="W10" s="770">
        <f t="shared" si="2"/>
        <v>107</v>
      </c>
      <c r="X10" s="771"/>
      <c r="Y10" s="2983"/>
      <c r="Z10" s="55" t="str">
        <f t="shared" si="7"/>
        <v>土地使用年限（年）</v>
      </c>
      <c r="AA10" s="772">
        <f t="shared" si="3"/>
        <v>0.93457943925233644</v>
      </c>
      <c r="AB10" s="772">
        <f t="shared" si="4"/>
        <v>0.93457943925233644</v>
      </c>
      <c r="AC10" s="772">
        <f t="shared" si="5"/>
        <v>0.93457943925233644</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48"/>
      <c r="Q11" s="1797" t="str">
        <f t="shared" si="6"/>
        <v>容积率</v>
      </c>
      <c r="R11" s="769" t="s">
        <v>17</v>
      </c>
      <c r="S11" s="770" t="e">
        <f t="shared" si="0"/>
        <v>#N/A</v>
      </c>
      <c r="T11" s="769" t="s">
        <v>17</v>
      </c>
      <c r="U11" s="770" t="e">
        <f t="shared" si="1"/>
        <v>#N/A</v>
      </c>
      <c r="V11" s="769" t="s">
        <v>17</v>
      </c>
      <c r="W11" s="770" t="e">
        <f t="shared" si="2"/>
        <v>#N/A</v>
      </c>
      <c r="X11" s="771"/>
      <c r="Y11" s="2983"/>
      <c r="Z11" s="55" t="str">
        <f t="shared" si="7"/>
        <v>容积率</v>
      </c>
      <c r="AA11" s="772" t="e">
        <f t="shared" si="3"/>
        <v>#N/A</v>
      </c>
      <c r="AB11" s="772" t="e">
        <f t="shared" si="4"/>
        <v>#N/A</v>
      </c>
      <c r="AC11" s="772" t="e">
        <f t="shared" si="5"/>
        <v>#N/A</v>
      </c>
    </row>
    <row r="12" spans="1:29" s="117"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48"/>
      <c r="Q12" s="1797">
        <f t="shared" si="6"/>
        <v>111</v>
      </c>
      <c r="R12" s="769" t="s">
        <v>17</v>
      </c>
      <c r="S12" s="770">
        <f t="shared" si="0"/>
        <v>100</v>
      </c>
      <c r="T12" s="769" t="s">
        <v>17</v>
      </c>
      <c r="U12" s="770">
        <f t="shared" si="1"/>
        <v>100</v>
      </c>
      <c r="V12" s="769" t="s">
        <v>17</v>
      </c>
      <c r="W12" s="770">
        <f t="shared" si="2"/>
        <v>100</v>
      </c>
      <c r="X12" s="771"/>
      <c r="Y12" s="2983"/>
      <c r="Z12" s="55">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48"/>
      <c r="Q13" s="1797">
        <f t="shared" si="6"/>
        <v>111</v>
      </c>
      <c r="R13" s="769" t="s">
        <v>17</v>
      </c>
      <c r="S13" s="770">
        <f t="shared" si="0"/>
        <v>100</v>
      </c>
      <c r="T13" s="769" t="s">
        <v>17</v>
      </c>
      <c r="U13" s="770">
        <f t="shared" si="1"/>
        <v>100</v>
      </c>
      <c r="V13" s="769" t="s">
        <v>17</v>
      </c>
      <c r="W13" s="770">
        <f t="shared" si="2"/>
        <v>100</v>
      </c>
      <c r="X13" s="771"/>
      <c r="Y13" s="2983"/>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48"/>
      <c r="Q14" s="1797">
        <f t="shared" si="6"/>
        <v>111</v>
      </c>
      <c r="R14" s="769" t="s">
        <v>17</v>
      </c>
      <c r="S14" s="770">
        <f t="shared" si="0"/>
        <v>100</v>
      </c>
      <c r="T14" s="769" t="s">
        <v>17</v>
      </c>
      <c r="U14" s="770">
        <f t="shared" si="1"/>
        <v>100</v>
      </c>
      <c r="V14" s="769" t="s">
        <v>17</v>
      </c>
      <c r="W14" s="770">
        <f t="shared" si="2"/>
        <v>100</v>
      </c>
      <c r="X14" s="771"/>
      <c r="Y14" s="2983"/>
      <c r="Z14" s="55">
        <f t="shared" si="7"/>
        <v>111</v>
      </c>
      <c r="AA14" s="772">
        <f t="shared" si="3"/>
        <v>1</v>
      </c>
      <c r="AB14" s="772">
        <f t="shared" si="4"/>
        <v>1</v>
      </c>
      <c r="AC14" s="772">
        <f t="shared" si="5"/>
        <v>1</v>
      </c>
    </row>
    <row r="15" spans="1:29" ht="71.25">
      <c r="A15" s="439" t="s">
        <v>2562</v>
      </c>
      <c r="B15" s="628" t="s">
        <v>2801</v>
      </c>
      <c r="C15" s="2695" t="str">
        <f>估价对象房地状况!G15</f>
        <v>估价对象位于通州联东U谷开发区，园区建设成熟度较好，产业集聚程度较好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53" t="s">
        <v>2563</v>
      </c>
      <c r="Q15" s="1812" t="str">
        <f t="shared" si="6"/>
        <v>产业集聚程度</v>
      </c>
      <c r="R15" s="773" t="s">
        <v>17</v>
      </c>
      <c r="S15" s="774">
        <f t="shared" si="0"/>
        <v>100</v>
      </c>
      <c r="T15" s="773" t="s">
        <v>17</v>
      </c>
      <c r="U15" s="774">
        <f t="shared" si="1"/>
        <v>100</v>
      </c>
      <c r="V15" s="773" t="s">
        <v>17</v>
      </c>
      <c r="W15" s="774">
        <f t="shared" si="2"/>
        <v>100</v>
      </c>
      <c r="X15" s="1815"/>
      <c r="Y15" s="3153" t="s">
        <v>2563</v>
      </c>
      <c r="Z15" s="1816" t="str">
        <f t="shared" si="7"/>
        <v>产业集聚程度</v>
      </c>
      <c r="AA15" s="1813">
        <f t="shared" si="3"/>
        <v>1</v>
      </c>
      <c r="AB15" s="1813">
        <f t="shared" si="4"/>
        <v>1</v>
      </c>
      <c r="AC15" s="1813">
        <f t="shared" si="5"/>
        <v>1</v>
      </c>
    </row>
    <row r="16" spans="1:29" ht="15">
      <c r="A16" s="427"/>
      <c r="B16" s="629"/>
      <c r="C16" s="446"/>
      <c r="D16" s="447"/>
      <c r="E16" s="2613"/>
      <c r="F16" s="447"/>
      <c r="G16" s="2613"/>
      <c r="H16" s="449"/>
      <c r="I16" s="2613"/>
      <c r="J16" s="447"/>
      <c r="K16" s="671"/>
      <c r="L16" s="1141"/>
      <c r="M16" s="1132"/>
      <c r="N16" s="1132"/>
      <c r="O16" s="1140"/>
      <c r="P16" s="3154"/>
      <c r="Q16" s="1812"/>
      <c r="R16" s="773"/>
      <c r="S16" s="774"/>
      <c r="T16" s="773"/>
      <c r="U16" s="774"/>
      <c r="V16" s="773"/>
      <c r="W16" s="774"/>
      <c r="X16" s="1815"/>
      <c r="Y16" s="3154"/>
      <c r="Z16" s="1816"/>
      <c r="AA16" s="1813">
        <v>1</v>
      </c>
      <c r="AB16" s="1813">
        <v>1</v>
      </c>
      <c r="AC16" s="1813">
        <v>1</v>
      </c>
    </row>
    <row r="17" spans="1:29" ht="85.5">
      <c r="A17" s="427"/>
      <c r="B17" s="630" t="s">
        <v>2712</v>
      </c>
      <c r="C17" s="2609" t="str">
        <f>估价对象房地状况!G16</f>
        <v>估价对象周边道路状况、公共交通通达情况、停车便捷程度，综合评价交通便捷度一般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54"/>
      <c r="Q17" s="1812" t="str">
        <f>B17</f>
        <v>交通便捷度</v>
      </c>
      <c r="R17" s="773" t="s">
        <v>17</v>
      </c>
      <c r="S17" s="774">
        <f>F17</f>
        <v>100</v>
      </c>
      <c r="T17" s="773" t="s">
        <v>17</v>
      </c>
      <c r="U17" s="774">
        <f>H17</f>
        <v>100</v>
      </c>
      <c r="V17" s="773" t="s">
        <v>17</v>
      </c>
      <c r="W17" s="774">
        <f>J17</f>
        <v>100</v>
      </c>
      <c r="X17" s="1815"/>
      <c r="Y17" s="3154"/>
      <c r="Z17" s="1816" t="str">
        <f>Q17</f>
        <v>交通便捷度</v>
      </c>
      <c r="AA17" s="1813">
        <f t="shared" si="3"/>
        <v>1</v>
      </c>
      <c r="AB17" s="1813">
        <f t="shared" si="4"/>
        <v>1</v>
      </c>
      <c r="AC17" s="1813">
        <f t="shared" si="5"/>
        <v>1</v>
      </c>
    </row>
    <row r="18" spans="1:29" ht="15">
      <c r="A18" s="427"/>
      <c r="B18" s="631"/>
      <c r="C18" s="446"/>
      <c r="D18" s="447"/>
      <c r="E18" s="2607"/>
      <c r="F18" s="447"/>
      <c r="G18" s="2607"/>
      <c r="H18" s="447"/>
      <c r="I18" s="2606"/>
      <c r="J18" s="447"/>
      <c r="K18" s="671"/>
      <c r="L18" s="1141"/>
      <c r="M18" s="1132"/>
      <c r="N18" s="1132"/>
      <c r="O18" s="1140"/>
      <c r="P18" s="3154"/>
      <c r="Q18" s="1812"/>
      <c r="R18" s="773"/>
      <c r="S18" s="774"/>
      <c r="T18" s="773"/>
      <c r="U18" s="774"/>
      <c r="V18" s="773"/>
      <c r="W18" s="774"/>
      <c r="X18" s="1815"/>
      <c r="Y18" s="3154"/>
      <c r="Z18" s="1816"/>
      <c r="AA18" s="1813">
        <v>1</v>
      </c>
      <c r="AB18" s="1813">
        <v>1</v>
      </c>
      <c r="AC18" s="1813">
        <v>1</v>
      </c>
    </row>
    <row r="19" spans="1:29" ht="15">
      <c r="A19" s="427"/>
      <c r="B19" s="630" t="s">
        <v>2751</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54"/>
      <c r="Q19" s="1812" t="str">
        <f t="shared" ref="Q19:Q33" si="8">B19</f>
        <v>区域土地利用方向</v>
      </c>
      <c r="R19" s="773" t="s">
        <v>17</v>
      </c>
      <c r="S19" s="774">
        <f>F19</f>
        <v>100</v>
      </c>
      <c r="T19" s="773" t="s">
        <v>17</v>
      </c>
      <c r="U19" s="774">
        <f>H19</f>
        <v>100</v>
      </c>
      <c r="V19" s="773" t="s">
        <v>17</v>
      </c>
      <c r="W19" s="774">
        <f>J19</f>
        <v>100</v>
      </c>
      <c r="X19" s="1815"/>
      <c r="Y19" s="3154"/>
      <c r="Z19" s="1816" t="str">
        <f>Q19</f>
        <v>区域土地利用方向</v>
      </c>
      <c r="AA19" s="1813">
        <f t="shared" si="3"/>
        <v>1</v>
      </c>
      <c r="AB19" s="1813">
        <f t="shared" si="4"/>
        <v>1</v>
      </c>
      <c r="AC19" s="1813">
        <f t="shared" si="5"/>
        <v>1</v>
      </c>
    </row>
    <row r="20" spans="1:29" ht="15">
      <c r="A20" s="403"/>
      <c r="B20" s="631"/>
      <c r="C20" s="446"/>
      <c r="D20" s="447"/>
      <c r="E20" s="2607"/>
      <c r="F20" s="447"/>
      <c r="G20" s="2607"/>
      <c r="H20" s="447"/>
      <c r="I20" s="2607"/>
      <c r="J20" s="447"/>
      <c r="K20" s="811"/>
      <c r="L20" s="1141"/>
      <c r="M20" s="1132"/>
      <c r="N20" s="1132"/>
      <c r="O20" s="1140"/>
      <c r="P20" s="3154"/>
      <c r="Q20" s="1812"/>
      <c r="R20" s="773"/>
      <c r="S20" s="774"/>
      <c r="T20" s="773"/>
      <c r="U20" s="774"/>
      <c r="V20" s="773"/>
      <c r="W20" s="774"/>
      <c r="X20" s="1815"/>
      <c r="Y20" s="3154"/>
      <c r="Z20" s="1816"/>
      <c r="AA20" s="1813"/>
      <c r="AB20" s="1813"/>
      <c r="AC20" s="1813"/>
    </row>
    <row r="21" spans="1:29" ht="71.25">
      <c r="A21" s="403"/>
      <c r="B21" s="630" t="s">
        <v>2802</v>
      </c>
      <c r="C21" s="2609" t="str">
        <f>估价对象房地状况!G18</f>
        <v>该园区内是否有污染型企业，绿化情况，卫生条件，整体环境状况一般</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54"/>
      <c r="Q21" s="1812" t="str">
        <f t="shared" si="8"/>
        <v>环境状况</v>
      </c>
      <c r="R21" s="773" t="s">
        <v>17</v>
      </c>
      <c r="S21" s="774">
        <f>F21</f>
        <v>100</v>
      </c>
      <c r="T21" s="773" t="s">
        <v>17</v>
      </c>
      <c r="U21" s="774">
        <f>H21</f>
        <v>100</v>
      </c>
      <c r="V21" s="773" t="s">
        <v>17</v>
      </c>
      <c r="W21" s="774">
        <f>J21</f>
        <v>100</v>
      </c>
      <c r="X21" s="1815"/>
      <c r="Y21" s="3154"/>
      <c r="Z21" s="1816" t="str">
        <f>Q21</f>
        <v>环境状况</v>
      </c>
      <c r="AA21" s="1813">
        <f t="shared" si="3"/>
        <v>1</v>
      </c>
      <c r="AB21" s="1813">
        <f t="shared" si="4"/>
        <v>1</v>
      </c>
      <c r="AC21" s="1813">
        <f t="shared" si="5"/>
        <v>1</v>
      </c>
    </row>
    <row r="22" spans="1:29" ht="15">
      <c r="A22" s="403"/>
      <c r="B22" s="631"/>
      <c r="C22" s="446"/>
      <c r="D22" s="447"/>
      <c r="E22" s="2613"/>
      <c r="F22" s="447"/>
      <c r="G22" s="2613"/>
      <c r="H22" s="447"/>
      <c r="I22" s="446"/>
      <c r="J22" s="447"/>
      <c r="K22" s="671"/>
      <c r="L22" s="1141"/>
      <c r="M22" s="1132"/>
      <c r="N22" s="1132"/>
      <c r="O22" s="1140"/>
      <c r="P22" s="3154"/>
      <c r="Q22" s="1812"/>
      <c r="R22" s="773"/>
      <c r="S22" s="774"/>
      <c r="T22" s="773"/>
      <c r="U22" s="774"/>
      <c r="V22" s="773"/>
      <c r="W22" s="774"/>
      <c r="X22" s="1815"/>
      <c r="Y22" s="3154"/>
      <c r="Z22" s="1816"/>
      <c r="AA22" s="1813">
        <v>1</v>
      </c>
      <c r="AB22" s="1813">
        <v>1</v>
      </c>
      <c r="AC22" s="1813">
        <v>1</v>
      </c>
    </row>
    <row r="23" spans="1:29" s="117" customFormat="1" ht="42.75">
      <c r="A23" s="648"/>
      <c r="B23" s="632" t="s">
        <v>2657</v>
      </c>
      <c r="C23" s="2609" t="str">
        <f>估价对象房地状况!G19</f>
        <v>估价对象所在区域公共配套设施齐备情况一般</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54"/>
      <c r="Q23" s="1797" t="str">
        <f t="shared" si="8"/>
        <v>公共配套设施</v>
      </c>
      <c r="R23" s="769" t="s">
        <v>17</v>
      </c>
      <c r="S23" s="770">
        <f>F23</f>
        <v>100</v>
      </c>
      <c r="T23" s="769" t="s">
        <v>17</v>
      </c>
      <c r="U23" s="770">
        <f>H23</f>
        <v>100</v>
      </c>
      <c r="V23" s="769" t="s">
        <v>17</v>
      </c>
      <c r="W23" s="770">
        <f>J23</f>
        <v>100</v>
      </c>
      <c r="X23" s="771"/>
      <c r="Y23" s="3154"/>
      <c r="Z23" s="55" t="str">
        <f>Q23</f>
        <v>公共配套设施</v>
      </c>
      <c r="AA23" s="1813">
        <f>D23/F23</f>
        <v>1</v>
      </c>
      <c r="AB23" s="1813">
        <f>D23/H23</f>
        <v>1</v>
      </c>
      <c r="AC23" s="1813">
        <f>D23/J23</f>
        <v>1</v>
      </c>
    </row>
    <row r="24" spans="1:29" s="117" customFormat="1" ht="15">
      <c r="A24" s="648"/>
      <c r="B24" s="631"/>
      <c r="C24" s="2702"/>
      <c r="D24" s="447"/>
      <c r="E24" s="2613"/>
      <c r="F24" s="447"/>
      <c r="G24" s="2613"/>
      <c r="H24" s="447"/>
      <c r="I24" s="446"/>
      <c r="J24" s="447"/>
      <c r="K24" s="671"/>
      <c r="L24" s="1133"/>
      <c r="M24" s="1134"/>
      <c r="N24" s="1134"/>
      <c r="O24" s="1135"/>
      <c r="P24" s="3154"/>
      <c r="Q24" s="1797"/>
      <c r="R24" s="769"/>
      <c r="S24" s="770"/>
      <c r="T24" s="769"/>
      <c r="U24" s="770"/>
      <c r="V24" s="769"/>
      <c r="W24" s="770"/>
      <c r="X24" s="771"/>
      <c r="Y24" s="3154"/>
      <c r="Z24" s="55"/>
      <c r="AA24" s="772">
        <v>1</v>
      </c>
      <c r="AB24" s="772">
        <v>1</v>
      </c>
      <c r="AC24" s="772">
        <v>1</v>
      </c>
    </row>
    <row r="25" spans="1:29" s="117" customFormat="1" ht="28.5">
      <c r="A25" s="648"/>
      <c r="B25" s="632" t="s">
        <v>2658</v>
      </c>
      <c r="C25" s="2609" t="str">
        <f>估价对象房地状况!G20</f>
        <v>估价对象所在区域基础设施一般</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54"/>
      <c r="Q25" s="1797" t="str">
        <f t="shared" ref="Q25" si="9">B25</f>
        <v>基础设施水平</v>
      </c>
      <c r="R25" s="769" t="s">
        <v>17</v>
      </c>
      <c r="S25" s="770">
        <f>F25</f>
        <v>100</v>
      </c>
      <c r="T25" s="769" t="s">
        <v>17</v>
      </c>
      <c r="U25" s="770">
        <f>H25</f>
        <v>100</v>
      </c>
      <c r="V25" s="769" t="s">
        <v>17</v>
      </c>
      <c r="W25" s="770">
        <f>J25</f>
        <v>100</v>
      </c>
      <c r="X25" s="771"/>
      <c r="Y25" s="3154"/>
      <c r="Z25" s="55" t="str">
        <f>Q25</f>
        <v>基础设施水平</v>
      </c>
      <c r="AA25" s="1813">
        <f>D25/F25</f>
        <v>1</v>
      </c>
      <c r="AB25" s="1813">
        <f>D25/H25</f>
        <v>1</v>
      </c>
      <c r="AC25" s="1813">
        <f>D25/J25</f>
        <v>1</v>
      </c>
    </row>
    <row r="26" spans="1:29" s="117" customFormat="1" ht="15">
      <c r="A26" s="648"/>
      <c r="B26" s="631"/>
      <c r="C26" s="2702"/>
      <c r="D26" s="447"/>
      <c r="E26" s="2703"/>
      <c r="F26" s="447"/>
      <c r="G26" s="2703"/>
      <c r="H26" s="447"/>
      <c r="I26" s="2703"/>
      <c r="J26" s="447"/>
      <c r="K26" s="671"/>
      <c r="L26" s="1133"/>
      <c r="M26" s="1134"/>
      <c r="N26" s="1134"/>
      <c r="O26" s="1135"/>
      <c r="P26" s="3154"/>
      <c r="Q26" s="1797"/>
      <c r="R26" s="769"/>
      <c r="S26" s="770"/>
      <c r="T26" s="769"/>
      <c r="U26" s="770"/>
      <c r="V26" s="769"/>
      <c r="W26" s="770"/>
      <c r="X26" s="771"/>
      <c r="Y26" s="3154"/>
      <c r="Z26" s="55"/>
      <c r="AA26" s="772">
        <v>1</v>
      </c>
      <c r="AB26" s="772">
        <v>1</v>
      </c>
      <c r="AC26" s="772">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5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54"/>
      <c r="Z27" s="1816" t="str">
        <f t="shared" ref="Z27:Z40" si="13">Q27</f>
        <v>临街状况</v>
      </c>
      <c r="AA27" s="1813">
        <f t="shared" si="3"/>
        <v>1</v>
      </c>
      <c r="AB27" s="1813">
        <f t="shared" si="4"/>
        <v>1</v>
      </c>
      <c r="AC27" s="1813">
        <f t="shared" si="5"/>
        <v>1</v>
      </c>
    </row>
    <row r="28" spans="1:29" ht="27">
      <c r="A28" s="427"/>
      <c r="B28" s="632" t="s">
        <v>2694</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54"/>
      <c r="Q28" s="1812" t="str">
        <f t="shared" si="8"/>
        <v>毗邻道路的类型与等级</v>
      </c>
      <c r="R28" s="773" t="s">
        <v>17</v>
      </c>
      <c r="S28" s="774">
        <f t="shared" si="10"/>
        <v>100</v>
      </c>
      <c r="T28" s="773" t="s">
        <v>17</v>
      </c>
      <c r="U28" s="774">
        <f t="shared" si="11"/>
        <v>100</v>
      </c>
      <c r="V28" s="773" t="s">
        <v>17</v>
      </c>
      <c r="W28" s="774">
        <f t="shared" si="12"/>
        <v>100</v>
      </c>
      <c r="X28" s="1815"/>
      <c r="Y28" s="3154"/>
      <c r="Z28" s="1816" t="str">
        <f t="shared" si="13"/>
        <v>毗邻道路的类型与等级</v>
      </c>
      <c r="AA28" s="1813">
        <f t="shared" si="3"/>
        <v>1</v>
      </c>
      <c r="AB28" s="1813">
        <f t="shared" si="4"/>
        <v>1</v>
      </c>
      <c r="AC28" s="1813">
        <f t="shared" si="5"/>
        <v>1</v>
      </c>
    </row>
    <row r="29" spans="1:29" ht="15">
      <c r="A29" s="427"/>
      <c r="B29" s="631"/>
      <c r="C29" s="446"/>
      <c r="D29" s="447"/>
      <c r="E29" s="2613"/>
      <c r="F29" s="447"/>
      <c r="G29" s="2613"/>
      <c r="H29" s="447"/>
      <c r="I29" s="2613"/>
      <c r="J29" s="447"/>
      <c r="K29" s="612"/>
      <c r="L29" s="1141"/>
      <c r="M29" s="1132"/>
      <c r="N29" s="1132"/>
      <c r="O29" s="1140"/>
      <c r="P29" s="3154"/>
      <c r="Q29" s="1812"/>
      <c r="R29" s="773"/>
      <c r="S29" s="774"/>
      <c r="T29" s="773"/>
      <c r="U29" s="774"/>
      <c r="V29" s="773"/>
      <c r="W29" s="774"/>
      <c r="X29" s="1815"/>
      <c r="Y29" s="3154"/>
      <c r="Z29" s="1816"/>
      <c r="AA29" s="1813">
        <v>1</v>
      </c>
      <c r="AB29" s="1813">
        <v>1</v>
      </c>
      <c r="AC29" s="1813">
        <v>1</v>
      </c>
    </row>
    <row r="30" spans="1:29" ht="15">
      <c r="A30" s="427"/>
      <c r="B30" s="653" t="s">
        <v>2753</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54"/>
      <c r="Q30" s="1812" t="str">
        <f t="shared" si="8"/>
        <v>土地级别</v>
      </c>
      <c r="R30" s="773" t="s">
        <v>17</v>
      </c>
      <c r="S30" s="774">
        <f t="shared" si="10"/>
        <v>100</v>
      </c>
      <c r="T30" s="773" t="s">
        <v>17</v>
      </c>
      <c r="U30" s="774">
        <f t="shared" si="11"/>
        <v>100</v>
      </c>
      <c r="V30" s="773" t="s">
        <v>17</v>
      </c>
      <c r="W30" s="774">
        <f t="shared" si="12"/>
        <v>100</v>
      </c>
      <c r="X30" s="1815"/>
      <c r="Y30" s="3154"/>
      <c r="Z30" s="1816" t="str">
        <f t="shared" si="13"/>
        <v>土地级别</v>
      </c>
      <c r="AA30" s="1813">
        <f t="shared" si="3"/>
        <v>1</v>
      </c>
      <c r="AB30" s="1813">
        <f t="shared" si="4"/>
        <v>1</v>
      </c>
      <c r="AC30" s="1813">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54"/>
      <c r="Q31" s="1812">
        <f t="shared" si="8"/>
        <v>111</v>
      </c>
      <c r="R31" s="773" t="s">
        <v>17</v>
      </c>
      <c r="S31" s="774">
        <f t="shared" si="10"/>
        <v>100</v>
      </c>
      <c r="T31" s="773" t="s">
        <v>17</v>
      </c>
      <c r="U31" s="774">
        <f t="shared" si="11"/>
        <v>100</v>
      </c>
      <c r="V31" s="773" t="s">
        <v>17</v>
      </c>
      <c r="W31" s="774">
        <f t="shared" si="12"/>
        <v>100</v>
      </c>
      <c r="X31" s="1815"/>
      <c r="Y31" s="3154"/>
      <c r="Z31" s="1816">
        <f t="shared" si="13"/>
        <v>111</v>
      </c>
      <c r="AA31" s="1813">
        <f t="shared" si="3"/>
        <v>1</v>
      </c>
      <c r="AB31" s="1813">
        <f t="shared" si="4"/>
        <v>1</v>
      </c>
      <c r="AC31" s="1813">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155" t="s">
        <v>2568</v>
      </c>
      <c r="Q32" s="1812">
        <f t="shared" si="8"/>
        <v>111</v>
      </c>
      <c r="R32" s="773" t="s">
        <v>17</v>
      </c>
      <c r="S32" s="774">
        <f t="shared" si="10"/>
        <v>100</v>
      </c>
      <c r="T32" s="773" t="s">
        <v>17</v>
      </c>
      <c r="U32" s="774">
        <f t="shared" si="11"/>
        <v>100</v>
      </c>
      <c r="V32" s="773" t="s">
        <v>17</v>
      </c>
      <c r="W32" s="774">
        <f t="shared" si="12"/>
        <v>100</v>
      </c>
      <c r="X32" s="1815"/>
      <c r="Y32" s="3156" t="s">
        <v>2568</v>
      </c>
      <c r="Z32" s="1816">
        <f t="shared" si="13"/>
        <v>111</v>
      </c>
      <c r="AA32" s="1813">
        <f t="shared" si="3"/>
        <v>1</v>
      </c>
      <c r="AB32" s="1813">
        <f t="shared" si="4"/>
        <v>1</v>
      </c>
      <c r="AC32" s="1813">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56"/>
      <c r="Q33" s="1812">
        <f t="shared" si="8"/>
        <v>111</v>
      </c>
      <c r="R33" s="776" t="s">
        <v>17</v>
      </c>
      <c r="S33" s="777">
        <f t="shared" si="10"/>
        <v>100</v>
      </c>
      <c r="T33" s="776" t="s">
        <v>17</v>
      </c>
      <c r="U33" s="777">
        <f t="shared" si="11"/>
        <v>100</v>
      </c>
      <c r="V33" s="776" t="s">
        <v>17</v>
      </c>
      <c r="W33" s="777">
        <f t="shared" si="12"/>
        <v>100</v>
      </c>
      <c r="X33" s="778"/>
      <c r="Y33" s="3156"/>
      <c r="Z33" s="779">
        <f t="shared" si="13"/>
        <v>111</v>
      </c>
      <c r="AA33" s="1813">
        <f t="shared" si="3"/>
        <v>1</v>
      </c>
      <c r="AB33" s="1813">
        <f t="shared" si="4"/>
        <v>1</v>
      </c>
      <c r="AC33" s="1813">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56"/>
      <c r="Q34" s="1812" t="str">
        <f>B34</f>
        <v>宗地面积</v>
      </c>
      <c r="R34" s="773" t="s">
        <v>17</v>
      </c>
      <c r="S34" s="774" t="e">
        <f t="shared" si="10"/>
        <v>#N/A</v>
      </c>
      <c r="T34" s="773" t="s">
        <v>17</v>
      </c>
      <c r="U34" s="774" t="e">
        <f t="shared" si="11"/>
        <v>#N/A</v>
      </c>
      <c r="V34" s="773" t="s">
        <v>17</v>
      </c>
      <c r="W34" s="774" t="e">
        <f t="shared" si="12"/>
        <v>#N/A</v>
      </c>
      <c r="X34" s="1815"/>
      <c r="Y34" s="3156"/>
      <c r="Z34" s="1816" t="str">
        <f t="shared" si="13"/>
        <v>宗地面积</v>
      </c>
      <c r="AA34" s="1813" t="e">
        <f t="shared" si="3"/>
        <v>#N/A</v>
      </c>
      <c r="AB34" s="1813" t="e">
        <f t="shared" si="4"/>
        <v>#N/A</v>
      </c>
      <c r="AC34" s="1813" t="e">
        <f t="shared" si="5"/>
        <v>#N/A</v>
      </c>
    </row>
    <row r="35" spans="1:29" ht="15">
      <c r="A35" s="471"/>
      <c r="B35" s="421" t="s">
        <v>2755</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156"/>
      <c r="Q35" s="1812" t="str">
        <f t="shared" ref="Q35:Q40" si="14">B35</f>
        <v>宗地形状</v>
      </c>
      <c r="R35" s="773" t="s">
        <v>17</v>
      </c>
      <c r="S35" s="774">
        <f t="shared" si="10"/>
        <v>100</v>
      </c>
      <c r="T35" s="773" t="s">
        <v>17</v>
      </c>
      <c r="U35" s="774">
        <f t="shared" si="11"/>
        <v>100</v>
      </c>
      <c r="V35" s="773" t="s">
        <v>17</v>
      </c>
      <c r="W35" s="774">
        <f t="shared" si="12"/>
        <v>100</v>
      </c>
      <c r="X35" s="1815"/>
      <c r="Y35" s="3156"/>
      <c r="Z35" s="1816" t="str">
        <f t="shared" si="13"/>
        <v>宗地形状</v>
      </c>
      <c r="AA35" s="1813">
        <f t="shared" si="3"/>
        <v>1</v>
      </c>
      <c r="AB35" s="1813">
        <f t="shared" si="4"/>
        <v>1</v>
      </c>
      <c r="AC35" s="1813">
        <f t="shared" si="5"/>
        <v>1</v>
      </c>
    </row>
    <row r="36" spans="1:29" s="117" customFormat="1" ht="15">
      <c r="A36" s="472"/>
      <c r="B36" s="421" t="s">
        <v>2757</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3"/>
      <c r="M36" s="1134"/>
      <c r="N36" s="1134"/>
      <c r="O36" s="1135"/>
      <c r="P36" s="3156"/>
      <c r="Q36" s="1812" t="str">
        <f t="shared" si="14"/>
        <v>宗地开发程度</v>
      </c>
      <c r="R36" s="769" t="s">
        <v>17</v>
      </c>
      <c r="S36" s="770">
        <f t="shared" si="10"/>
        <v>100</v>
      </c>
      <c r="T36" s="769" t="s">
        <v>17</v>
      </c>
      <c r="U36" s="770">
        <f t="shared" si="11"/>
        <v>100</v>
      </c>
      <c r="V36" s="769" t="s">
        <v>17</v>
      </c>
      <c r="W36" s="770">
        <f t="shared" si="12"/>
        <v>100</v>
      </c>
      <c r="X36" s="771"/>
      <c r="Y36" s="3156"/>
      <c r="Z36" s="55" t="str">
        <f t="shared" si="13"/>
        <v>宗地开发程度</v>
      </c>
      <c r="AA36" s="772">
        <f t="shared" si="3"/>
        <v>1</v>
      </c>
      <c r="AB36" s="772">
        <f t="shared" si="4"/>
        <v>1</v>
      </c>
      <c r="AC36" s="772">
        <f t="shared" si="5"/>
        <v>1</v>
      </c>
    </row>
    <row r="37" spans="1:29" ht="15">
      <c r="A37" s="471"/>
      <c r="B37" s="421" t="s">
        <v>2758</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156" t="s">
        <v>2568</v>
      </c>
      <c r="Q37" s="1812" t="str">
        <f t="shared" si="14"/>
        <v>工程地质条件</v>
      </c>
      <c r="R37" s="773" t="s">
        <v>17</v>
      </c>
      <c r="S37" s="774">
        <f t="shared" si="10"/>
        <v>100</v>
      </c>
      <c r="T37" s="773" t="s">
        <v>17</v>
      </c>
      <c r="U37" s="774">
        <f t="shared" si="11"/>
        <v>100</v>
      </c>
      <c r="V37" s="773" t="s">
        <v>17</v>
      </c>
      <c r="W37" s="774">
        <f t="shared" si="12"/>
        <v>100</v>
      </c>
      <c r="X37" s="1815"/>
      <c r="Y37" s="3156" t="s">
        <v>2568</v>
      </c>
      <c r="Z37" s="1816" t="str">
        <f t="shared" si="13"/>
        <v>工程地质条件</v>
      </c>
      <c r="AA37" s="1813">
        <f t="shared" si="3"/>
        <v>1</v>
      </c>
      <c r="AB37" s="1813">
        <f t="shared" si="4"/>
        <v>1</v>
      </c>
      <c r="AC37" s="1813">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56"/>
      <c r="Q38" s="1812">
        <f t="shared" si="14"/>
        <v>111</v>
      </c>
      <c r="R38" s="773" t="s">
        <v>17</v>
      </c>
      <c r="S38" s="774">
        <f t="shared" si="10"/>
        <v>100</v>
      </c>
      <c r="T38" s="773" t="s">
        <v>17</v>
      </c>
      <c r="U38" s="774">
        <f t="shared" si="11"/>
        <v>100</v>
      </c>
      <c r="V38" s="773" t="s">
        <v>17</v>
      </c>
      <c r="W38" s="774">
        <f t="shared" si="12"/>
        <v>100</v>
      </c>
      <c r="X38" s="1815"/>
      <c r="Y38" s="3156"/>
      <c r="Z38" s="1816">
        <f t="shared" si="13"/>
        <v>111</v>
      </c>
      <c r="AA38" s="1813">
        <f t="shared" si="3"/>
        <v>1</v>
      </c>
      <c r="AB38" s="1813">
        <f t="shared" si="4"/>
        <v>1</v>
      </c>
      <c r="AC38" s="1813">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56"/>
      <c r="Q39" s="1812">
        <f t="shared" si="14"/>
        <v>111</v>
      </c>
      <c r="R39" s="773" t="s">
        <v>17</v>
      </c>
      <c r="S39" s="774">
        <f t="shared" si="10"/>
        <v>100</v>
      </c>
      <c r="T39" s="773" t="s">
        <v>17</v>
      </c>
      <c r="U39" s="774">
        <f t="shared" si="11"/>
        <v>100</v>
      </c>
      <c r="V39" s="773" t="s">
        <v>17</v>
      </c>
      <c r="W39" s="774">
        <f t="shared" si="12"/>
        <v>100</v>
      </c>
      <c r="X39" s="1815"/>
      <c r="Y39" s="3156"/>
      <c r="Z39" s="1816">
        <f t="shared" si="13"/>
        <v>111</v>
      </c>
      <c r="AA39" s="1813">
        <f t="shared" si="3"/>
        <v>1</v>
      </c>
      <c r="AB39" s="1813">
        <f t="shared" si="4"/>
        <v>1</v>
      </c>
      <c r="AC39" s="1813">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56"/>
      <c r="Q40" s="1812">
        <f t="shared" si="14"/>
        <v>111</v>
      </c>
      <c r="R40" s="776" t="s">
        <v>17</v>
      </c>
      <c r="S40" s="777">
        <f t="shared" si="10"/>
        <v>100</v>
      </c>
      <c r="T40" s="776" t="s">
        <v>17</v>
      </c>
      <c r="U40" s="777">
        <f t="shared" si="11"/>
        <v>100</v>
      </c>
      <c r="V40" s="776" t="s">
        <v>17</v>
      </c>
      <c r="W40" s="777">
        <f t="shared" si="12"/>
        <v>100</v>
      </c>
      <c r="X40" s="778"/>
      <c r="Y40" s="3156"/>
      <c r="Z40" s="779">
        <f t="shared" si="13"/>
        <v>111</v>
      </c>
      <c r="AA40" s="1813">
        <f t="shared" si="3"/>
        <v>1</v>
      </c>
      <c r="AB40" s="1813">
        <f t="shared" si="4"/>
        <v>1</v>
      </c>
      <c r="AC40" s="1813">
        <f t="shared" si="5"/>
        <v>1</v>
      </c>
    </row>
    <row r="41" spans="1:29" ht="15">
      <c r="A41" s="478" t="s">
        <v>2723</v>
      </c>
      <c r="B41" s="2706" t="s">
        <v>2803</v>
      </c>
      <c r="C41" s="681" t="s">
        <v>1</v>
      </c>
      <c r="D41" s="480"/>
      <c r="E41" s="481"/>
      <c r="F41" s="482"/>
      <c r="G41" s="483"/>
      <c r="H41" s="484"/>
      <c r="I41" s="481"/>
      <c r="J41" s="484"/>
      <c r="K41" s="782"/>
      <c r="L41" s="1144"/>
      <c r="M41" s="1132"/>
      <c r="N41" s="1132"/>
      <c r="O41" s="1145"/>
      <c r="P41" s="3148" t="str">
        <f>A41</f>
        <v>成交单价</v>
      </c>
      <c r="Q41" s="3148"/>
      <c r="R41" s="3177">
        <f>E41</f>
        <v>0</v>
      </c>
      <c r="S41" s="3177"/>
      <c r="T41" s="3177">
        <f>G41</f>
        <v>0</v>
      </c>
      <c r="U41" s="3177"/>
      <c r="V41" s="3177">
        <f>I41</f>
        <v>0</v>
      </c>
      <c r="W41" s="3177"/>
      <c r="X41" s="758"/>
      <c r="Y41" s="780"/>
      <c r="Z41" s="758"/>
      <c r="AA41" s="758"/>
      <c r="AB41" s="758"/>
      <c r="AC41" s="758"/>
    </row>
    <row r="42" spans="1:29" ht="15.75" thickBot="1">
      <c r="A42" s="485" t="s">
        <v>2672</v>
      </c>
      <c r="B42" s="682"/>
      <c r="C42" s="489" t="e">
        <f>R43</f>
        <v>#DIV/0!</v>
      </c>
      <c r="D42" s="488"/>
      <c r="E42" s="489" t="e">
        <f>R42</f>
        <v>#DIV/0!</v>
      </c>
      <c r="F42" s="490"/>
      <c r="G42" s="487" t="e">
        <f>T42</f>
        <v>#DIV/0!</v>
      </c>
      <c r="H42" s="488"/>
      <c r="I42" s="489" t="e">
        <f>V42</f>
        <v>#DIV/0!</v>
      </c>
      <c r="J42" s="488"/>
      <c r="K42" s="783"/>
      <c r="L42" s="1144"/>
      <c r="M42" s="1132"/>
      <c r="N42" s="1132"/>
      <c r="O42" s="1145"/>
      <c r="P42" s="3148" t="str">
        <f>A42</f>
        <v>比较价值（元/平方米）</v>
      </c>
      <c r="Q42" s="3148"/>
      <c r="R42" s="3238" t="e">
        <f>ROUND(PRODUCT(R41,AA7:AA40),0)</f>
        <v>#DIV/0!</v>
      </c>
      <c r="S42" s="3238"/>
      <c r="T42" s="3238" t="e">
        <f>ROUND(PRODUCT(T41,AB7:AB40),0)</f>
        <v>#DIV/0!</v>
      </c>
      <c r="U42" s="3238"/>
      <c r="V42" s="3238" t="e">
        <f>ROUND(PRODUCT(V41,AC7:AC40),0)</f>
        <v>#DIV/0!</v>
      </c>
      <c r="W42" s="3238"/>
      <c r="X42" s="758"/>
      <c r="Y42" s="758"/>
      <c r="Z42" s="758"/>
      <c r="AA42" s="758"/>
      <c r="AB42" s="758"/>
      <c r="AC42" s="758"/>
    </row>
    <row r="43" spans="1:29" ht="15.75" thickBot="1">
      <c r="A43" s="491" t="s">
        <v>2673</v>
      </c>
      <c r="B43" s="492"/>
      <c r="C43" s="493" t="e">
        <f>R43</f>
        <v>#DIV/0!</v>
      </c>
      <c r="D43" s="493"/>
      <c r="E43" s="493"/>
      <c r="F43" s="493"/>
      <c r="G43" s="493"/>
      <c r="H43" s="493"/>
      <c r="I43" s="493"/>
      <c r="J43" s="493"/>
      <c r="K43" s="784"/>
      <c r="L43" s="1144"/>
      <c r="M43" s="1132"/>
      <c r="N43" s="1132"/>
      <c r="O43" s="1145"/>
      <c r="P43" s="3150" t="str">
        <f>A43</f>
        <v>估价对象XX用房的比较价值（楼面单价，元/平方米）</v>
      </c>
      <c r="Q43" s="3151"/>
      <c r="R43" s="3239" t="e">
        <f>ROUND(AVERAGE(R42:V42),0)</f>
        <v>#DIV/0!</v>
      </c>
      <c r="S43" s="3239"/>
      <c r="T43" s="3239"/>
      <c r="U43" s="3239"/>
      <c r="V43" s="3239"/>
      <c r="W43" s="3239"/>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2761</v>
      </c>
      <c r="B50" s="684" t="s">
        <v>2762</v>
      </c>
      <c r="C50" s="2707" t="s">
        <v>2763</v>
      </c>
      <c r="D50" s="2708" t="s">
        <v>2764</v>
      </c>
      <c r="E50" s="685" t="s">
        <v>2765</v>
      </c>
      <c r="F50" s="686" t="s">
        <v>2766</v>
      </c>
      <c r="G50" s="3161" t="s">
        <v>2767</v>
      </c>
      <c r="H50" s="3240"/>
      <c r="I50" s="1816" t="s">
        <v>2804</v>
      </c>
      <c r="J50" s="1816">
        <f>项目基本情况!F35</f>
        <v>0</v>
      </c>
      <c r="K50" s="2710" t="s">
        <v>2769</v>
      </c>
      <c r="L50" s="1107"/>
      <c r="M50" s="1145"/>
      <c r="N50" s="1145"/>
      <c r="O50" s="1145"/>
    </row>
    <row r="51" spans="1:17" s="691" customFormat="1">
      <c r="A51" s="687" t="s">
        <v>2770</v>
      </c>
      <c r="B51" s="688" t="e">
        <f>C43</f>
        <v>#DIV/0!</v>
      </c>
      <c r="C51" s="689">
        <v>1</v>
      </c>
      <c r="D51" s="1164">
        <v>1</v>
      </c>
      <c r="E51" s="689">
        <f>'数据-汇总表'!E8+'数据-汇总表'!E9</f>
        <v>4799.08</v>
      </c>
      <c r="F51" s="690" t="e">
        <f t="shared" ref="F51:F60" si="15">ROUND(B51*E51/10000,0)</f>
        <v>#DIV/0!</v>
      </c>
      <c r="G51" s="3219"/>
      <c r="H51" s="3148"/>
      <c r="I51" s="944">
        <v>1</v>
      </c>
      <c r="J51" s="944">
        <v>1</v>
      </c>
      <c r="K51" s="1146"/>
      <c r="L51" s="943"/>
      <c r="M51" s="943"/>
      <c r="N51" s="943"/>
      <c r="O51" s="943"/>
    </row>
    <row r="52" spans="1:17" s="691" customFormat="1">
      <c r="A52" s="692" t="s">
        <v>2771</v>
      </c>
      <c r="B52" s="261" t="e">
        <f>ROUND($C$43*C52*D52,0)</f>
        <v>#DIV/0!</v>
      </c>
      <c r="C52" s="199">
        <f t="shared" ref="C52:C60" si="16">IF($C$50="北京市系数",I52,J52)</f>
        <v>0</v>
      </c>
      <c r="D52" s="1165">
        <v>0.25</v>
      </c>
      <c r="E52" s="693"/>
      <c r="F52" s="690" t="e">
        <f t="shared" si="15"/>
        <v>#DIV/0!</v>
      </c>
      <c r="G52" s="3241" t="s">
        <v>2772</v>
      </c>
      <c r="H52" s="1105">
        <f>项目基本情况!B37</f>
        <v>0</v>
      </c>
      <c r="I52" s="944">
        <f>SUMIF(修正!A45:A56,H52,修正!B45:B56)</f>
        <v>0</v>
      </c>
      <c r="J52" s="945"/>
      <c r="K52" s="1145"/>
      <c r="L52" s="943"/>
      <c r="M52" s="943"/>
      <c r="N52" s="943"/>
      <c r="O52" s="943"/>
    </row>
    <row r="53" spans="1:17" s="691" customFormat="1">
      <c r="A53" s="692" t="s">
        <v>2773</v>
      </c>
      <c r="B53" s="261" t="e">
        <f t="shared" ref="B53:B60" si="17">ROUND($C$43*C53*D53,0)</f>
        <v>#DIV/0!</v>
      </c>
      <c r="C53" s="199">
        <f t="shared" si="16"/>
        <v>0</v>
      </c>
      <c r="D53" s="1165">
        <v>0.25</v>
      </c>
      <c r="E53" s="693"/>
      <c r="F53" s="690" t="e">
        <f t="shared" si="15"/>
        <v>#DIV/0!</v>
      </c>
      <c r="G53" s="3241"/>
      <c r="H53" s="1105">
        <f>项目基本情况!B37</f>
        <v>0</v>
      </c>
      <c r="I53" s="944">
        <f>SUMIF(修正!A45:A56,H53,修正!C45:C56)</f>
        <v>0</v>
      </c>
      <c r="J53" s="945"/>
      <c r="K53" s="1146"/>
      <c r="L53" s="943"/>
      <c r="M53" s="943"/>
      <c r="N53" s="943"/>
      <c r="O53" s="943"/>
    </row>
    <row r="54" spans="1:17" s="691" customFormat="1">
      <c r="A54" s="692" t="s">
        <v>2774</v>
      </c>
      <c r="B54" s="261" t="e">
        <f t="shared" si="17"/>
        <v>#DIV/0!</v>
      </c>
      <c r="C54" s="199">
        <f t="shared" si="16"/>
        <v>0</v>
      </c>
      <c r="D54" s="1165">
        <v>0.25</v>
      </c>
      <c r="E54" s="693"/>
      <c r="F54" s="690" t="e">
        <f t="shared" si="15"/>
        <v>#DIV/0!</v>
      </c>
      <c r="G54" s="3241"/>
      <c r="H54" s="1105">
        <f>项目基本情况!B37</f>
        <v>0</v>
      </c>
      <c r="I54" s="944">
        <f>SUMIF(修正!A45:A56,H54,修正!D45:D56)</f>
        <v>0</v>
      </c>
      <c r="J54" s="945"/>
      <c r="K54" s="1145"/>
      <c r="L54" s="943"/>
      <c r="M54" s="943"/>
      <c r="N54" s="943"/>
      <c r="O54" s="943"/>
    </row>
    <row r="55" spans="1:17" s="691" customFormat="1">
      <c r="A55" s="692" t="s">
        <v>2775</v>
      </c>
      <c r="B55" s="261" t="e">
        <f t="shared" si="17"/>
        <v>#DIV/0!</v>
      </c>
      <c r="C55" s="199">
        <f t="shared" si="16"/>
        <v>0</v>
      </c>
      <c r="D55" s="1165">
        <v>0.25</v>
      </c>
      <c r="E55" s="693"/>
      <c r="F55" s="690" t="e">
        <f t="shared" si="15"/>
        <v>#DIV/0!</v>
      </c>
      <c r="G55" s="3241"/>
      <c r="H55" s="1105">
        <f>项目基本情况!B37</f>
        <v>0</v>
      </c>
      <c r="I55" s="944">
        <f>SUMIF(修正!A45:A56,H55,修正!E45:E56)</f>
        <v>0</v>
      </c>
      <c r="J55" s="945"/>
      <c r="K55" s="1146"/>
      <c r="L55" s="943"/>
      <c r="M55" s="943"/>
      <c r="N55" s="943"/>
      <c r="O55" s="943"/>
    </row>
    <row r="56" spans="1:17" s="691" customFormat="1">
      <c r="A56" s="692" t="s">
        <v>2776</v>
      </c>
      <c r="B56" s="261" t="e">
        <f t="shared" si="17"/>
        <v>#DIV/0!</v>
      </c>
      <c r="C56" s="199">
        <f t="shared" si="16"/>
        <v>0</v>
      </c>
      <c r="D56" s="1165">
        <v>0.25</v>
      </c>
      <c r="E56" s="260">
        <f>'数据-汇总表'!E11</f>
        <v>0</v>
      </c>
      <c r="F56" s="690" t="e">
        <f t="shared" si="15"/>
        <v>#DIV/0!</v>
      </c>
      <c r="G56" s="2711" t="s">
        <v>2777</v>
      </c>
      <c r="H56" s="1105">
        <f>项目基本情况!C37</f>
        <v>0</v>
      </c>
      <c r="I56" s="944">
        <f>SUMIF(修正!A45:A56,H56,修正!F45:F56)</f>
        <v>0</v>
      </c>
      <c r="J56" s="945"/>
      <c r="K56" s="1145"/>
      <c r="L56" s="943"/>
      <c r="M56" s="943"/>
      <c r="N56" s="943"/>
      <c r="O56" s="943"/>
    </row>
    <row r="57" spans="1:17" s="691" customFormat="1">
      <c r="A57" s="692" t="s">
        <v>2778</v>
      </c>
      <c r="B57" s="261" t="e">
        <f t="shared" si="17"/>
        <v>#DIV/0!</v>
      </c>
      <c r="C57" s="199">
        <f t="shared" si="16"/>
        <v>0</v>
      </c>
      <c r="D57" s="1165">
        <v>0.25</v>
      </c>
      <c r="E57" s="260">
        <f>'数据-汇总表'!E12</f>
        <v>0</v>
      </c>
      <c r="F57" s="690" t="e">
        <f t="shared" si="15"/>
        <v>#DIV/0!</v>
      </c>
      <c r="G57" s="1110" t="s">
        <v>2779</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2780</v>
      </c>
      <c r="B58" s="261" t="e">
        <f t="shared" si="17"/>
        <v>#DIV/0!</v>
      </c>
      <c r="C58" s="199">
        <f t="shared" si="16"/>
        <v>0</v>
      </c>
      <c r="D58" s="1165">
        <v>0.25</v>
      </c>
      <c r="E58" s="260">
        <f>'数据-汇总表'!E13</f>
        <v>0</v>
      </c>
      <c r="F58" s="690" t="e">
        <f t="shared" si="15"/>
        <v>#DIV/0!</v>
      </c>
      <c r="G58" s="1110" t="s">
        <v>2781</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2782</v>
      </c>
      <c r="B59" s="261" t="e">
        <f t="shared" si="17"/>
        <v>#DIV/0!</v>
      </c>
      <c r="C59" s="199">
        <f t="shared" si="16"/>
        <v>0</v>
      </c>
      <c r="D59" s="1165">
        <v>0.25</v>
      </c>
      <c r="E59" s="260">
        <f>'数据-汇总表'!E14</f>
        <v>0</v>
      </c>
      <c r="F59" s="690" t="e">
        <f t="shared" si="15"/>
        <v>#DIV/0!</v>
      </c>
      <c r="G59" s="2711" t="s">
        <v>2772</v>
      </c>
      <c r="H59" s="1105">
        <f>项目基本情况!B37</f>
        <v>0</v>
      </c>
      <c r="I59" s="944">
        <f>SUMIF(修正!A45:A56,H59,修正!H45:H56)</f>
        <v>0</v>
      </c>
      <c r="J59" s="945"/>
      <c r="K59" s="1146"/>
      <c r="L59" s="943"/>
      <c r="M59" s="943"/>
      <c r="N59" s="943"/>
      <c r="O59" s="943"/>
    </row>
    <row r="60" spans="1:17" s="691" customFormat="1" ht="15" thickBot="1">
      <c r="A60" s="692" t="s">
        <v>2783</v>
      </c>
      <c r="B60" s="261" t="e">
        <f t="shared" si="17"/>
        <v>#DIV/0!</v>
      </c>
      <c r="C60" s="199">
        <f t="shared" si="16"/>
        <v>0</v>
      </c>
      <c r="D60" s="1165">
        <v>0.25</v>
      </c>
      <c r="E60" s="260">
        <f>'数据-汇总表'!E15</f>
        <v>0</v>
      </c>
      <c r="F60" s="690" t="e">
        <f t="shared" si="15"/>
        <v>#DIV/0!</v>
      </c>
      <c r="G60" s="2712" t="s">
        <v>2777</v>
      </c>
      <c r="H60" s="1115">
        <f>项目基本情况!C37</f>
        <v>0</v>
      </c>
      <c r="I60" s="944">
        <f>SUMIF(修正!A45:A56,H60,修正!H45:H56)</f>
        <v>0</v>
      </c>
      <c r="J60" s="945"/>
      <c r="K60" s="1145"/>
      <c r="L60" s="943"/>
      <c r="M60" s="943"/>
      <c r="N60" s="943"/>
      <c r="O60" s="943"/>
    </row>
    <row r="61" spans="1:17" s="691" customFormat="1" ht="15" thickBot="1">
      <c r="A61" s="694" t="s">
        <v>2784</v>
      </c>
      <c r="B61" s="695" t="s">
        <v>28</v>
      </c>
      <c r="C61" s="695" t="s">
        <v>29</v>
      </c>
      <c r="D61" s="695" t="s">
        <v>1029</v>
      </c>
      <c r="E61" s="695">
        <f>IF(B41="楼面地价",SUM(E51:E60),'数据-汇总表'!D3)</f>
        <v>0</v>
      </c>
      <c r="F61" s="696" t="e">
        <f>IF(B41="楼面地价",SUM(F51:F60),ROUND(C43*E61/10000,0))</f>
        <v>#DIV/0!</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2677</v>
      </c>
      <c r="B64" s="758"/>
      <c r="C64" s="763"/>
      <c r="D64" s="763"/>
      <c r="E64" s="763"/>
      <c r="F64" s="764"/>
      <c r="G64" s="764"/>
      <c r="H64" s="763"/>
      <c r="I64" s="763"/>
      <c r="J64" s="763"/>
      <c r="K64" s="765"/>
      <c r="L64" s="766"/>
      <c r="M64" s="763"/>
      <c r="N64" s="763"/>
      <c r="O64" s="1160"/>
      <c r="P64" s="502"/>
      <c r="Q64" s="503"/>
    </row>
    <row r="65" spans="1:17" s="507" customFormat="1" ht="15">
      <c r="A65" s="2713" t="s">
        <v>2785</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6"/>
    </row>
    <row r="66" spans="1:17" s="117" customFormat="1" ht="30.75" customHeight="1">
      <c r="A66" s="2718" t="s">
        <v>2805</v>
      </c>
      <c r="B66" s="331" t="str">
        <f>"北京市平均增长率"&amp;TEXT(基准地价修正!P24,"0.00%")</f>
        <v>北京市平均增长率1.39%</v>
      </c>
      <c r="C66" s="602">
        <v>100</v>
      </c>
      <c r="D66" s="594"/>
      <c r="E66" s="594"/>
      <c r="F66" s="594"/>
      <c r="G66" s="594"/>
      <c r="H66" s="594"/>
      <c r="I66" s="594"/>
      <c r="J66" s="594"/>
      <c r="K66" s="594"/>
      <c r="L66" s="594"/>
      <c r="M66" s="1569"/>
      <c r="N66" s="1569"/>
      <c r="O66" s="1571"/>
      <c r="P66" s="503"/>
    </row>
    <row r="67" spans="1:17" s="117" customFormat="1" ht="15.75" thickBot="1">
      <c r="A67" s="514" t="s">
        <v>2588</v>
      </c>
      <c r="B67" s="515"/>
      <c r="C67" s="516"/>
      <c r="D67" s="517"/>
      <c r="E67" s="517"/>
      <c r="F67" s="517"/>
      <c r="G67" s="517"/>
      <c r="H67" s="517"/>
      <c r="I67" s="517"/>
      <c r="J67" s="517"/>
      <c r="K67" s="517"/>
      <c r="L67" s="517"/>
      <c r="M67" s="518"/>
      <c r="N67" s="518"/>
      <c r="O67" s="519"/>
      <c r="P67" s="503"/>
      <c r="Q67" s="503"/>
    </row>
    <row r="68" spans="1:17" s="117" customFormat="1" ht="15">
      <c r="A68" s="520" t="s">
        <v>2553</v>
      </c>
      <c r="B68" s="509"/>
      <c r="C68" s="521" t="s">
        <v>2655</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2591</v>
      </c>
      <c r="B70" s="527" t="s">
        <v>2557</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2560</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2788</v>
      </c>
      <c r="C87" s="572" t="s">
        <v>2600</v>
      </c>
      <c r="D87" s="572" t="s">
        <v>2601</v>
      </c>
      <c r="E87" s="572" t="s">
        <v>2602</v>
      </c>
      <c r="F87" s="572" t="s">
        <v>2603</v>
      </c>
      <c r="G87" s="572" t="s">
        <v>2604</v>
      </c>
      <c r="H87" s="577"/>
      <c r="I87" s="577"/>
      <c r="J87" s="577"/>
      <c r="K87" s="577"/>
      <c r="L87" s="697"/>
      <c r="M87" s="621"/>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2789</v>
      </c>
      <c r="C89" s="572" t="s">
        <v>2600</v>
      </c>
      <c r="D89" s="572" t="s">
        <v>2601</v>
      </c>
      <c r="E89" s="572" t="s">
        <v>2602</v>
      </c>
      <c r="F89" s="572" t="s">
        <v>2603</v>
      </c>
      <c r="G89" s="572" t="s">
        <v>2604</v>
      </c>
      <c r="H89" s="577"/>
      <c r="I89" s="577"/>
      <c r="J89" s="577"/>
      <c r="K89" s="577"/>
      <c r="L89" s="577"/>
      <c r="M89" s="621"/>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2694</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2753</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2795</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2797</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2798</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46" t="s">
        <v>183</v>
      </c>
      <c r="B18" s="881" t="s">
        <v>560</v>
      </c>
      <c r="C18" s="882" t="s">
        <v>561</v>
      </c>
      <c r="D18" s="883"/>
      <c r="E18" s="881">
        <v>1</v>
      </c>
      <c r="F18" s="884" t="s">
        <v>562</v>
      </c>
      <c r="G18" s="885"/>
      <c r="H18" s="877"/>
      <c r="I18" s="877"/>
    </row>
    <row r="19" spans="1:9" s="886" customFormat="1" ht="19.5" customHeight="1">
      <c r="A19" s="3246"/>
      <c r="B19" s="3246" t="s">
        <v>563</v>
      </c>
      <c r="C19" s="882" t="s">
        <v>564</v>
      </c>
      <c r="D19" s="883"/>
      <c r="E19" s="881">
        <v>0.9</v>
      </c>
      <c r="F19" s="884" t="s">
        <v>565</v>
      </c>
      <c r="G19" s="885"/>
      <c r="H19" s="877"/>
      <c r="I19" s="877"/>
    </row>
    <row r="20" spans="1:9" s="886" customFormat="1" ht="19.5" customHeight="1">
      <c r="A20" s="3246"/>
      <c r="B20" s="3246"/>
      <c r="C20" s="882" t="s">
        <v>566</v>
      </c>
      <c r="D20" s="883"/>
      <c r="E20" s="881">
        <v>1.1000000000000001</v>
      </c>
      <c r="F20" s="884" t="s">
        <v>567</v>
      </c>
      <c r="G20" s="885"/>
      <c r="H20" s="877"/>
      <c r="I20" s="877"/>
    </row>
    <row r="21" spans="1:9" s="886" customFormat="1" ht="19.5" customHeight="1">
      <c r="A21" s="3246"/>
      <c r="B21" s="3246"/>
      <c r="C21" s="882" t="s">
        <v>568</v>
      </c>
      <c r="D21" s="883"/>
      <c r="E21" s="881">
        <v>0.8</v>
      </c>
      <c r="F21" s="884" t="s">
        <v>569</v>
      </c>
      <c r="G21" s="885"/>
      <c r="H21" s="877"/>
      <c r="I21" s="877"/>
    </row>
    <row r="22" spans="1:9" s="886" customFormat="1" ht="19.5" customHeight="1">
      <c r="A22" s="3246"/>
      <c r="B22" s="3246"/>
      <c r="C22" s="882" t="s">
        <v>570</v>
      </c>
      <c r="D22" s="883"/>
      <c r="E22" s="881">
        <v>0.5</v>
      </c>
      <c r="F22" s="884"/>
      <c r="G22" s="885"/>
      <c r="H22" s="877"/>
      <c r="I22" s="877"/>
    </row>
    <row r="23" spans="1:9" s="886" customFormat="1" ht="19.5" customHeight="1">
      <c r="A23" s="3246" t="s">
        <v>184</v>
      </c>
      <c r="B23" s="881" t="s">
        <v>560</v>
      </c>
      <c r="C23" s="882" t="s">
        <v>571</v>
      </c>
      <c r="D23" s="883"/>
      <c r="E23" s="881">
        <v>1</v>
      </c>
      <c r="F23" s="884" t="s">
        <v>572</v>
      </c>
      <c r="G23" s="885"/>
      <c r="H23" s="877"/>
      <c r="I23" s="877"/>
    </row>
    <row r="24" spans="1:9" s="886" customFormat="1" ht="19.5" customHeight="1">
      <c r="A24" s="3246"/>
      <c r="B24" s="3246" t="s">
        <v>563</v>
      </c>
      <c r="C24" s="882" t="s">
        <v>573</v>
      </c>
      <c r="D24" s="883"/>
      <c r="E24" s="881">
        <v>0.5</v>
      </c>
      <c r="F24" s="884"/>
      <c r="G24" s="885"/>
      <c r="H24" s="877"/>
      <c r="I24" s="877"/>
    </row>
    <row r="25" spans="1:9" s="886" customFormat="1" ht="19.5" customHeight="1">
      <c r="A25" s="3246"/>
      <c r="B25" s="3246"/>
      <c r="C25" s="882" t="s">
        <v>574</v>
      </c>
      <c r="D25" s="883"/>
      <c r="E25" s="881">
        <v>1.1000000000000001</v>
      </c>
      <c r="F25" s="884"/>
      <c r="G25" s="885"/>
      <c r="H25" s="877"/>
      <c r="I25" s="877"/>
    </row>
    <row r="26" spans="1:9" s="886" customFormat="1" ht="19.5" customHeight="1">
      <c r="A26" s="3246"/>
      <c r="B26" s="3246"/>
      <c r="C26" s="882" t="s">
        <v>575</v>
      </c>
      <c r="D26" s="883"/>
      <c r="E26" s="881">
        <v>1.1000000000000001</v>
      </c>
      <c r="F26" s="884"/>
      <c r="G26" s="885"/>
      <c r="H26" s="877"/>
      <c r="I26" s="877"/>
    </row>
    <row r="27" spans="1:9" s="886" customFormat="1" ht="19.5" customHeight="1">
      <c r="A27" s="3246"/>
      <c r="B27" s="3246"/>
      <c r="C27" s="882" t="s">
        <v>576</v>
      </c>
      <c r="D27" s="883"/>
      <c r="E27" s="881">
        <v>0.9</v>
      </c>
      <c r="F27" s="884" t="s">
        <v>577</v>
      </c>
      <c r="G27" s="885"/>
      <c r="H27" s="877"/>
      <c r="I27" s="877"/>
    </row>
    <row r="28" spans="1:9" s="886" customFormat="1" ht="19.5" customHeight="1">
      <c r="A28" s="3246"/>
      <c r="B28" s="3246"/>
      <c r="C28" s="882" t="s">
        <v>578</v>
      </c>
      <c r="D28" s="883"/>
      <c r="E28" s="881">
        <v>0.9</v>
      </c>
      <c r="F28" s="884" t="s">
        <v>579</v>
      </c>
      <c r="G28" s="885"/>
      <c r="H28" s="877"/>
      <c r="I28" s="877"/>
    </row>
    <row r="29" spans="1:9" s="886" customFormat="1" ht="19.5" customHeight="1">
      <c r="A29" s="3246"/>
      <c r="B29" s="3246"/>
      <c r="C29" s="882" t="s">
        <v>580</v>
      </c>
      <c r="D29" s="883"/>
      <c r="E29" s="881">
        <v>0.9</v>
      </c>
      <c r="F29" s="884" t="s">
        <v>581</v>
      </c>
      <c r="G29" s="885"/>
      <c r="H29" s="877"/>
      <c r="I29" s="877"/>
    </row>
    <row r="30" spans="1:9" s="886" customFormat="1" ht="19.5" customHeight="1">
      <c r="A30" s="3246"/>
      <c r="B30" s="3246"/>
      <c r="C30" s="882" t="s">
        <v>582</v>
      </c>
      <c r="D30" s="883"/>
      <c r="E30" s="881">
        <v>0.9</v>
      </c>
      <c r="F30" s="884" t="s">
        <v>583</v>
      </c>
      <c r="G30" s="885"/>
      <c r="H30" s="877"/>
      <c r="I30" s="877"/>
    </row>
    <row r="31" spans="1:9" s="886" customFormat="1" ht="19.5" customHeight="1">
      <c r="A31" s="3246"/>
      <c r="B31" s="3246"/>
      <c r="C31" s="882" t="s">
        <v>584</v>
      </c>
      <c r="D31" s="883"/>
      <c r="E31" s="881">
        <v>0.8</v>
      </c>
      <c r="F31" s="884" t="s">
        <v>585</v>
      </c>
      <c r="G31" s="885"/>
      <c r="H31" s="877"/>
      <c r="I31" s="877"/>
    </row>
    <row r="32" spans="1:9" s="886" customFormat="1" ht="19.5" customHeight="1">
      <c r="A32" s="3246"/>
      <c r="B32" s="3246"/>
      <c r="C32" s="882" t="s">
        <v>586</v>
      </c>
      <c r="D32" s="883"/>
      <c r="E32" s="881">
        <v>0.8</v>
      </c>
      <c r="F32" s="884" t="s">
        <v>587</v>
      </c>
      <c r="G32" s="885"/>
      <c r="H32" s="877"/>
      <c r="I32" s="877"/>
    </row>
    <row r="33" spans="1:9" s="886" customFormat="1" ht="19.5" customHeight="1">
      <c r="A33" s="3246" t="s">
        <v>185</v>
      </c>
      <c r="B33" s="881" t="s">
        <v>560</v>
      </c>
      <c r="C33" s="882" t="s">
        <v>588</v>
      </c>
      <c r="D33" s="883"/>
      <c r="E33" s="881">
        <v>1</v>
      </c>
      <c r="F33" s="884" t="s">
        <v>589</v>
      </c>
      <c r="G33" s="885"/>
      <c r="H33" s="877"/>
      <c r="I33" s="877"/>
    </row>
    <row r="34" spans="1:9" s="886" customFormat="1" ht="19.5" customHeight="1">
      <c r="A34" s="3246"/>
      <c r="B34" s="881" t="s">
        <v>563</v>
      </c>
      <c r="C34" s="882" t="s">
        <v>590</v>
      </c>
      <c r="D34" s="883"/>
      <c r="E34" s="881">
        <v>1.5</v>
      </c>
      <c r="F34" s="884" t="s">
        <v>591</v>
      </c>
      <c r="G34" s="885"/>
      <c r="H34" s="877"/>
      <c r="I34" s="877"/>
    </row>
    <row r="35" spans="1:9" s="886" customFormat="1" ht="19.5" customHeight="1">
      <c r="A35" s="3246" t="s">
        <v>186</v>
      </c>
      <c r="B35" s="881" t="s">
        <v>560</v>
      </c>
      <c r="C35" s="882" t="s">
        <v>592</v>
      </c>
      <c r="D35" s="883"/>
      <c r="E35" s="881">
        <v>1</v>
      </c>
      <c r="F35" s="884" t="s">
        <v>593</v>
      </c>
      <c r="G35" s="885"/>
      <c r="H35" s="877"/>
      <c r="I35" s="877"/>
    </row>
    <row r="36" spans="1:9" s="886" customFormat="1" ht="19.5" customHeight="1">
      <c r="A36" s="3246"/>
      <c r="B36" s="3246" t="s">
        <v>563</v>
      </c>
      <c r="C36" s="882" t="s">
        <v>594</v>
      </c>
      <c r="D36" s="883"/>
      <c r="E36" s="881">
        <v>1</v>
      </c>
      <c r="F36" s="884" t="s">
        <v>595</v>
      </c>
      <c r="G36" s="885"/>
      <c r="H36" s="877"/>
      <c r="I36" s="877"/>
    </row>
    <row r="37" spans="1:9" s="886" customFormat="1" ht="19.5" customHeight="1">
      <c r="A37" s="3246"/>
      <c r="B37" s="3246"/>
      <c r="C37" s="882" t="s">
        <v>596</v>
      </c>
      <c r="D37" s="883"/>
      <c r="E37" s="881">
        <v>1.5</v>
      </c>
      <c r="F37" s="884" t="s">
        <v>597</v>
      </c>
      <c r="G37" s="885"/>
      <c r="H37" s="877"/>
      <c r="I37" s="877"/>
    </row>
    <row r="38" spans="1:9" s="886" customFormat="1" ht="19.5" customHeight="1">
      <c r="A38" s="3246"/>
      <c r="B38" s="3246"/>
      <c r="C38" s="882" t="s">
        <v>598</v>
      </c>
      <c r="D38" s="883"/>
      <c r="E38" s="881">
        <v>1</v>
      </c>
      <c r="F38" s="884" t="s">
        <v>599</v>
      </c>
      <c r="G38" s="885"/>
      <c r="H38" s="877"/>
      <c r="I38" s="877"/>
    </row>
    <row r="39" spans="1:9" s="886" customFormat="1" ht="19.5" customHeight="1">
      <c r="A39" s="3246"/>
      <c r="B39" s="324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46" t="s">
        <v>614</v>
      </c>
      <c r="C61" s="817" t="s">
        <v>615</v>
      </c>
      <c r="D61" s="817" t="s">
        <v>616</v>
      </c>
      <c r="E61" s="894">
        <v>0.5</v>
      </c>
      <c r="F61" s="881">
        <v>80</v>
      </c>
    </row>
    <row r="62" spans="1:8" s="877" customFormat="1" ht="24">
      <c r="A62" s="881">
        <v>2</v>
      </c>
      <c r="B62" s="3246"/>
      <c r="C62" s="817" t="s">
        <v>617</v>
      </c>
      <c r="D62" s="817" t="s">
        <v>618</v>
      </c>
      <c r="E62" s="894">
        <v>0.5</v>
      </c>
      <c r="F62" s="881">
        <v>80</v>
      </c>
    </row>
    <row r="63" spans="1:8" s="877" customFormat="1" ht="36">
      <c r="A63" s="881">
        <v>3</v>
      </c>
      <c r="B63" s="3246"/>
      <c r="C63" s="817" t="s">
        <v>619</v>
      </c>
      <c r="D63" s="817" t="s">
        <v>620</v>
      </c>
      <c r="E63" s="894">
        <v>0.5</v>
      </c>
      <c r="F63" s="881">
        <v>80</v>
      </c>
    </row>
    <row r="64" spans="1:8" s="877" customFormat="1" ht="36">
      <c r="A64" s="881">
        <v>4</v>
      </c>
      <c r="B64" s="3246"/>
      <c r="C64" s="817" t="s">
        <v>621</v>
      </c>
      <c r="D64" s="817" t="s">
        <v>622</v>
      </c>
      <c r="E64" s="894">
        <v>0.4</v>
      </c>
      <c r="F64" s="881">
        <v>60</v>
      </c>
    </row>
    <row r="65" spans="1:6" s="877" customFormat="1" ht="36">
      <c r="A65" s="881">
        <v>5</v>
      </c>
      <c r="B65" s="3246"/>
      <c r="C65" s="817" t="s">
        <v>623</v>
      </c>
      <c r="D65" s="817" t="s">
        <v>624</v>
      </c>
      <c r="E65" s="894">
        <v>0.2</v>
      </c>
      <c r="F65" s="881">
        <v>30</v>
      </c>
    </row>
    <row r="66" spans="1:6" s="877" customFormat="1" ht="36">
      <c r="A66" s="881">
        <v>6</v>
      </c>
      <c r="B66" s="3246"/>
      <c r="C66" s="817" t="s">
        <v>625</v>
      </c>
      <c r="D66" s="817" t="s">
        <v>626</v>
      </c>
      <c r="E66" s="894">
        <v>0.3</v>
      </c>
      <c r="F66" s="881">
        <v>50</v>
      </c>
    </row>
    <row r="67" spans="1:6" s="877" customFormat="1" ht="36">
      <c r="A67" s="881">
        <v>7</v>
      </c>
      <c r="B67" s="3246"/>
      <c r="C67" s="817" t="s">
        <v>627</v>
      </c>
      <c r="D67" s="817" t="s">
        <v>628</v>
      </c>
      <c r="E67" s="894">
        <v>0.2</v>
      </c>
      <c r="F67" s="881">
        <v>30</v>
      </c>
    </row>
    <row r="68" spans="1:6" s="877" customFormat="1" ht="36">
      <c r="A68" s="881">
        <v>8</v>
      </c>
      <c r="B68" s="3246"/>
      <c r="C68" s="817" t="s">
        <v>629</v>
      </c>
      <c r="D68" s="817" t="s">
        <v>630</v>
      </c>
      <c r="E68" s="894">
        <v>0.2</v>
      </c>
      <c r="F68" s="881">
        <v>30</v>
      </c>
    </row>
    <row r="69" spans="1:6" s="877" customFormat="1" ht="36">
      <c r="A69" s="881">
        <v>9</v>
      </c>
      <c r="B69" s="3246"/>
      <c r="C69" s="817" t="s">
        <v>631</v>
      </c>
      <c r="D69" s="817" t="s">
        <v>632</v>
      </c>
      <c r="E69" s="894">
        <v>0.2</v>
      </c>
      <c r="F69" s="881">
        <v>30</v>
      </c>
    </row>
    <row r="70" spans="1:6" s="877" customFormat="1" ht="48">
      <c r="A70" s="881">
        <v>10</v>
      </c>
      <c r="B70" s="3246"/>
      <c r="C70" s="817" t="s">
        <v>633</v>
      </c>
      <c r="D70" s="817" t="s">
        <v>634</v>
      </c>
      <c r="E70" s="894">
        <v>0.2</v>
      </c>
      <c r="F70" s="881">
        <v>30</v>
      </c>
    </row>
    <row r="71" spans="1:6" s="877" customFormat="1" ht="48">
      <c r="A71" s="881">
        <v>11</v>
      </c>
      <c r="B71" s="3246"/>
      <c r="C71" s="817" t="s">
        <v>635</v>
      </c>
      <c r="D71" s="817" t="s">
        <v>636</v>
      </c>
      <c r="E71" s="894">
        <v>0.2</v>
      </c>
      <c r="F71" s="881">
        <v>30</v>
      </c>
    </row>
    <row r="72" spans="1:6" s="877" customFormat="1" ht="36">
      <c r="A72" s="881">
        <v>12</v>
      </c>
      <c r="B72" s="3246"/>
      <c r="C72" s="817" t="s">
        <v>637</v>
      </c>
      <c r="D72" s="817" t="s">
        <v>638</v>
      </c>
      <c r="E72" s="894">
        <v>0.5</v>
      </c>
      <c r="F72" s="881">
        <v>80</v>
      </c>
    </row>
    <row r="73" spans="1:6" s="877" customFormat="1" ht="24">
      <c r="A73" s="881">
        <v>13</v>
      </c>
      <c r="B73" s="3246"/>
      <c r="C73" s="817" t="s">
        <v>639</v>
      </c>
      <c r="D73" s="817" t="s">
        <v>640</v>
      </c>
      <c r="E73" s="894">
        <v>0.4</v>
      </c>
      <c r="F73" s="881">
        <v>60</v>
      </c>
    </row>
    <row r="74" spans="1:6" s="877" customFormat="1" ht="24">
      <c r="A74" s="881">
        <v>14</v>
      </c>
      <c r="B74" s="3246"/>
      <c r="C74" s="817" t="s">
        <v>641</v>
      </c>
      <c r="D74" s="817" t="s">
        <v>642</v>
      </c>
      <c r="E74" s="894">
        <v>0.2</v>
      </c>
      <c r="F74" s="881">
        <v>30</v>
      </c>
    </row>
    <row r="75" spans="1:6" s="877" customFormat="1" ht="24">
      <c r="A75" s="881">
        <v>15</v>
      </c>
      <c r="B75" s="3246"/>
      <c r="C75" s="817" t="s">
        <v>643</v>
      </c>
      <c r="D75" s="817" t="s">
        <v>644</v>
      </c>
      <c r="E75" s="894">
        <v>0.2</v>
      </c>
      <c r="F75" s="881">
        <v>30</v>
      </c>
    </row>
    <row r="76" spans="1:6" s="877" customFormat="1" ht="24">
      <c r="A76" s="881">
        <v>16</v>
      </c>
      <c r="B76" s="3246" t="s">
        <v>645</v>
      </c>
      <c r="C76" s="817" t="s">
        <v>646</v>
      </c>
      <c r="D76" s="817" t="s">
        <v>647</v>
      </c>
      <c r="E76" s="894">
        <v>0.5</v>
      </c>
      <c r="F76" s="881">
        <v>80</v>
      </c>
    </row>
    <row r="77" spans="1:6" s="877" customFormat="1" ht="24">
      <c r="A77" s="881">
        <v>17</v>
      </c>
      <c r="B77" s="3246"/>
      <c r="C77" s="817" t="s">
        <v>648</v>
      </c>
      <c r="D77" s="817" t="s">
        <v>649</v>
      </c>
      <c r="E77" s="894">
        <v>0.5</v>
      </c>
      <c r="F77" s="881">
        <v>80</v>
      </c>
    </row>
    <row r="78" spans="1:6" s="877" customFormat="1" ht="24">
      <c r="A78" s="881">
        <v>18</v>
      </c>
      <c r="B78" s="3246"/>
      <c r="C78" s="817" t="s">
        <v>650</v>
      </c>
      <c r="D78" s="817" t="s">
        <v>651</v>
      </c>
      <c r="E78" s="894">
        <v>0.2</v>
      </c>
      <c r="F78" s="881">
        <v>30</v>
      </c>
    </row>
    <row r="79" spans="1:6" s="877" customFormat="1" ht="24">
      <c r="A79" s="881">
        <v>19</v>
      </c>
      <c r="B79" s="3246"/>
      <c r="C79" s="817" t="s">
        <v>652</v>
      </c>
      <c r="D79" s="817" t="s">
        <v>653</v>
      </c>
      <c r="E79" s="894">
        <v>0.5</v>
      </c>
      <c r="F79" s="881">
        <v>80</v>
      </c>
    </row>
    <row r="80" spans="1:6" s="877" customFormat="1" ht="36">
      <c r="A80" s="881">
        <v>20</v>
      </c>
      <c r="B80" s="3246"/>
      <c r="C80" s="817" t="s">
        <v>654</v>
      </c>
      <c r="D80" s="817" t="s">
        <v>655</v>
      </c>
      <c r="E80" s="894">
        <v>0.2</v>
      </c>
      <c r="F80" s="881">
        <v>30</v>
      </c>
    </row>
    <row r="81" spans="1:6" s="877" customFormat="1" ht="36">
      <c r="A81" s="881">
        <v>21</v>
      </c>
      <c r="B81" s="3246"/>
      <c r="C81" s="817" t="s">
        <v>656</v>
      </c>
      <c r="D81" s="817" t="s">
        <v>657</v>
      </c>
      <c r="E81" s="894">
        <v>0.2</v>
      </c>
      <c r="F81" s="881">
        <v>30</v>
      </c>
    </row>
    <row r="82" spans="1:6" s="877" customFormat="1" ht="48">
      <c r="A82" s="881">
        <v>22</v>
      </c>
      <c r="B82" s="3246"/>
      <c r="C82" s="817" t="s">
        <v>658</v>
      </c>
      <c r="D82" s="817" t="s">
        <v>659</v>
      </c>
      <c r="E82" s="894">
        <v>0.2</v>
      </c>
      <c r="F82" s="881">
        <v>30</v>
      </c>
    </row>
    <row r="83" spans="1:6" s="877" customFormat="1" ht="48">
      <c r="A83" s="881">
        <v>23</v>
      </c>
      <c r="B83" s="3246"/>
      <c r="C83" s="817" t="s">
        <v>660</v>
      </c>
      <c r="D83" s="817" t="s">
        <v>661</v>
      </c>
      <c r="E83" s="894">
        <v>0.2</v>
      </c>
      <c r="F83" s="881">
        <v>30</v>
      </c>
    </row>
    <row r="84" spans="1:6" s="877" customFormat="1" ht="36">
      <c r="A84" s="881">
        <v>24</v>
      </c>
      <c r="B84" s="3246"/>
      <c r="C84" s="817" t="s">
        <v>662</v>
      </c>
      <c r="D84" s="817" t="s">
        <v>663</v>
      </c>
      <c r="E84" s="894">
        <v>0.2</v>
      </c>
      <c r="F84" s="881">
        <v>30</v>
      </c>
    </row>
    <row r="85" spans="1:6" s="877" customFormat="1" ht="36">
      <c r="A85" s="881">
        <v>25</v>
      </c>
      <c r="B85" s="3246"/>
      <c r="C85" s="817" t="s">
        <v>664</v>
      </c>
      <c r="D85" s="817" t="s">
        <v>665</v>
      </c>
      <c r="E85" s="894">
        <v>0.5</v>
      </c>
      <c r="F85" s="881">
        <v>80</v>
      </c>
    </row>
    <row r="86" spans="1:6" s="877" customFormat="1" ht="36">
      <c r="A86" s="881">
        <v>26</v>
      </c>
      <c r="B86" s="3246"/>
      <c r="C86" s="817" t="s">
        <v>666</v>
      </c>
      <c r="D86" s="817" t="s">
        <v>667</v>
      </c>
      <c r="E86" s="894">
        <v>0.2</v>
      </c>
      <c r="F86" s="881">
        <v>30</v>
      </c>
    </row>
    <row r="87" spans="1:6" s="877" customFormat="1" ht="36">
      <c r="A87" s="881">
        <v>27</v>
      </c>
      <c r="B87" s="3246"/>
      <c r="C87" s="817" t="s">
        <v>668</v>
      </c>
      <c r="D87" s="817" t="s">
        <v>669</v>
      </c>
      <c r="E87" s="894">
        <v>0.2</v>
      </c>
      <c r="F87" s="881">
        <v>30</v>
      </c>
    </row>
    <row r="88" spans="1:6" s="877" customFormat="1" ht="36">
      <c r="A88" s="881">
        <v>28</v>
      </c>
      <c r="B88" s="3246"/>
      <c r="C88" s="817" t="s">
        <v>670</v>
      </c>
      <c r="D88" s="817" t="s">
        <v>671</v>
      </c>
      <c r="E88" s="894">
        <v>0.2</v>
      </c>
      <c r="F88" s="881">
        <v>30</v>
      </c>
    </row>
    <row r="89" spans="1:6" s="877" customFormat="1" ht="24">
      <c r="A89" s="881">
        <v>29</v>
      </c>
      <c r="B89" s="3246"/>
      <c r="C89" s="817" t="s">
        <v>672</v>
      </c>
      <c r="D89" s="817" t="s">
        <v>673</v>
      </c>
      <c r="E89" s="894">
        <v>0.2</v>
      </c>
      <c r="F89" s="881">
        <v>30</v>
      </c>
    </row>
    <row r="90" spans="1:6" s="877" customFormat="1" ht="24">
      <c r="A90" s="881">
        <v>30</v>
      </c>
      <c r="B90" s="3246"/>
      <c r="C90" s="817" t="s">
        <v>674</v>
      </c>
      <c r="D90" s="817" t="s">
        <v>675</v>
      </c>
      <c r="E90" s="894">
        <v>0.2</v>
      </c>
      <c r="F90" s="881">
        <v>30</v>
      </c>
    </row>
    <row r="91" spans="1:6" s="877" customFormat="1" ht="36">
      <c r="A91" s="881">
        <v>31</v>
      </c>
      <c r="B91" s="3246"/>
      <c r="C91" s="817" t="s">
        <v>676</v>
      </c>
      <c r="D91" s="817" t="s">
        <v>677</v>
      </c>
      <c r="E91" s="894">
        <v>0.2</v>
      </c>
      <c r="F91" s="881">
        <v>30</v>
      </c>
    </row>
    <row r="92" spans="1:6" s="877" customFormat="1" ht="24">
      <c r="A92" s="881">
        <v>32</v>
      </c>
      <c r="B92" s="3246" t="s">
        <v>678</v>
      </c>
      <c r="C92" s="881" t="s">
        <v>679</v>
      </c>
      <c r="D92" s="817" t="s">
        <v>680</v>
      </c>
      <c r="E92" s="894">
        <v>0.2</v>
      </c>
      <c r="F92" s="881">
        <v>30</v>
      </c>
    </row>
    <row r="93" spans="1:6" s="877" customFormat="1" ht="36">
      <c r="A93" s="881">
        <v>33</v>
      </c>
      <c r="B93" s="3246"/>
      <c r="C93" s="881" t="s">
        <v>681</v>
      </c>
      <c r="D93" s="817" t="s">
        <v>682</v>
      </c>
      <c r="E93" s="894">
        <v>0.2</v>
      </c>
      <c r="F93" s="881">
        <v>30</v>
      </c>
    </row>
    <row r="94" spans="1:6" s="877" customFormat="1" ht="48">
      <c r="A94" s="881">
        <v>34</v>
      </c>
      <c r="B94" s="3246"/>
      <c r="C94" s="881" t="s">
        <v>683</v>
      </c>
      <c r="D94" s="817" t="s">
        <v>684</v>
      </c>
      <c r="E94" s="894">
        <v>0.2</v>
      </c>
      <c r="F94" s="881">
        <v>30</v>
      </c>
    </row>
    <row r="95" spans="1:6" s="877" customFormat="1" ht="36">
      <c r="A95" s="881">
        <v>35</v>
      </c>
      <c r="B95" s="3246"/>
      <c r="C95" s="881" t="s">
        <v>685</v>
      </c>
      <c r="D95" s="817" t="s">
        <v>686</v>
      </c>
      <c r="E95" s="894">
        <v>0.2</v>
      </c>
      <c r="F95" s="881">
        <v>30</v>
      </c>
    </row>
    <row r="96" spans="1:6" s="877" customFormat="1" ht="48">
      <c r="A96" s="881">
        <v>36</v>
      </c>
      <c r="B96" s="3246"/>
      <c r="C96" s="817" t="s">
        <v>687</v>
      </c>
      <c r="D96" s="817" t="s">
        <v>688</v>
      </c>
      <c r="E96" s="894">
        <v>0.2</v>
      </c>
      <c r="F96" s="881">
        <v>30</v>
      </c>
    </row>
    <row r="97" spans="1:6" s="877" customFormat="1" ht="36">
      <c r="A97" s="881">
        <v>37</v>
      </c>
      <c r="B97" s="3246"/>
      <c r="C97" s="881" t="s">
        <v>689</v>
      </c>
      <c r="D97" s="817" t="s">
        <v>690</v>
      </c>
      <c r="E97" s="894">
        <v>0.2</v>
      </c>
      <c r="F97" s="881">
        <v>30</v>
      </c>
    </row>
    <row r="98" spans="1:6" s="877" customFormat="1" ht="36">
      <c r="A98" s="881">
        <v>38</v>
      </c>
      <c r="B98" s="3246"/>
      <c r="C98" s="881" t="s">
        <v>691</v>
      </c>
      <c r="D98" s="817" t="s">
        <v>692</v>
      </c>
      <c r="E98" s="894">
        <v>0.2</v>
      </c>
      <c r="F98" s="881">
        <v>30</v>
      </c>
    </row>
    <row r="99" spans="1:6" s="877" customFormat="1" ht="36">
      <c r="A99" s="881">
        <v>39</v>
      </c>
      <c r="B99" s="3246" t="s">
        <v>693</v>
      </c>
      <c r="C99" s="881" t="s">
        <v>694</v>
      </c>
      <c r="D99" s="817" t="s">
        <v>695</v>
      </c>
      <c r="E99" s="894">
        <v>0.3</v>
      </c>
      <c r="F99" s="881">
        <v>50</v>
      </c>
    </row>
    <row r="100" spans="1:6" s="877" customFormat="1" ht="24">
      <c r="A100" s="881">
        <v>40</v>
      </c>
      <c r="B100" s="3246"/>
      <c r="C100" s="881" t="s">
        <v>696</v>
      </c>
      <c r="D100" s="817" t="s">
        <v>697</v>
      </c>
      <c r="E100" s="894">
        <v>0.2</v>
      </c>
      <c r="F100" s="881">
        <v>30</v>
      </c>
    </row>
    <row r="101" spans="1:6" s="877" customFormat="1" ht="36">
      <c r="A101" s="881">
        <v>41</v>
      </c>
      <c r="B101" s="324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46" t="s">
        <v>708</v>
      </c>
      <c r="C105" s="881" t="s">
        <v>709</v>
      </c>
      <c r="D105" s="817" t="s">
        <v>710</v>
      </c>
      <c r="E105" s="894">
        <v>0.2</v>
      </c>
      <c r="F105" s="881">
        <v>30</v>
      </c>
    </row>
    <row r="106" spans="1:6" s="877" customFormat="1" ht="36">
      <c r="A106" s="881">
        <v>46</v>
      </c>
      <c r="B106" s="3246"/>
      <c r="C106" s="881" t="s">
        <v>711</v>
      </c>
      <c r="D106" s="817" t="s">
        <v>712</v>
      </c>
      <c r="E106" s="894">
        <v>0.2</v>
      </c>
      <c r="F106" s="881">
        <v>30</v>
      </c>
    </row>
    <row r="107" spans="1:6" s="877" customFormat="1" ht="36">
      <c r="A107" s="881">
        <v>47</v>
      </c>
      <c r="B107" s="3246" t="s">
        <v>713</v>
      </c>
      <c r="C107" s="881" t="s">
        <v>714</v>
      </c>
      <c r="D107" s="817" t="s">
        <v>715</v>
      </c>
      <c r="E107" s="894">
        <v>0.3</v>
      </c>
      <c r="F107" s="881">
        <v>50</v>
      </c>
    </row>
    <row r="108" spans="1:6" s="877" customFormat="1" ht="36">
      <c r="A108" s="881">
        <v>48</v>
      </c>
      <c r="B108" s="324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46" t="s">
        <v>724</v>
      </c>
      <c r="C111" s="881" t="s">
        <v>725</v>
      </c>
      <c r="D111" s="817" t="s">
        <v>726</v>
      </c>
      <c r="E111" s="894">
        <v>0.2</v>
      </c>
      <c r="F111" s="881">
        <v>30</v>
      </c>
    </row>
    <row r="112" spans="1:6" s="877" customFormat="1" ht="24">
      <c r="A112" s="881">
        <v>52</v>
      </c>
      <c r="B112" s="3246"/>
      <c r="C112" s="881" t="s">
        <v>727</v>
      </c>
      <c r="D112" s="817" t="s">
        <v>728</v>
      </c>
      <c r="E112" s="894">
        <v>0.2</v>
      </c>
      <c r="F112" s="881">
        <v>30</v>
      </c>
    </row>
    <row r="113" spans="1:6" s="877" customFormat="1" ht="24">
      <c r="A113" s="881">
        <v>53</v>
      </c>
      <c r="B113" s="324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46" t="s">
        <v>737</v>
      </c>
      <c r="C116" s="881" t="s">
        <v>738</v>
      </c>
      <c r="D116" s="817" t="s">
        <v>739</v>
      </c>
      <c r="E116" s="894">
        <v>0.2</v>
      </c>
      <c r="F116" s="881">
        <v>30</v>
      </c>
    </row>
    <row r="117" spans="1:6" ht="36">
      <c r="A117" s="881">
        <v>57</v>
      </c>
      <c r="B117" s="324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52" t="s">
        <v>1150</v>
      </c>
      <c r="C1" s="3252"/>
      <c r="D1" s="3252"/>
      <c r="E1" s="3252"/>
      <c r="F1" s="3252"/>
      <c r="G1" s="3251" t="s">
        <v>1151</v>
      </c>
      <c r="H1" s="3251"/>
      <c r="I1" s="3251"/>
      <c r="J1" s="3251"/>
      <c r="K1" s="3251"/>
      <c r="L1" s="3251"/>
      <c r="N1" s="3251" t="s">
        <v>1152</v>
      </c>
      <c r="O1" s="3251"/>
      <c r="P1" s="3251"/>
      <c r="Q1" s="3251"/>
      <c r="R1" s="1447"/>
      <c r="S1" s="3251" t="s">
        <v>1153</v>
      </c>
      <c r="T1" s="3251"/>
      <c r="U1" s="3251"/>
      <c r="V1" s="3251"/>
      <c r="X1" s="3250" t="s">
        <v>1154</v>
      </c>
      <c r="Y1" s="3251"/>
      <c r="Z1" s="3251"/>
      <c r="AA1" s="3251"/>
      <c r="AB1" s="3251"/>
      <c r="AD1" s="3250" t="s">
        <v>1155</v>
      </c>
      <c r="AE1" s="3251"/>
      <c r="AF1" s="3251"/>
      <c r="AG1" s="3251"/>
      <c r="AH1" s="3251"/>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6"/>
      <c r="J3" s="2926"/>
      <c r="K3" s="2926"/>
      <c r="L3" s="2926"/>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3045</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6">
        <f>ROUND(AVERAGE(I5:I20),2)</f>
        <v>2.4900000000000002</v>
      </c>
      <c r="J4" s="2926">
        <f t="shared" ref="J4:L4" si="7">ROUND(AVERAGE(J5:J20),2)</f>
        <v>1.64</v>
      </c>
      <c r="K4" s="2926">
        <f t="shared" si="7"/>
        <v>2.78</v>
      </c>
      <c r="L4" s="2926">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3043</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3">
        <v>2017</v>
      </c>
      <c r="H5" s="1732">
        <v>4</v>
      </c>
      <c r="I5" s="2927">
        <f>ROUND(AVERAGE(I6:I20),2)</f>
        <v>2.4900000000000002</v>
      </c>
      <c r="J5" s="2927">
        <f>ROUND(AVERAGE(J6:J20),2)</f>
        <v>1.64</v>
      </c>
      <c r="K5" s="2927">
        <f>ROUND(AVERAGE(K6:K20),2)</f>
        <v>2.78</v>
      </c>
      <c r="L5" s="2927">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3044</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5"/>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4"/>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5"/>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53">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48"/>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48"/>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49"/>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47">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48"/>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48"/>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49"/>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47">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48"/>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48"/>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49"/>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54">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55"/>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55"/>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56"/>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47">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48"/>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48"/>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49"/>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47">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48">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48">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49">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47">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48">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48">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49">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47">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48">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48">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49">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47">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48">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48">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49">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47">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48">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48">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49">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47">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48">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48">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49">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47">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48">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48">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49">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47">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48">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48">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49">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47">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48">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48">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49">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47">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48">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48">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49">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3010</v>
      </c>
      <c r="C1" s="3258" t="s">
        <v>3011</v>
      </c>
      <c r="D1" s="3259"/>
      <c r="E1" s="3259"/>
      <c r="F1" s="3259"/>
      <c r="G1" s="3259"/>
      <c r="H1" s="3259"/>
      <c r="I1" s="3259"/>
      <c r="J1" s="3259"/>
      <c r="K1" s="3259"/>
      <c r="L1" s="3259"/>
      <c r="M1" s="3259"/>
      <c r="N1" s="3259"/>
      <c r="O1" s="3259"/>
      <c r="P1" s="3259"/>
      <c r="Q1" s="3259"/>
      <c r="R1" s="3259"/>
      <c r="S1" s="3260"/>
      <c r="T1" s="1205" t="s">
        <v>3012</v>
      </c>
    </row>
    <row r="2" spans="1:45" s="706" customFormat="1">
      <c r="A2" s="1206"/>
      <c r="B2" s="702" t="s">
        <v>3013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71" t="s">
        <v>3014</v>
      </c>
      <c r="C5" s="1217"/>
      <c r="D5" s="1218"/>
      <c r="E5" s="1218"/>
      <c r="F5" s="1713"/>
      <c r="G5" s="1713"/>
      <c r="H5" s="1713"/>
      <c r="I5" s="1713"/>
      <c r="J5" s="1713"/>
      <c r="K5" s="1713"/>
      <c r="L5" s="1714"/>
      <c r="M5" s="1715"/>
      <c r="N5" s="1715"/>
      <c r="O5" s="1713"/>
      <c r="P5" s="1713"/>
      <c r="Q5" s="1713"/>
      <c r="R5" s="1713"/>
      <c r="S5" s="1716"/>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2" t="s">
        <v>3015</v>
      </c>
      <c r="C7" s="1122"/>
      <c r="D7" s="1116"/>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3016</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3017</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3018</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3019</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3020</v>
      </c>
      <c r="B17" s="2919" t="s">
        <v>3021</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3022</v>
      </c>
      <c r="E19" s="1794"/>
      <c r="F19" s="1794"/>
      <c r="G19" s="1794"/>
      <c r="H19" s="1281"/>
      <c r="I19" s="167"/>
      <c r="J19" s="167"/>
      <c r="K19" s="167"/>
      <c r="L19" s="167"/>
      <c r="M19" s="167"/>
      <c r="N19" s="167"/>
      <c r="O19" s="167"/>
      <c r="P19" s="167"/>
      <c r="Q19" s="167"/>
      <c r="R19" s="787"/>
      <c r="S19" s="137"/>
    </row>
    <row r="20" spans="1:45" ht="16.5" thickBot="1">
      <c r="A20" s="714" t="s">
        <v>3023</v>
      </c>
      <c r="B20" s="337" t="e">
        <f ca="1">IF(D20="——",S22,S22-F20)</f>
        <v>#REF!</v>
      </c>
      <c r="C20" s="167"/>
      <c r="D20" s="2921" t="s">
        <v>3024</v>
      </c>
      <c r="E20" s="1795"/>
      <c r="F20" s="1205" t="e">
        <f ca="1">SUMIF(INDIRECT("'"&amp;H20&amp;"'"&amp;"!A:A"),"承租人权益价值",INDIRECT("'"&amp;H20&amp;"'"&amp;"!c:c"))</f>
        <v>#REF!</v>
      </c>
      <c r="G20" s="1205" t="s">
        <v>3025</v>
      </c>
      <c r="H20" s="2922"/>
      <c r="I20" s="167"/>
      <c r="J20" s="167"/>
      <c r="K20" s="167"/>
      <c r="L20" s="167"/>
      <c r="M20" s="167"/>
      <c r="N20" s="167"/>
      <c r="O20" s="167"/>
      <c r="P20" s="167"/>
      <c r="Q20" s="167"/>
      <c r="R20" s="787"/>
      <c r="S20" s="137"/>
    </row>
    <row r="21" spans="1:45" ht="15.75">
      <c r="A21" s="714" t="s">
        <v>3026</v>
      </c>
      <c r="B21" s="337">
        <f>R22</f>
        <v>10000</v>
      </c>
      <c r="C21" s="167"/>
      <c r="D21" s="167"/>
      <c r="E21" s="167"/>
      <c r="F21" s="167"/>
      <c r="G21" s="167"/>
      <c r="H21" s="167"/>
      <c r="I21" s="167"/>
      <c r="J21" s="167"/>
      <c r="K21" s="167"/>
      <c r="L21" s="167"/>
      <c r="M21" s="167"/>
      <c r="N21" s="167"/>
      <c r="O21" s="167"/>
      <c r="P21" s="167"/>
      <c r="Q21" s="167"/>
      <c r="R21" s="787"/>
      <c r="S21" s="137"/>
    </row>
    <row r="22" spans="1:45">
      <c r="A22" s="360" t="s">
        <v>3027</v>
      </c>
      <c r="B22" s="24">
        <f>SUM(B24:B10000)</f>
        <v>100</v>
      </c>
      <c r="C22" s="3120" t="s">
        <v>33</v>
      </c>
      <c r="D22" s="3121"/>
      <c r="E22" s="3121"/>
      <c r="F22" s="3121"/>
      <c r="G22" s="3121"/>
      <c r="H22" s="3121"/>
      <c r="I22" s="3121"/>
      <c r="J22" s="3121"/>
      <c r="K22" s="3121"/>
      <c r="L22" s="3121"/>
      <c r="M22" s="3121"/>
      <c r="N22" s="3121"/>
      <c r="O22" s="3121"/>
      <c r="P22" s="3121"/>
      <c r="Q22" s="3257"/>
      <c r="R22" s="715">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6" t="s">
        <v>3031</v>
      </c>
      <c r="S23" s="11" t="s">
        <v>3032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4"/>
      <c r="C2" s="2944"/>
      <c r="D2" s="2944"/>
      <c r="E2" s="2944"/>
    </row>
    <row r="3" spans="1:5" ht="18">
      <c r="A3" s="2945" t="str">
        <f>IF(项目基本情况!B9="房地产市场价值","估价结果一览表（市场价值不需“结果表-1”）","估价结果一览表")</f>
        <v>估价结果一览表</v>
      </c>
      <c r="B3" s="2945"/>
      <c r="C3" s="2945"/>
      <c r="D3" s="2945"/>
      <c r="E3" s="2945"/>
    </row>
    <row r="4" spans="1:5" ht="19.5" thickBot="1">
      <c r="A4" s="1963"/>
      <c r="B4" s="2943" t="s">
        <v>1632</v>
      </c>
      <c r="C4" s="2943"/>
      <c r="D4" s="2943"/>
      <c r="E4" s="1963"/>
    </row>
    <row r="5" spans="1:5" ht="16.5" thickTop="1">
      <c r="A5" s="1961"/>
      <c r="B5" s="2941" t="s">
        <v>1624</v>
      </c>
      <c r="C5" s="1964" t="s">
        <v>1625</v>
      </c>
      <c r="D5" s="1041">
        <f ca="1">结果表!H101</f>
        <v>3961</v>
      </c>
      <c r="E5" s="1961"/>
    </row>
    <row r="6" spans="1:5" ht="15.75">
      <c r="A6" s="1961"/>
      <c r="B6" s="2941"/>
      <c r="C6" s="1964" t="s">
        <v>1626</v>
      </c>
      <c r="D6" s="1041" t="str">
        <f ca="1">NUMBERSTRING(INT(D5*10000),2)&amp;"元整"</f>
        <v>叁仟玖佰陆拾壹万元整</v>
      </c>
      <c r="E6" s="1961"/>
    </row>
    <row r="7" spans="1:5" ht="15.75">
      <c r="A7" s="1961"/>
      <c r="B7" s="2946"/>
      <c r="C7" s="1965" t="s">
        <v>1627</v>
      </c>
      <c r="D7" s="1042">
        <f ca="1">结果表!H102</f>
        <v>8254</v>
      </c>
      <c r="E7" s="1961"/>
    </row>
    <row r="8" spans="1:5" ht="15.75">
      <c r="A8" s="1961"/>
      <c r="B8" s="2947" t="str">
        <f>结果表!E103</f>
        <v>2.估价师知悉的法定优先受偿款</v>
      </c>
      <c r="C8" s="1966" t="s">
        <v>1628</v>
      </c>
      <c r="D8" s="1042">
        <f>结果表!H103</f>
        <v>0</v>
      </c>
      <c r="E8" s="1961"/>
    </row>
    <row r="9" spans="1:5" ht="15.75">
      <c r="A9" s="1961"/>
      <c r="B9" s="2949"/>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40" t="str">
        <f>结果表!E107</f>
        <v>3.房地产抵押价值</v>
      </c>
      <c r="C13" s="1969" t="s">
        <v>1625</v>
      </c>
      <c r="D13" s="1044">
        <f ca="1">结果表!H107</f>
        <v>3961</v>
      </c>
      <c r="E13" s="1961"/>
    </row>
    <row r="14" spans="1:5" ht="15.75">
      <c r="A14" s="1961"/>
      <c r="B14" s="2941"/>
      <c r="C14" s="1964" t="s">
        <v>1626</v>
      </c>
      <c r="D14" s="1041" t="str">
        <f ca="1">NUMBERSTRING(INT(D13*10000),2)&amp;"元整"</f>
        <v>叁仟玖佰陆拾壹万元整</v>
      </c>
      <c r="E14" s="1961"/>
    </row>
    <row r="15" spans="1:5" ht="15">
      <c r="A15" s="1961"/>
      <c r="B15" s="2946"/>
      <c r="C15" s="1965" t="s">
        <v>1636</v>
      </c>
      <c r="D15" s="1053">
        <f ca="1">结果表!H108</f>
        <v>8254</v>
      </c>
      <c r="E15" s="1961"/>
    </row>
    <row r="16" spans="1:5" ht="15">
      <c r="A16" s="1961"/>
      <c r="B16" s="2947" t="str">
        <f>结果表!E109</f>
        <v>——</v>
      </c>
      <c r="C16" s="1969" t="s">
        <v>1637</v>
      </c>
      <c r="D16" s="1970" t="str">
        <f>结果表!H109</f>
        <v>——</v>
      </c>
      <c r="E16" s="1961"/>
    </row>
    <row r="17" spans="1:5" ht="15.75">
      <c r="A17" s="1961"/>
      <c r="B17" s="2948"/>
      <c r="C17" s="1964" t="s">
        <v>1638</v>
      </c>
      <c r="D17" s="1041" t="e">
        <f>NUMBERSTRING(INT(D16*10000),2)&amp;"元整"</f>
        <v>#VALUE!</v>
      </c>
      <c r="E17" s="1961"/>
    </row>
    <row r="18" spans="1:5" ht="15">
      <c r="A18" s="1961"/>
      <c r="B18" s="2949"/>
      <c r="C18" s="1965" t="s">
        <v>1627</v>
      </c>
      <c r="D18" s="1053" t="str">
        <f>结果表!H110</f>
        <v>——</v>
      </c>
      <c r="E18" s="1961"/>
    </row>
    <row r="19" spans="1:5" ht="15.75">
      <c r="A19" s="1961"/>
      <c r="B19" s="2940" t="str">
        <f>结果表!E111</f>
        <v>——</v>
      </c>
      <c r="C19" s="1969" t="s">
        <v>1625</v>
      </c>
      <c r="D19" s="1042" t="str">
        <f>结果表!H111</f>
        <v>——</v>
      </c>
      <c r="E19" s="1961"/>
    </row>
    <row r="20" spans="1:5" ht="15.75">
      <c r="A20" s="1961"/>
      <c r="B20" s="2941"/>
      <c r="C20" s="1964" t="s">
        <v>1638</v>
      </c>
      <c r="D20" s="1041" t="e">
        <f>NUMBERSTRING(INT(D19*10000),2)&amp;"元整"</f>
        <v>#VALUE!</v>
      </c>
      <c r="E20" s="1961"/>
    </row>
    <row r="21" spans="1:5" ht="15.75" thickBot="1">
      <c r="A21" s="1961"/>
      <c r="B21" s="2942"/>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28318</v>
      </c>
      <c r="C2" s="2" t="s">
        <v>133</v>
      </c>
      <c r="D2" s="242"/>
      <c r="E2" s="242"/>
      <c r="F2" s="242"/>
      <c r="G2" s="242"/>
    </row>
    <row r="3" spans="1:7" s="243" customFormat="1" ht="18" customHeight="1" thickBot="1">
      <c r="A3" s="246" t="s">
        <v>85</v>
      </c>
      <c r="B3" s="247">
        <f ca="1">ROUND(B2*10000/'数据-汇总表'!E3,0)</f>
        <v>59007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4799.08</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72</v>
      </c>
      <c r="D19" s="1038">
        <f>'数据-汇总表'!E3</f>
        <v>4799.08</v>
      </c>
      <c r="E19" s="254">
        <f>'数据-取费表'!B31</f>
        <v>150</v>
      </c>
      <c r="F19" s="274"/>
      <c r="G19" s="1" t="s">
        <v>1074</v>
      </c>
    </row>
    <row r="20" spans="1:7" s="257" customFormat="1" ht="13.5" customHeight="1">
      <c r="A20" s="950" t="s">
        <v>1057</v>
      </c>
      <c r="B20" s="253" t="s">
        <v>104</v>
      </c>
      <c r="C20" s="275">
        <f>ROUND((C5+C19)*F20,0)</f>
        <v>414</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1506</v>
      </c>
      <c r="D22" s="278">
        <f ca="1">C26</f>
        <v>6.9999999999999999E-4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1486</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5</v>
      </c>
      <c r="D24" s="281"/>
      <c r="E24" s="281"/>
      <c r="F24" s="282"/>
      <c r="G24" s="283" t="s">
        <v>109</v>
      </c>
    </row>
    <row r="25" spans="1:7" s="257" customFormat="1" ht="24">
      <c r="A25" s="953" t="s">
        <v>793</v>
      </c>
      <c r="B25" s="258" t="s">
        <v>1058</v>
      </c>
      <c r="C25" s="1356">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2110</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2110</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26718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1374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1200</v>
      </c>
      <c r="D34" s="260"/>
      <c r="E34" s="263"/>
      <c r="F34" s="300">
        <f>IF('数据-取费表'!B24=0,1,'数据-取费表'!N16)</f>
        <v>1</v>
      </c>
      <c r="G34" s="262" t="s">
        <v>116</v>
      </c>
    </row>
    <row r="35" spans="1:7" ht="13.5" customHeight="1">
      <c r="A35" s="953" t="s">
        <v>796</v>
      </c>
      <c r="B35" s="258" t="s">
        <v>60</v>
      </c>
      <c r="C35" s="263">
        <f>ROUND(C34*F35,0)</f>
        <v>60</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96</v>
      </c>
      <c r="D37" s="260">
        <f>'数据-汇总表'!E3</f>
        <v>4799.08</v>
      </c>
      <c r="E37" s="292">
        <f>'数据-取费表'!B35</f>
        <v>200</v>
      </c>
      <c r="F37" s="302"/>
      <c r="G37" s="304" t="s">
        <v>119</v>
      </c>
    </row>
    <row r="38" spans="1:7" ht="13.5" customHeight="1">
      <c r="A38" s="953" t="s">
        <v>799</v>
      </c>
      <c r="B38" s="258" t="s">
        <v>63</v>
      </c>
      <c r="C38" s="263">
        <f>ROUND(C34*F38,0)</f>
        <v>18</v>
      </c>
      <c r="D38" s="263"/>
      <c r="E38" s="263"/>
      <c r="F38" s="302">
        <f>'数据-取费表'!B36</f>
        <v>1.4999999999999999E-2</v>
      </c>
      <c r="G38" s="262" t="s">
        <v>117</v>
      </c>
    </row>
    <row r="39" spans="1:7" s="257" customFormat="1" ht="13.5" customHeight="1">
      <c r="A39" s="950" t="s">
        <v>783</v>
      </c>
      <c r="B39" s="253" t="s">
        <v>104</v>
      </c>
      <c r="C39" s="275">
        <f>ROUND(C33*F20,0)</f>
        <v>27</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50</v>
      </c>
      <c r="D41" s="278">
        <f ca="1">C44</f>
        <v>6.9999999999999999E-4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49</v>
      </c>
      <c r="D42" s="281"/>
      <c r="E42" s="281"/>
      <c r="F42" s="282"/>
      <c r="G42" s="3145" t="s">
        <v>121</v>
      </c>
    </row>
    <row r="43" spans="1:7" ht="13.5" customHeight="1">
      <c r="A43" s="953" t="s">
        <v>792</v>
      </c>
      <c r="B43" s="258" t="s">
        <v>1064</v>
      </c>
      <c r="C43" s="281">
        <f ca="1">ROUND(IF('数据-取费表'!B22&lt;=1,C39*F22*'数据-取费表'!B21/2,C39*(POWER((1+F22),'数据-取费表'!B21/2)-1)),0)</f>
        <v>1</v>
      </c>
      <c r="D43" s="281"/>
      <c r="E43" s="281"/>
      <c r="F43" s="282"/>
      <c r="G43" s="3146"/>
    </row>
    <row r="44" spans="1:7" ht="13.5" customHeight="1">
      <c r="A44" s="953" t="s">
        <v>793</v>
      </c>
      <c r="B44" s="258" t="s">
        <v>1066</v>
      </c>
      <c r="C44" s="281">
        <f ca="1">ROUND(IF('数据-取费表'!B22&lt;=1,C40*F22*'数据-取费表'!B21/2,C40*(POWER((1+F22),'数据-取费表'!B21/2)-1)),4)</f>
        <v>6.9999999999999999E-4</v>
      </c>
      <c r="D44" s="281"/>
      <c r="E44" s="281"/>
      <c r="F44" s="282"/>
      <c r="G44" s="3147"/>
    </row>
    <row r="45" spans="1:7" s="257" customFormat="1" ht="13.5" customHeight="1">
      <c r="A45" s="950" t="s">
        <v>786</v>
      </c>
      <c r="B45" s="287" t="s">
        <v>112</v>
      </c>
      <c r="C45" s="288">
        <f>C46</f>
        <v>140</v>
      </c>
      <c r="D45" s="278">
        <f>C47</f>
        <v>2E-3</v>
      </c>
      <c r="E45" s="279" t="s">
        <v>129</v>
      </c>
      <c r="F45" s="289"/>
      <c r="G45" s="290" t="s">
        <v>1072</v>
      </c>
    </row>
    <row r="46" spans="1:7" s="257" customFormat="1" ht="13.5" customHeight="1">
      <c r="A46" s="953" t="s">
        <v>794</v>
      </c>
      <c r="B46" s="291" t="s">
        <v>1065</v>
      </c>
      <c r="C46" s="292">
        <f>ROUND((C33+C39)*F27,0)</f>
        <v>140</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1720</v>
      </c>
      <c r="D49" s="275"/>
      <c r="E49" s="275"/>
      <c r="F49" s="307"/>
      <c r="G49" s="277" t="s">
        <v>1073</v>
      </c>
    </row>
    <row r="50" spans="1:7" s="301" customFormat="1" ht="24">
      <c r="A50" s="950" t="s">
        <v>789</v>
      </c>
      <c r="B50" s="253" t="s">
        <v>124</v>
      </c>
      <c r="C50" s="275"/>
      <c r="D50" s="275"/>
      <c r="E50" s="275"/>
      <c r="F50" s="307">
        <f>IF('数据-取费表'!B24=0,'数据-取费表'!N16,1)</f>
        <v>0.93</v>
      </c>
      <c r="G50" s="290" t="s">
        <v>125</v>
      </c>
    </row>
    <row r="51" spans="1:7" ht="16.5" customHeight="1">
      <c r="A51" s="950" t="s">
        <v>790</v>
      </c>
      <c r="B51" s="253" t="s">
        <v>132</v>
      </c>
      <c r="C51" s="275">
        <f ca="1">ROUND(C49*F50,0)</f>
        <v>1600</v>
      </c>
      <c r="D51" s="275"/>
      <c r="E51" s="275"/>
      <c r="F51" s="307"/>
      <c r="G51" s="277" t="s">
        <v>64</v>
      </c>
    </row>
    <row r="52" spans="1:7" s="251" customFormat="1" ht="16.5" thickBot="1">
      <c r="A52" s="308" t="s">
        <v>65</v>
      </c>
      <c r="B52" s="309"/>
      <c r="C52" s="310">
        <f ca="1">C31+C51</f>
        <v>28318</v>
      </c>
      <c r="D52" s="309"/>
      <c r="E52" s="309"/>
      <c r="F52" s="309"/>
      <c r="G52" s="311"/>
    </row>
    <row r="55" spans="1:7" ht="15">
      <c r="B55" s="313" t="s">
        <v>66</v>
      </c>
      <c r="C55" s="314"/>
    </row>
    <row r="56" spans="1:7">
      <c r="B56" s="316" t="s">
        <v>67</v>
      </c>
      <c r="C56" s="317">
        <f ca="1">ROUND(C51/C52,3)</f>
        <v>5.7000000000000002E-2</v>
      </c>
    </row>
    <row r="57" spans="1:7">
      <c r="B57" s="316" t="s">
        <v>68</v>
      </c>
      <c r="C57" s="318">
        <f ca="1">1-C56</f>
        <v>0.94299999999999995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61" t="s">
        <v>156</v>
      </c>
      <c r="B1" s="3261"/>
      <c r="C1" s="3261"/>
      <c r="D1" s="3261"/>
      <c r="E1" s="3261"/>
      <c r="F1" s="326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62" t="s">
        <v>169</v>
      </c>
      <c r="B2" s="3262"/>
      <c r="C2" s="3262"/>
      <c r="D2" s="3262"/>
      <c r="E2" s="3262"/>
      <c r="F2" s="326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6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6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61" t="s">
        <v>871</v>
      </c>
      <c r="B1" s="326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43061</v>
      </c>
      <c r="D1" s="1702" t="s">
        <v>1302</v>
      </c>
      <c r="E1" s="1697">
        <f>'数据-取费表'!B22</f>
        <v>1.5</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59" t="str">
        <f>IF(项目基本情况!B9="房地产市场价值","估价结果一览表","结果表-2")</f>
        <v>结果表-2</v>
      </c>
      <c r="B1" s="2959"/>
      <c r="C1" s="2959"/>
      <c r="D1" s="2959"/>
      <c r="E1" s="2959"/>
      <c r="F1" s="2959"/>
      <c r="G1" s="2959"/>
      <c r="H1" s="2959"/>
      <c r="I1" s="2959"/>
    </row>
    <row r="2" spans="1:9" ht="30" customHeight="1" thickTop="1">
      <c r="A2" s="2960" t="s">
        <v>1643</v>
      </c>
      <c r="B2" s="2960" t="s">
        <v>1644</v>
      </c>
      <c r="C2" s="2960" t="s">
        <v>1645</v>
      </c>
      <c r="D2" s="2960" t="str">
        <f>结果表!D116</f>
        <v>出让国有建设用地使用权价值</v>
      </c>
      <c r="E2" s="2960"/>
      <c r="F2" s="2960" t="str">
        <f>结果表!F116</f>
        <v>在建建筑物价值</v>
      </c>
      <c r="G2" s="2960"/>
      <c r="H2" s="2960" t="str">
        <f>IF(项目基本情况!B9="房地产市场价值","房地产市场价值","房地产价值")</f>
        <v>房地产价值</v>
      </c>
      <c r="I2" s="2960"/>
    </row>
    <row r="3" spans="1:9" ht="15">
      <c r="A3" s="2954"/>
      <c r="B3" s="2954"/>
      <c r="C3" s="2954"/>
      <c r="D3" s="1045" t="s">
        <v>1640</v>
      </c>
      <c r="E3" s="1045" t="s">
        <v>1646</v>
      </c>
      <c r="F3" s="1045" t="s">
        <v>1640</v>
      </c>
      <c r="G3" s="1045" t="s">
        <v>1641</v>
      </c>
      <c r="H3" s="1045" t="s">
        <v>1640</v>
      </c>
      <c r="I3" s="1045" t="s">
        <v>1641</v>
      </c>
    </row>
    <row r="4" spans="1:9" ht="30">
      <c r="A4" s="1975" t="str">
        <f>项目基本情况!S2</f>
        <v>北京市通州区环科中路16号38幢1至4层101工业用房房地产</v>
      </c>
      <c r="B4" s="1045">
        <f>项目基本情况!C17</f>
        <v>4799.08</v>
      </c>
      <c r="C4" s="1045">
        <f>项目基本情况!C18</f>
        <v>0</v>
      </c>
      <c r="D4" s="1045">
        <f ca="1">结果表!D118</f>
        <v>1145</v>
      </c>
      <c r="E4" s="1045">
        <f ca="1">结果表!E118</f>
        <v>2386</v>
      </c>
      <c r="F4" s="1045">
        <f ca="1">结果表!F118</f>
        <v>2816</v>
      </c>
      <c r="G4" s="1045">
        <f ca="1">结果表!G118</f>
        <v>5868</v>
      </c>
      <c r="H4" s="1045">
        <f ca="1">结果表!H118</f>
        <v>3961</v>
      </c>
      <c r="I4" s="1045">
        <f ca="1">结果表!I118</f>
        <v>8254</v>
      </c>
    </row>
    <row r="5" spans="1:9" ht="30" customHeight="1">
      <c r="A5" s="2954" t="s">
        <v>1642</v>
      </c>
      <c r="B5" s="2954"/>
      <c r="C5" s="2954"/>
      <c r="D5" s="2955" t="str">
        <f ca="1">结果表!D119</f>
        <v>壹仟壹佰肆拾伍万元整</v>
      </c>
      <c r="E5" s="2955"/>
      <c r="F5" s="2955" t="str">
        <f ca="1">结果表!F119</f>
        <v>贰仟捌佰壹拾陆万元整</v>
      </c>
      <c r="G5" s="2955"/>
      <c r="H5" s="2955" t="str">
        <f ca="1">结果表!H119</f>
        <v>叁仟玖佰陆拾壹万元整</v>
      </c>
      <c r="I5" s="2955"/>
    </row>
    <row r="6" spans="1:9" ht="15.75">
      <c r="A6" s="2953" t="str">
        <f>结果表!A120</f>
        <v>估价师知悉的法定优先受偿款</v>
      </c>
      <c r="B6" s="2953"/>
      <c r="C6" s="2953"/>
      <c r="D6" s="2953">
        <f>结果表!D120</f>
        <v>0</v>
      </c>
      <c r="E6" s="2953"/>
      <c r="F6" s="2953"/>
      <c r="G6" s="2953"/>
      <c r="H6" s="2953"/>
      <c r="I6" s="2953"/>
    </row>
    <row r="7" spans="1:9" ht="15">
      <c r="A7" s="2954" t="s">
        <v>1642</v>
      </c>
      <c r="B7" s="2954"/>
      <c r="C7" s="2954"/>
      <c r="D7" s="2956" t="str">
        <f>结果表!D121</f>
        <v>零元整</v>
      </c>
      <c r="E7" s="2957"/>
      <c r="F7" s="2957"/>
      <c r="G7" s="2957"/>
      <c r="H7" s="2957"/>
      <c r="I7" s="2958"/>
    </row>
    <row r="8" spans="1:9" ht="15.75">
      <c r="A8" s="2953" t="str">
        <f>结果表!A122</f>
        <v>房地产抵押价值</v>
      </c>
      <c r="B8" s="2953"/>
      <c r="C8" s="2953"/>
      <c r="D8" s="2953">
        <f ca="1">结果表!D122</f>
        <v>3961</v>
      </c>
      <c r="E8" s="2953"/>
      <c r="F8" s="2953"/>
      <c r="G8" s="2953"/>
      <c r="H8" s="2953"/>
      <c r="I8" s="2953"/>
    </row>
    <row r="9" spans="1:9" ht="15">
      <c r="A9" s="2954" t="s">
        <v>1642</v>
      </c>
      <c r="B9" s="2954"/>
      <c r="C9" s="2954"/>
      <c r="D9" s="2955" t="str">
        <f ca="1">结果表!D123</f>
        <v>叁仟玖佰陆拾壹万元整</v>
      </c>
      <c r="E9" s="2955"/>
      <c r="F9" s="2955"/>
      <c r="G9" s="2955"/>
      <c r="H9" s="2955"/>
      <c r="I9" s="2955"/>
    </row>
    <row r="10" spans="1:9" ht="15.75">
      <c r="A10" s="2953" t="str">
        <f>结果表!A124</f>
        <v/>
      </c>
      <c r="B10" s="2953"/>
      <c r="C10" s="2953"/>
      <c r="D10" s="2953" t="str">
        <f>结果表!D124</f>
        <v>——</v>
      </c>
      <c r="E10" s="2953"/>
      <c r="F10" s="2953"/>
      <c r="G10" s="2953"/>
      <c r="H10" s="2953"/>
      <c r="I10" s="2953"/>
    </row>
    <row r="11" spans="1:9" ht="15">
      <c r="A11" s="2954" t="s">
        <v>1642</v>
      </c>
      <c r="B11" s="2954"/>
      <c r="C11" s="2954"/>
      <c r="D11" s="2955" t="e">
        <f>结果表!D125</f>
        <v>#VALUE!</v>
      </c>
      <c r="E11" s="2955"/>
      <c r="F11" s="2955"/>
      <c r="G11" s="2955"/>
      <c r="H11" s="2955"/>
      <c r="I11" s="2955"/>
    </row>
    <row r="12" spans="1:9" ht="15.75">
      <c r="A12" s="2953" t="str">
        <f>结果表!A126</f>
        <v/>
      </c>
      <c r="B12" s="2953"/>
      <c r="C12" s="2953"/>
      <c r="D12" s="2953" t="str">
        <f>结果表!D126</f>
        <v>——</v>
      </c>
      <c r="E12" s="2953"/>
      <c r="F12" s="2953"/>
      <c r="G12" s="2953"/>
      <c r="H12" s="2953"/>
      <c r="I12" s="2953"/>
    </row>
    <row r="13" spans="1:9" ht="15.75" thickBot="1">
      <c r="A13" s="2950" t="s">
        <v>1642</v>
      </c>
      <c r="B13" s="2950"/>
      <c r="C13" s="2950"/>
      <c r="D13" s="2951" t="e">
        <f>结果表!D127</f>
        <v>#VALUE!</v>
      </c>
      <c r="E13" s="2951"/>
      <c r="F13" s="2951"/>
      <c r="G13" s="2951"/>
      <c r="H13" s="2951"/>
      <c r="I13" s="2951"/>
    </row>
    <row r="14" spans="1:9" ht="15" thickTop="1">
      <c r="A14" s="2952" t="s">
        <v>1647</v>
      </c>
      <c r="B14" s="2952"/>
      <c r="C14" s="2952"/>
      <c r="D14" s="2952"/>
      <c r="E14" s="2952"/>
      <c r="F14" s="2952"/>
      <c r="G14" s="2952"/>
      <c r="H14" s="2952"/>
      <c r="I14" s="2952"/>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67" t="s">
        <v>1664</v>
      </c>
      <c r="B1" s="2967"/>
      <c r="C1" s="2967"/>
      <c r="D1" s="2967"/>
    </row>
    <row r="2" spans="1:4" ht="18">
      <c r="A2" s="2968" t="s">
        <v>1648</v>
      </c>
      <c r="B2" s="2968"/>
      <c r="C2" s="2968"/>
      <c r="D2" s="2968"/>
    </row>
    <row r="3" spans="1:4" ht="18.75">
      <c r="A3" s="1979" t="s">
        <v>1649</v>
      </c>
      <c r="B3" s="1979" t="s">
        <v>1650</v>
      </c>
      <c r="C3" s="1979" t="s">
        <v>1651</v>
      </c>
      <c r="D3" s="1979" t="s">
        <v>1652</v>
      </c>
    </row>
    <row r="4" spans="1:4" ht="56.25" customHeight="1">
      <c r="A4" s="1980" t="str">
        <f>项目基本情况!B4</f>
        <v>欧红伟</v>
      </c>
      <c r="B4" s="1981">
        <f ca="1">项目基本情况!C4</f>
        <v>1120000080</v>
      </c>
      <c r="C4" s="1982"/>
      <c r="D4" s="1983" t="s">
        <v>1653</v>
      </c>
    </row>
    <row r="5" spans="1:4" ht="56.25" customHeight="1">
      <c r="A5" s="1980" t="str">
        <f>项目基本情况!D4</f>
        <v>梁津</v>
      </c>
      <c r="B5" s="1981">
        <f ca="1">项目基本情况!E4</f>
        <v>1119970066</v>
      </c>
      <c r="C5" s="1984"/>
      <c r="D5" s="1983" t="s">
        <v>1653</v>
      </c>
    </row>
    <row r="6" spans="1:4" ht="18">
      <c r="A6" s="2968" t="s">
        <v>1654</v>
      </c>
      <c r="B6" s="2968"/>
      <c r="C6" s="2968"/>
      <c r="D6" s="2968"/>
    </row>
    <row r="7" spans="1:4" ht="18.75">
      <c r="A7" s="1979" t="s">
        <v>1649</v>
      </c>
      <c r="B7" s="1981" t="s">
        <v>1655</v>
      </c>
      <c r="C7" s="1979" t="s">
        <v>1651</v>
      </c>
      <c r="D7" s="1979" t="s">
        <v>1652</v>
      </c>
    </row>
    <row r="8" spans="1:4" ht="56.25" customHeight="1">
      <c r="A8" s="1985" t="s">
        <v>869</v>
      </c>
      <c r="B8" s="1985" t="s">
        <v>1</v>
      </c>
      <c r="C8" s="1982"/>
      <c r="D8" s="1983" t="s">
        <v>1653</v>
      </c>
    </row>
    <row r="9" spans="1:4">
      <c r="A9" s="727"/>
      <c r="B9" s="727"/>
      <c r="C9" s="727"/>
      <c r="D9" s="727"/>
    </row>
    <row r="10" spans="1:4" ht="18.75">
      <c r="A10" s="1986" t="s">
        <v>1656</v>
      </c>
      <c r="B10" s="727"/>
      <c r="C10" s="727"/>
      <c r="D10" s="727"/>
    </row>
    <row r="11" spans="1:4" ht="30" customHeight="1">
      <c r="A11" s="2969" t="s">
        <v>1657</v>
      </c>
      <c r="B11" s="2961"/>
      <c r="C11" s="2961"/>
      <c r="D11" s="2961"/>
    </row>
    <row r="12" spans="1:4" ht="15.75">
      <c r="A12" s="29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6"/>
      <c r="C12" s="2966"/>
      <c r="D12" s="2966"/>
    </row>
    <row r="13" spans="1:4" ht="30" customHeight="1">
      <c r="A13" s="29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6"/>
      <c r="C13" s="2966"/>
      <c r="D13" s="2966"/>
    </row>
    <row r="14" spans="1:4" ht="15.75" customHeight="1">
      <c r="A14" s="2961" t="str">
        <f>IF(项目基本情况!B8="抵押","4.本次评估估价师所知悉的法定优先受偿款情况说明如下：","——")</f>
        <v>4.本次评估估价师所知悉的法定优先受偿款情况说明如下：</v>
      </c>
      <c r="B14" s="2966"/>
      <c r="C14" s="2966"/>
      <c r="D14" s="2966"/>
    </row>
    <row r="15" spans="1:4" ht="42" customHeight="1">
      <c r="A15" s="2961" t="str">
        <f>IF(项目基本情况!B8="抵押","（1）"&amp;CONCATENATE(项目基本情况!L20,项目基本情况!L21,项目基本情况!L22),"——")</f>
        <v>（1）根据估价对象《房屋所有权证》原件、《国有土地使用权》——，截至价值时点，估价对象抵押权未见登记。</v>
      </c>
      <c r="B15" s="2961"/>
      <c r="C15" s="2961"/>
      <c r="D15" s="2961"/>
    </row>
    <row r="16" spans="1:4" ht="30" customHeight="1">
      <c r="A16" s="2963" t="s">
        <v>1658</v>
      </c>
      <c r="B16" s="2963"/>
      <c r="C16" s="2963"/>
      <c r="D16" s="2963"/>
    </row>
    <row r="17" spans="1:4" ht="144" customHeight="1">
      <c r="A17" s="2963" t="s">
        <v>1659</v>
      </c>
      <c r="B17" s="2963"/>
      <c r="C17" s="2963"/>
      <c r="D17" s="2963"/>
    </row>
    <row r="18" spans="1:4" ht="15.75" customHeight="1">
      <c r="A18" s="2961" t="str">
        <f>IF(项目基本情况!B8="抵押",结果表!K120,"——")</f>
        <v>故，本次评估不存在估价师知悉的法定优先受偿款</v>
      </c>
      <c r="B18" s="2961"/>
      <c r="C18" s="2961"/>
      <c r="D18" s="2961"/>
    </row>
    <row r="19" spans="1:4" ht="46.5" customHeight="1">
      <c r="A19" s="29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1"/>
      <c r="C19" s="2961"/>
      <c r="D19" s="2961"/>
    </row>
    <row r="20" spans="1:4" ht="57.75" customHeight="1">
      <c r="A20" s="29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1"/>
      <c r="C20" s="2961"/>
      <c r="D20" s="2961"/>
    </row>
    <row r="21" spans="1:4" ht="57.75" customHeight="1">
      <c r="A21" s="29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4"/>
      <c r="C21" s="2964"/>
      <c r="D21" s="2964"/>
    </row>
    <row r="22" spans="1:4" ht="18.75" customHeight="1">
      <c r="A22" s="2965" t="s">
        <v>1660</v>
      </c>
      <c r="B22" s="2965"/>
      <c r="C22" s="2965"/>
      <c r="D22" s="2965"/>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2962">
        <v>42551</v>
      </c>
      <c r="D31" s="29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2975" t="s">
        <v>1671</v>
      </c>
      <c r="B15" s="2970" t="s">
        <v>136</v>
      </c>
      <c r="C15" s="2971"/>
    </row>
    <row r="16" spans="1:7" ht="13.5">
      <c r="A16" s="2976"/>
      <c r="B16" s="2970" t="s">
        <v>69</v>
      </c>
      <c r="C16" s="2971"/>
    </row>
    <row r="17" spans="1:3" ht="13.5">
      <c r="A17" s="2976"/>
      <c r="B17" s="2973" t="s">
        <v>1672</v>
      </c>
      <c r="C17" s="2002" t="s">
        <v>1671</v>
      </c>
    </row>
    <row r="18" spans="1:3" ht="13.5">
      <c r="A18" s="2976"/>
      <c r="B18" s="2973"/>
      <c r="C18" s="2002" t="s">
        <v>1673</v>
      </c>
    </row>
    <row r="19" spans="1:3" ht="13.5">
      <c r="A19" s="2976"/>
      <c r="B19" s="2973"/>
      <c r="C19" s="2002" t="s">
        <v>1674</v>
      </c>
    </row>
    <row r="20" spans="1:3" ht="13.5">
      <c r="A20" s="2977"/>
      <c r="B20" s="2972" t="s">
        <v>1675</v>
      </c>
      <c r="C20" s="2971"/>
    </row>
    <row r="21" spans="1:3" ht="13.5">
      <c r="A21" s="2003" t="s">
        <v>1676</v>
      </c>
      <c r="B21" s="2004"/>
      <c r="C21" s="2005"/>
    </row>
    <row r="22" spans="1:3" ht="13.5">
      <c r="A22" s="2974" t="s">
        <v>1677</v>
      </c>
      <c r="B22" s="2972" t="s">
        <v>1678</v>
      </c>
      <c r="C22" s="2971"/>
    </row>
    <row r="23" spans="1:3" ht="13.5">
      <c r="A23" s="2974"/>
      <c r="B23" s="2972" t="s">
        <v>1679</v>
      </c>
      <c r="C23" s="2971"/>
    </row>
    <row r="24" spans="1:3" ht="13.5">
      <c r="A24" s="2974"/>
      <c r="B24" s="2972" t="s">
        <v>1680</v>
      </c>
      <c r="C24" s="2971"/>
    </row>
    <row r="25" spans="1:3" ht="13.5">
      <c r="A25" s="2974"/>
      <c r="B25" s="2973" t="s">
        <v>1681</v>
      </c>
      <c r="C25" s="2002" t="s">
        <v>1682</v>
      </c>
    </row>
    <row r="26" spans="1:3" ht="13.5">
      <c r="A26" s="2974"/>
      <c r="B26" s="2973"/>
      <c r="C26" s="2002" t="s">
        <v>1683</v>
      </c>
    </row>
    <row r="27" spans="1:3" ht="13.5">
      <c r="A27" s="2974"/>
      <c r="B27" s="2973"/>
      <c r="C27" s="2002" t="s">
        <v>1684</v>
      </c>
    </row>
    <row r="28" spans="1:3" ht="13.5">
      <c r="A28" s="2974"/>
      <c r="B28" s="2973"/>
      <c r="C28" s="2002" t="s">
        <v>1685</v>
      </c>
    </row>
    <row r="29" spans="1:3" ht="13.5">
      <c r="A29" s="2974"/>
      <c r="B29" s="2973"/>
      <c r="C29" s="2002" t="s">
        <v>1686</v>
      </c>
    </row>
    <row r="30" spans="1:3" ht="13.5">
      <c r="A30" s="2974"/>
      <c r="B30" s="2973"/>
      <c r="C30" s="2002" t="s">
        <v>1687</v>
      </c>
    </row>
    <row r="31" spans="1:3" ht="13.5">
      <c r="A31" s="2974"/>
      <c r="B31" s="2973"/>
      <c r="C31" s="2002" t="s">
        <v>1688</v>
      </c>
    </row>
    <row r="32" spans="1:3" ht="13.5">
      <c r="A32" s="2974"/>
      <c r="B32" s="2973"/>
      <c r="C32" s="2002" t="s">
        <v>1689</v>
      </c>
    </row>
    <row r="33" spans="1:3" ht="13.5">
      <c r="A33" s="2974"/>
      <c r="B33" s="2973"/>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43067</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1334</v>
      </c>
      <c r="B24" s="1705" t="s">
        <v>1334</v>
      </c>
      <c r="C24" s="2349" t="s">
        <v>1334</v>
      </c>
      <c r="D24" s="2352" t="s">
        <v>1334</v>
      </c>
      <c r="E24" s="1705" t="s">
        <v>1334</v>
      </c>
      <c r="F24" s="1705" t="s">
        <v>1334</v>
      </c>
    </row>
    <row r="25" spans="1:7" ht="24" customHeight="1">
      <c r="A25" s="2978" t="s">
        <v>846</v>
      </c>
      <c r="B25" s="2978"/>
      <c r="C25" s="2978"/>
      <c r="D25" s="2978"/>
      <c r="E25" s="2978"/>
      <c r="F25" s="2978"/>
      <c r="G25" s="2978"/>
    </row>
    <row r="26" spans="1:7" s="1027" customFormat="1" ht="24" customHeight="1">
      <c r="A26" s="2979" t="s">
        <v>847</v>
      </c>
      <c r="B26" s="2979"/>
      <c r="C26" s="2980"/>
      <c r="D26" s="2981" t="s">
        <v>848</v>
      </c>
      <c r="E26" s="2979"/>
      <c r="F26" s="2979"/>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59">
        <v>44377</v>
      </c>
    </row>
    <row r="29" spans="1:7" s="1029" customFormat="1" ht="24" customHeight="1">
      <c r="A29" s="1030"/>
      <c r="B29" s="1030"/>
      <c r="C29" s="2354"/>
      <c r="D29" s="2356" t="s">
        <v>856</v>
      </c>
      <c r="E29" s="1203" t="s">
        <v>1385</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基准地价（汇总）</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2017-11-28T06:52:47Z</dcterms:modified>
</cp:coreProperties>
</file>