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<sst xmlns="http://schemas.openxmlformats.org/spreadsheetml/2006/main" count="6866" uniqueCount="2408">
  <si>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</si>
  <si>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</si>
  <si>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</si>
  <si>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</si>
  <si>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</si>
  <si>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</si>
  <si>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</si>
  <si>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</si>
  <si>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</si>
  <si>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</si>
  <si>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</si>
  <si>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</si>
  <si>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</si>
  <si>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</si>
  <si>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</si>
  <si>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</si>
  <si>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</si>
  <si>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</si>
  <si>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</si>
  <si>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</si>
  <si>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</si>
  <si>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</si>
  <si>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</si>
  <si>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</si>
  <si>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</si>
  <si>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</si>
  <si>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</si>
  <si>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</si>
  <si>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</si>
  <si>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</si>
  <si>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</si>
  <si>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</si>
  <si>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</si>
  <si>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</si>
  <si>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</si>
  <si>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</si>
  <si>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</si>
  <si>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</si>
  <si>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</si>
  <si>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</si>
  <si>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</si>
  <si>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</si>
  <si>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</si>
  <si>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</si>
  <si>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</si>
  <si>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</si>
  <si>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</si>
  <si>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</si>
  <si>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</si>
  <si>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</si>
  <si>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</si>
  <si>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</si>
  <si>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</si>
  <si>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</si>
  <si>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</si>
  <si>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</si>
  <si>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</si>
  <si>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</si>
  <si>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</si>
  <si>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</si>
  <si>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</si>
  <si>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</si>
  <si>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</si>
  <si>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</si>
  <si>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</si>
  <si>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</si>
  <si>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</si>
  <si>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</si>
  <si>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</si>
  <si>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</si>
  <si>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</si>
  <si>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</si>
  <si>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</si>
  <si>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</si>
  <si>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</si>
  <si>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</si>
  <si>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</si>
  <si>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</si>
  <si>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</si>
  <si>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</si>
  <si>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</si>
  <si>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</si>
  <si>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</si>
  <si>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</si>
  <si>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</si>
  <si>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</si>
  <si>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</si>
  <si>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</si>
  <si>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</si>
  <si>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</si>
  <si>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</si>
  <si>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</si>
  <si>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</si>
  <si>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</si>
  <si>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</si>
  <si>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</si>
  <si>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</si>
  <si>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</si>
  <si>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</si>
  <si>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</si>
  <si>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</si>
  <si>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</si>
  <si>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</si>
  <si>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</si>
  <si>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</si>
  <si>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</si>
  <si>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</si>
  <si>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</si>
  <si>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</si>
  <si>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</si>
  <si>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</si>
  <si>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</si>
  <si>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</si>
  <si>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</si>
  <si>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</si>
  <si>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</si>
  <si>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</si>
  <si>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</si>
  <si>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</si>
  <si>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</si>
  <si>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</si>
  <si>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</si>
  <si>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</si>
  <si>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</si>
  <si>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</si>
  <si>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</si>
  <si>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</si>
  <si>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</si>
  <si>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</si>
  <si>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</si>
  <si>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</si>
  <si>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</si>
  <si>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</si>
  <si>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</si>
  <si>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</si>
  <si>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</si>
  <si>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</si>
  <si>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</si>
  <si>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</si>
  <si>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</si>
  <si>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</si>
  <si>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</si>
  <si>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</si>
  <si>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</si>
  <si>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</si>
  <si>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</si>
  <si>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</si>
  <si>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</si>
  <si>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</si>
  <si>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</si>
  <si>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</si>
  <si>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</si>
  <si>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</si>
  <si>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</si>
  <si>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</si>
  <si>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</si>
  <si>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</si>
  <si>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</si>
  <si>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</si>
  <si>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</si>
  <si>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</si>
  <si>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</si>
  <si>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</si>
  <si>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</si>
  <si>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</si>
  <si>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</si>
  <si>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</si>
  <si>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</si>
  <si>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</si>
  <si>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</si>
  <si>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</si>
  <si>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</si>
  <si>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</si>
  <si>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</si>
  <si>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</si>
  <si>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</si>
  <si>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</si>
  <si>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</si>
  <si>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</si>
  <si>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</si>
  <si>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</si>
  <si>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</si>
  <si>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</si>
  <si>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</si>
  <si>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</si>
  <si>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</si>
  <si>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</si>
  <si>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</si>
  <si>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</si>
  <si>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</si>
  <si>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</si>
  <si>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</si>
  <si>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</si>
  <si>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</si>
  <si>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</si>
  <si>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</si>
  <si>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</si>
  <si>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</si>
  <si>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</si>
  <si>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</si>
  <si>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</si>
  <si>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</si>
  <si>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</si>
  <si>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</si>
  <si>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</si>
  <si>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</si>
  <si>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</si>
  <si>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</si>
  <si>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</si>
  <si>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</si>
  <si>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</si>
  <si>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</si>
  <si>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</si>
  <si>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</si>
  <si>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</si>
  <si>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</si>
  <si>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</si>
  <si>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</si>
  <si>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</si>
  <si>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</si>
  <si>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</si>
  <si>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</si>
  <si>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</si>
  <si>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</si>
  <si>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</si>
  <si>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</si>
  <si>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</si>
  <si>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</si>
  <si>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</si>
  <si>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</si>
  <si>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</si>
  <si>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</si>
  <si>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</si>
  <si>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</si>
  <si>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</si>
  <si>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</si>
  <si>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</si>
  <si>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</si>
  <si>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</si>
  <si>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</si>
  <si>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</si>
  <si>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</si>
  <si>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</si>
  <si>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</si>
  <si>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</si>
  <si>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</si>
  <si>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</si>
  <si>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</si>
  <si>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</si>
  <si>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</si>
  <si>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</si>
  <si>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</si>
  <si>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</si>
  <si>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</si>
  <si>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</si>
  <si>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</si>
  <si>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</si>
  <si>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</si>
  <si>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</si>
  <si>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</si>
  <si>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</si>
  <si>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</si>
  <si>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</si>
  <si>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</si>
  <si>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</si>
  <si>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</si>
  <si>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</si>
  <si>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</si>
  <si>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</si>
  <si>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</si>
  <si>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</si>
  <si>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</si>
  <si>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</si>
  <si>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</si>
  <si>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</si>
  <si>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</si>
  <si>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</si>
  <si>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</si>
  <si>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</si>
  <si>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</si>
  <si>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</si>
  <si>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</si>
  <si>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</si>
  <si>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</si>
  <si>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</si>
  <si>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</si>
  <si>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</si>
  <si>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</si>
  <si>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</si>
  <si>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</si>
  <si>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</si>
  <si>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</si>
  <si>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</si>
  <si>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</si>
  <si>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</si>
  <si>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</si>
  <si>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</si>
  <si>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</si>
  <si>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</si>
  <si>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</si>
  <si>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</si>
  <si>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</si>
  <si>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</si>
  <si>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</si>
  <si>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</si>
  <si>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</si>
  <si>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</si>
  <si>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</si>
  <si>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</si>
  <si>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</si>
  <si>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</si>
  <si>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</si>
  <si>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</si>
  <si>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</si>
  <si>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</si>
  <si>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</si>
  <si>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</si>
  <si>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</si>
  <si>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</si>
  <si>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</si>
  <si>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</si>
  <si>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</si>
  <si>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</si>
  <si>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</si>
  <si>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</si>
  <si>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</si>
  <si>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</si>
  <si>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</si>
  <si>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</si>
  <si>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</si>
  <si>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</si>
  <si>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</si>
  <si>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</si>
  <si>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</si>
  <si>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</si>
  <si>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</si>
  <si>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</si>
  <si>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</si>
  <si>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</si>
  <si>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</si>
  <si>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</si>
  <si>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</si>
  <si>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</si>
  <si>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</si>
  <si>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</si>
  <si>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</si>
  <si>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</si>
  <si>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</si>
  <si>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</si>
  <si>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</si>
  <si>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</si>
  <si>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</si>
  <si>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</si>
  <si>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</si>
  <si>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</si>
  <si>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</si>
  <si>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</si>
  <si>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</si>
  <si>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</si>
  <si>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</si>
  <si>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</si>
  <si>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</si>
  <si>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</si>
  <si>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</si>
  <si>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</si>
  <si>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</si>
  <si>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</si>
  <si>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</si>
  <si>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</si>
  <si>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</si>
  <si>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</si>
  <si>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</si>
  <si>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</si>
  <si>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</si>
  <si>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</si>
  <si>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</si>
  <si>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</si>
  <si>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</si>
  <si>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</si>
  <si>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</si>
  <si>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</si>
  <si>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</si>
  <si>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</si>
  <si>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</si>
  <si>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</si>
  <si>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</si>
  <si>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</si>
  <si>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</si>
  <si>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</si>
  <si>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</si>
  <si>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</si>
  <si>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</si>
  <si>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</si>
  <si>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</si>
  <si>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</si>
  <si>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</si>
  <si>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</si>
  <si>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</si>
  <si>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</si>
  <si>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</si>
  <si>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</si>
  <si>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</si>
  <si>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</si>
  <si>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</si>
  <si>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</si>
  <si>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</si>
  <si>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</si>
  <si>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</si>
  <si>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</si>
  <si>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</si>
  <si>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</si>
  <si>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</si>
  <si>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</si>
  <si>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</si>
  <si>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</si>
  <si>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</si>
  <si>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</si>
  <si>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</si>
  <si>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</si>
  <si>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</si>
  <si>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</si>
  <si>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</si>
  <si>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</si>
  <si>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</si>
  <si>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</si>
  <si>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</si>
  <si>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</si>
  <si>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</si>
  <si>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</si>
  <si>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</si>
  <si>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</si>
  <si>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</si>
  <si>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</si>
  <si>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</si>
  <si>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</si>
  <si>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</si>
  <si>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</si>
  <si>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</si>
  <si>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</si>
  <si>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</si>
  <si>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</si>
  <si>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</si>
  <si>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</si>
  <si>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</si>
  <si>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</si>
  <si>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</si>
  <si>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</si>
  <si>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</si>
  <si>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</si>
  <si>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</si>
  <si>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</si>
  <si>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</si>
  <si>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</si>
  <si>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</si>
  <si>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</si>
  <si>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</si>
  <si>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</si>
  <si>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</si>
  <si>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</si>
  <si>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</si>
  <si>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</si>
  <si>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</si>
  <si>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</si>
  <si>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</si>
  <si>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</si>
  <si>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</si>
  <si>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</si>
  <si>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</si>
  <si>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</si>
  <si>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</si>
  <si>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</si>
  <si>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</si>
  <si>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</si>
  <si>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</si>
  <si>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</si>
  <si>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</si>
  <si>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</si>
  <si>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</si>
  <si>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</si>
  <si>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</si>
  <si>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</si>
  <si>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</si>
  <si>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</si>
  <si>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</si>
  <si>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</si>
  <si>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</si>
  <si>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</si>
  <si>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</si>
  <si>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</si>
  <si>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</si>
  <si>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</si>
  <si>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</si>
  <si>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</si>
  <si>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</si>
  <si>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</si>
  <si>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</si>
  <si>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</si>
  <si>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</si>
  <si>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</si>
  <si>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</si>
  <si>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</si>
  <si>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</si>
  <si>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</si>
  <si>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</si>
  <si>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</si>
  <si>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</si>
  <si>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</si>
  <si>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</si>
  <si>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</si>
  <si>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</si>
  <si>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</si>
  <si>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</si>
  <si>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</si>
  <si>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</si>
  <si>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</si>
  <si>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</si>
  <si>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</si>
  <si>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</si>
  <si>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</si>
  <si>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</si>
  <si>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</si>
  <si>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</si>
  <si>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</si>
  <si>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</si>
  <si>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</si>
  <si>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</si>
  <si>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</si>
  <si>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</si>
  <si>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</si>
  <si>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</si>
  <si>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</si>
  <si>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</si>
  <si>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</si>
  <si>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</si>
  <si>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</si>
  <si>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</si>
  <si>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</si>
  <si>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</si>
  <si>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</si>
  <si>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</si>
  <si>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</si>
  <si>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</si>
  <si>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</si>
  <si>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</si>
  <si>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</si>
  <si>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</si>
  <si>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</si>
  <si>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</si>
  <si>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</si>
  <si>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</si>
  <si>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</si>
  <si>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</si>
  <si>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</si>
  <si>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</si>
  <si>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</si>
  <si>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</si>
  <si>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</si>
  <si>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</si>
  <si>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</si>
  <si>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</si>
  <si>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</si>
  <si>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</si>
  <si>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</si>
  <si>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</si>
  <si>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</si>
  <si>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</si>
  <si>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</si>
  <si>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</si>
  <si>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</si>
  <si>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</si>
  <si>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</si>
  <si>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</si>
  <si>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</si>
  <si>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</si>
  <si>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</si>
  <si>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</si>
  <si>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</si>
  <si>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</si>
  <si>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</si>
  <si>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</si>
  <si>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</si>
  <si>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</si>
  <si>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</si>
  <si>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</si>
  <si>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</si>
  <si>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</si>
  <si>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</si>
  <si>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</si>
  <si>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</si>
  <si>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</si>
  <si>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</si>
  <si>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</si>
  <si>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</si>
  <si>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</si>
  <si>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</si>
  <si>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</si>
  <si>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</si>
  <si>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</si>
  <si>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</si>
  <si>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</si>
  <si>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</si>
  <si>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</si>
  <si>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</si>
  <si>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</si>
  <si>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</si>
  <si>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</si>
  <si>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</si>
  <si>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</si>
  <si>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</si>
  <si>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</si>
  <si>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</si>
  <si>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</si>
  <si>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</si>
  <si>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</si>
  <si>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</si>
  <si>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</si>
  <si>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</si>
  <si>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</si>
  <si>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</si>
  <si>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</si>
  <si>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</si>
  <si>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</si>
  <si>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</si>
  <si>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</si>
  <si>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</si>
  <si>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</si>
  <si>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</si>
  <si>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</si>
  <si>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</si>
  <si>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</si>
  <si>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</si>
  <si>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</si>
  <si>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</si>
  <si>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</si>
  <si>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</si>
  <si>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</si>
  <si>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</si>
  <si>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</si>
  <si>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</si>
  <si>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</si>
  <si>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</si>
  <si>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</si>
  <si>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</si>
  <si>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</si>
  <si>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</si>
  <si>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</si>
  <si>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</si>
  <si>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</si>
  <si>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</si>
  <si>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</si>
  <si>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</si>
  <si>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</si>
  <si>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</si>
  <si>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</si>
  <si>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</si>
  <si>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</si>
  <si>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</si>
  <si>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</si>
  <si>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</si>
  <si>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</si>
  <si>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</si>
  <si>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</si>
  <si>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</si>
  <si>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</si>
  <si>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</si>
  <si>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</si>
  <si>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</si>
  <si>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</si>
  <si>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</si>
  <si>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</si>
  <si>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</si>
  <si>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</si>
  <si>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</si>
  <si>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</si>
  <si>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</si>
  <si>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</si>
  <si>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</si>
  <si>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</si>
  <si>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</si>
  <si>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</si>
  <si>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</si>
  <si>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</si>
  <si>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</si>
  <si>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</si>
  <si>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</si>
  <si>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</si>
  <si>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</si>
  <si>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</si>
  <si>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</si>
  <si>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</si>
  <si>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</si>
  <si>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</si>
  <si>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</si>
  <si>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</si>
  <si>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</si>
  <si>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</si>
  <si>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</si>
  <si>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</si>
  <si>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</si>
  <si>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</si>
  <si>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</si>
  <si>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</si>
  <si>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</si>
  <si>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</si>
  <si>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</si>
  <si>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</si>
  <si>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</si>
  <si>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</si>
  <si>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</si>
  <si>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</si>
  <si>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</si>
  <si>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</si>
  <si>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</si>
  <si>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</si>
  <si>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</si>
  <si>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</si>
  <si>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</si>
  <si>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</si>
  <si>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</si>
  <si>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</si>
  <si>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</si>
  <si>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</si>
  <si>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</si>
  <si>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</si>
  <si>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</si>
  <si>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</si>
  <si>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</si>
  <si>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</si>
  <si>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</si>
  <si>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</si>
  <si>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</si>
  <si>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</si>
  <si>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</si>
  <si>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</si>
  <si>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</si>
  <si>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</si>
  <si>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</si>
  <si>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</si>
  <si>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</si>
  <si>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</si>
  <si>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</si>
  <si>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</si>
  <si>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</si>
  <si>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</si>
  <si>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</si>
  <si>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</si>
  <si>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</si>
  <si>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</si>
  <si>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</si>
  <si>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</si>
  <si>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</si>
  <si>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</si>
  <si>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</si>
  <si>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</si>
  <si>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</si>
  <si>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</si>
  <si>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</si>
  <si>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</si>
  <si>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</si>
  <si>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</si>
  <si>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</si>
  <si>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</si>
  <si>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</si>
  <si>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</si>
  <si>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</si>
  <si>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</si>
  <si>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</si>
  <si>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</si>
  <si>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</si>
  <si>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</si>
  <si>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</si>
  <si>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</si>
  <si>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</si>
  <si>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</si>
  <si>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</si>
  <si>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</si>
  <si>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</si>
  <si>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</si>
  <si>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</si>
  <si>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</si>
  <si>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</si>
  <si>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</si>
  <si>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</si>
  <si>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</si>
  <si>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</si>
  <si>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</si>
  <si>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</si>
  <si>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</si>
  <si>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</si>
  <si>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</si>
  <si>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</si>
  <si>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</si>
  <si>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</si>
  <si>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</si>
  <si>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</si>
  <si>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</si>
  <si>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</si>
  <si>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</si>
  <si>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</si>
  <si>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</si>
  <si>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</si>
  <si>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</si>
  <si>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</si>
  <si>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</si>
  <si>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</si>
  <si>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</si>
  <si>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</si>
  <si>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</si>
  <si>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</si>
  <si>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</si>
  <si>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</si>
  <si>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</si>
  <si>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</si>
  <si>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</si>
  <si>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</si>
  <si>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</si>
  <si>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</si>
  <si>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</si>
  <si>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</si>
  <si>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</si>
  <si>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</si>
  <si>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</si>
  <si>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</si>
  <si>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</si>
  <si>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</si>
  <si>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</si>
  <si>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</si>
  <si>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</si>
  <si>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</si>
  <si>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</si>
  <si>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</si>
  <si>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</si>
  <si>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</si>
  <si>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</si>
  <si>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</si>
  <si>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</si>
  <si>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</si>
  <si>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</si>
  <si>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</si>
  <si>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</si>
  <si>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</si>
  <si>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</si>
  <si>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</si>
  <si>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</si>
  <si>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</si>
  <si>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</si>
  <si>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</si>
  <si>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</si>
  <si>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</si>
  <si>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</si>
  <si>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</si>
  <si>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</si>
  <si>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</si>
  <si>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</si>
  <si>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</si>
  <si>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</si>
  <si>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</si>
  <si>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</si>
  <si>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</si>
  <si>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</si>
  <si>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</si>
  <si>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</si>
  <si>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</si>
  <si>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</si>
  <si>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</si>
  <si>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</si>
  <si>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</si>
  <si>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</si>
  <si>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</si>
  <si>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</si>
  <si>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</si>
  <si>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</si>
  <si>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</si>
  <si>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</si>
  <si>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</si>
  <si>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</si>
  <si>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</si>
  <si>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</si>
  <si>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</si>
  <si>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rPr>
        <sz val="11"/>
        <color theme="9" tint="-0.249977111117893"/>
        <rFont val="宋体"/>
        <charset val="134"/>
      </rP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</si>
  <si>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</si>
  <si>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</si>
  <si>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</si>
  <si>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</si>
  <si>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</si>
  <si>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</si>
  <si>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</si>
  <si>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</si>
  <si>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</si>
  <si>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</si>
  <si>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</si>
  <si>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</si>
  <si>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</si>
  <si>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</si>
  <si>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</si>
  <si>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</si>
  <si>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</si>
  <si>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</si>
  <si>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</si>
  <si>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</si>
  <si>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</si>
  <si>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</si>
  <si>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</si>
  <si>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北</t>
  </si>
  <si>
    <t>南</t>
  </si>
  <si>
    <r>
      <rPr>
        <sz val="11"/>
        <color indexed="8"/>
        <rFont val="宋体"/>
        <charset val="134"/>
      </rPr>
      <t>道路级别</t>
    </r>
  </si>
  <si>
    <t>楼层</t>
  </si>
  <si>
    <t>15/17</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</si>
  <si>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</si>
  <si>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</si>
  <si>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</si>
  <si>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</si>
  <si>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</si>
  <si>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</si>
  <si>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</si>
  <si>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</si>
  <si>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</si>
  <si>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</si>
  <si>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</si>
  <si>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</si>
  <si>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</si>
  <si>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</si>
  <si>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</si>
  <si>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</si>
  <si>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</si>
  <si>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</si>
  <si>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</si>
  <si>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</si>
  <si>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</si>
  <si>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</si>
  <si>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</si>
  <si>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</si>
  <si>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</si>
  <si>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</si>
  <si>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</si>
  <si>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</si>
  <si>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</si>
  <si>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</si>
  <si>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</si>
  <si>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</si>
  <si>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</si>
  <si>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</si>
  <si>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</si>
  <si>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</si>
  <si>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</si>
  <si>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</si>
  <si>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</si>
  <si>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</si>
  <si>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</si>
  <si>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</si>
  <si>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</si>
  <si>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</si>
  <si>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</si>
  <si>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</si>
  <si>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t>
  </si>
  <si>
    <t>西</t>
  </si>
  <si>
    <t>西北</t>
  </si>
  <si>
    <t>100</t>
  </si>
  <si>
    <t>96</t>
  </si>
  <si>
    <t>98</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</si>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</sst>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176" formatCode="0.0000_ "/>
    <numFmt numFmtId="41" formatCode="_ * #,##0_ ;_ * \-#,##0_ ;_ * &quot;-&quot;_ ;_ @_ "/>
    <numFmt numFmtId="43" formatCode="_ * #,##0.00_ ;_ * \-#,##0.00_ ;_ * &quot;-&quot;??_ ;_ @_ "/>
    <numFmt numFmtId="177" formatCode="yyyy/m/d;@"/>
    <numFmt numFmtId="178" formatCode="0_ "/>
    <numFmt numFmtId="179" formatCode="0.00_ "/>
    <numFmt numFmtId="180" formatCode="0.0000%"/>
    <numFmt numFmtId="181" formatCode="0_);[Red]\(0\)"/>
    <numFmt numFmtId="182" formatCode="0.0%"/>
    <numFmt numFmtId="183" formatCode="0.0_ "/>
    <numFmt numFmtId="184" formatCode="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8"/>
      <name val="宋体"/>
      <charset val="134"/>
    </font>
    <font>
      <sz val="14"/>
      <name val="楷体_GB2312"/>
      <charset val="134"/>
    </font>
    <font>
      <sz val="11"/>
      <name val="楷体_GB2312"/>
      <charset val="134"/>
    </font>
    <font>
      <b/>
      <sz val="10"/>
      <name val="宋体"/>
      <charset val="134"/>
    </font>
    <font>
      <sz val="16"/>
      <name val="宋体"/>
      <charset val="134"/>
    </font>
    <font>
      <sz val="9"/>
      <name val="宋体"/>
      <charset val="134"/>
    </font>
    <font>
      <sz val="11"/>
      <name val="宋体"/>
      <charset val="134"/>
    </font>
    <font>
      <sz val="11"/>
      <name val="宋体"/>
      <charset val="0"/>
      <scheme val="minor"/>
    </font>
    <font>
      <b/>
      <sz val="9"/>
      <name val="宋体"/>
      <charset val="134"/>
    </font>
    <font>
      <sz val="10"/>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2" borderId="0" applyNumberFormat="0" applyBorder="0" applyAlignment="0" applyProtection="0">
      <alignment vertical="center"/>
    </xf>
    <xf numFmtId="0" fontId="153" fillId="23"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4" fillId="27" borderId="0" applyNumberFormat="0" applyBorder="0" applyAlignment="0" applyProtection="0">
      <alignment vertical="center"/>
    </xf>
    <xf numFmtId="43" fontId="0" fillId="0" borderId="0" applyFont="0" applyFill="0" applyBorder="0" applyAlignment="0" applyProtection="0">
      <alignment vertical="center"/>
    </xf>
    <xf numFmtId="0" fontId="147" fillId="30"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39" borderId="180" applyNumberFormat="0" applyFont="0" applyAlignment="0" applyProtection="0">
      <alignment vertical="center"/>
    </xf>
    <xf numFmtId="0" fontId="147" fillId="35" borderId="0" applyNumberFormat="0" applyBorder="0" applyAlignment="0" applyProtection="0">
      <alignment vertical="center"/>
    </xf>
    <xf numFmtId="0" fontId="149"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1" fillId="0" borderId="176" applyNumberFormat="0" applyFill="0" applyAlignment="0" applyProtection="0">
      <alignment vertical="center"/>
    </xf>
    <xf numFmtId="0" fontId="0" fillId="0" borderId="0"/>
    <xf numFmtId="0" fontId="151" fillId="0" borderId="176" applyNumberFormat="0" applyFill="0" applyAlignment="0" applyProtection="0">
      <alignment vertical="center"/>
    </xf>
    <xf numFmtId="0" fontId="147" fillId="21" borderId="0" applyNumberFormat="0" applyBorder="0" applyAlignment="0" applyProtection="0">
      <alignment vertical="center"/>
    </xf>
    <xf numFmtId="0" fontId="149" fillId="0" borderId="181" applyNumberFormat="0" applyFill="0" applyAlignment="0" applyProtection="0">
      <alignment vertical="center"/>
    </xf>
    <xf numFmtId="0" fontId="147" fillId="40" borderId="0" applyNumberFormat="0" applyBorder="0" applyAlignment="0" applyProtection="0">
      <alignment vertical="center"/>
    </xf>
    <xf numFmtId="0" fontId="158" fillId="38" borderId="179" applyNumberFormat="0" applyAlignment="0" applyProtection="0">
      <alignment vertical="center"/>
    </xf>
    <xf numFmtId="0" fontId="160" fillId="38" borderId="177" applyNumberFormat="0" applyAlignment="0" applyProtection="0">
      <alignment vertical="center"/>
    </xf>
    <xf numFmtId="0" fontId="157" fillId="37" borderId="178" applyNumberFormat="0" applyAlignment="0" applyProtection="0">
      <alignment vertical="center"/>
    </xf>
    <xf numFmtId="0" fontId="150" fillId="42" borderId="0" applyNumberFormat="0" applyBorder="0" applyAlignment="0" applyProtection="0">
      <alignment vertical="center"/>
    </xf>
    <xf numFmtId="0" fontId="147" fillId="29" borderId="0" applyNumberFormat="0" applyBorder="0" applyAlignment="0" applyProtection="0">
      <alignment vertical="center"/>
    </xf>
    <xf numFmtId="0" fontId="163" fillId="0" borderId="182" applyNumberFormat="0" applyFill="0" applyAlignment="0" applyProtection="0">
      <alignment vertical="center"/>
    </xf>
    <xf numFmtId="0" fontId="165" fillId="0" borderId="183" applyNumberFormat="0" applyFill="0" applyAlignment="0" applyProtection="0">
      <alignment vertical="center"/>
    </xf>
    <xf numFmtId="0" fontId="162" fillId="41" borderId="0" applyNumberFormat="0" applyBorder="0" applyAlignment="0" applyProtection="0">
      <alignment vertical="center"/>
    </xf>
    <xf numFmtId="0" fontId="0" fillId="0" borderId="0">
      <alignment vertical="center"/>
    </xf>
    <xf numFmtId="0" fontId="164" fillId="44" borderId="0" applyNumberFormat="0" applyBorder="0" applyAlignment="0" applyProtection="0">
      <alignment vertical="center"/>
    </xf>
    <xf numFmtId="0" fontId="117" fillId="0" borderId="0">
      <alignment vertical="center"/>
    </xf>
    <xf numFmtId="0" fontId="150" fillId="33" borderId="0" applyNumberFormat="0" applyBorder="0" applyAlignment="0" applyProtection="0">
      <alignment vertical="center"/>
    </xf>
    <xf numFmtId="0" fontId="147" fillId="36" borderId="0" applyNumberFormat="0" applyBorder="0" applyAlignment="0" applyProtection="0">
      <alignment vertical="center"/>
    </xf>
    <xf numFmtId="0" fontId="150" fillId="43" borderId="0" applyNumberFormat="0" applyBorder="0" applyAlignment="0" applyProtection="0">
      <alignment vertical="center"/>
    </xf>
    <xf numFmtId="0" fontId="150" fillId="32" borderId="0" applyNumberFormat="0" applyBorder="0" applyAlignment="0" applyProtection="0">
      <alignment vertical="center"/>
    </xf>
    <xf numFmtId="0" fontId="150" fillId="34" borderId="0" applyNumberFormat="0" applyBorder="0" applyAlignment="0" applyProtection="0">
      <alignment vertical="center"/>
    </xf>
    <xf numFmtId="0" fontId="150" fillId="46" borderId="0" applyNumberFormat="0" applyBorder="0" applyAlignment="0" applyProtection="0">
      <alignment vertical="center"/>
    </xf>
    <xf numFmtId="0" fontId="147" fillId="26" borderId="0" applyNumberFormat="0" applyBorder="0" applyAlignment="0" applyProtection="0">
      <alignment vertical="center"/>
    </xf>
    <xf numFmtId="0" fontId="0" fillId="0" borderId="0">
      <alignment vertical="center"/>
    </xf>
    <xf numFmtId="0" fontId="147" fillId="47" borderId="0" applyNumberFormat="0" applyBorder="0" applyAlignment="0" applyProtection="0">
      <alignment vertical="center"/>
    </xf>
    <xf numFmtId="0" fontId="150" fillId="48" borderId="0" applyNumberFormat="0" applyBorder="0" applyAlignment="0" applyProtection="0">
      <alignment vertical="center"/>
    </xf>
    <xf numFmtId="0" fontId="150" fillId="45" borderId="0" applyNumberFormat="0" applyBorder="0" applyAlignment="0" applyProtection="0">
      <alignment vertical="center"/>
    </xf>
    <xf numFmtId="0" fontId="147" fillId="28"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47" fillId="25" borderId="0" applyNumberFormat="0" applyBorder="0" applyAlignment="0" applyProtection="0">
      <alignment vertical="center"/>
    </xf>
    <xf numFmtId="0" fontId="147" fillId="31" borderId="0" applyNumberFormat="0" applyBorder="0" applyAlignment="0" applyProtection="0">
      <alignment vertical="center"/>
    </xf>
    <xf numFmtId="0" fontId="150" fillId="24" borderId="0" applyNumberFormat="0" applyBorder="0" applyAlignment="0" applyProtection="0">
      <alignment vertical="center"/>
    </xf>
    <xf numFmtId="0" fontId="147" fillId="49"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9"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1"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78" fontId="91" fillId="2" borderId="7" xfId="57" applyNumberFormat="1" applyFont="1" applyFill="1" applyBorder="1" applyAlignment="1" applyProtection="1">
      <alignment horizontal="center" vertical="center"/>
    </xf>
    <xf numFmtId="179"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0"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3"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6" fontId="90" fillId="0" borderId="0" xfId="0" applyNumberFormat="1" applyFont="1" applyAlignment="1">
      <alignment horizontal="left" vertical="center"/>
    </xf>
    <xf numFmtId="186"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621556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5" customWidth="1"/>
    <col min="2" max="2" width="94.875"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陈颖（注册号:1120060040）、（注册号:0)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估价对象为北京市房地产，为所有。根据《》[]，估价对象建筑面积为92.26平方米。根据《》[]，估价对象（分摊）出让国有建设用地使用权面积为平方米。估价对象用途为。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2009年7月14日</v>
      </c>
    </row>
    <row r="10" spans="1:2">
      <c r="A10" s="3432" t="s">
        <v>10</v>
      </c>
      <c r="B10" s="3436" t="str">
        <f>'预评函-1'!A13</f>
        <v>本次估价的“房地产价值”是指在正常市场情况下，在价值时点2009年7月14日，估价对象规划用途为，假定未设立法定优先受偿款下的房地产市场价值。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本次评估采用的主估价方法为比较法和成本法。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92.26</v>
      </c>
    </row>
    <row r="19" spans="1:2">
      <c r="A19" s="3432" t="s">
        <v>19</v>
      </c>
      <c r="B19" s="3436">
        <f ca="1">'预评函-2（1）'!D7</f>
        <v>1205377</v>
      </c>
    </row>
    <row r="20" spans="1:2">
      <c r="A20" s="3432" t="s">
        <v>20</v>
      </c>
      <c r="B20" s="3436" t="str">
        <f>'预评函-2（1）'!C7</f>
        <v>总价（元）</v>
      </c>
    </row>
    <row r="21" spans="1:2">
      <c r="A21" s="3432" t="s">
        <v>21</v>
      </c>
      <c r="B21" s="3436">
        <f ca="1">'预评函-2（1）'!D9</f>
        <v>13065</v>
      </c>
    </row>
    <row r="22" spans="1:2">
      <c r="A22" s="3432" t="s">
        <v>22</v>
      </c>
      <c r="B22" s="3436" t="str">
        <f ca="1">'预评函-2（1）'!D8</f>
        <v>壹佰贰拾万伍仟叁佰柒拾柒元整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1205377</v>
      </c>
    </row>
    <row r="30" spans="1:2">
      <c r="A30" s="3432" t="s">
        <v>30</v>
      </c>
      <c r="B30" s="3436" t="str">
        <f ca="1">'预评函-2（1）'!D16</f>
        <v>壹佰贰拾万伍仟叁佰柒拾柒元整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t="e">
        <f ca="1">'预评函-2（2）'!D4</f>
        <v>#DIV/0!</v>
      </c>
    </row>
    <row r="38" spans="1:2">
      <c r="A38" s="3432" t="s">
        <v>38</v>
      </c>
      <c r="B38" s="3436" t="e">
        <f ca="1">'预评函-2（2）'!E4</f>
        <v>#DIV/0!</v>
      </c>
    </row>
    <row r="39" spans="1:2">
      <c r="A39" s="3432" t="s">
        <v>39</v>
      </c>
      <c r="B39" s="3436" t="e">
        <f ca="1">'预评函-2（2）'!D5</f>
        <v>#DIV/0!</v>
      </c>
    </row>
    <row r="40" spans="1:2">
      <c r="A40" s="3432" t="s">
        <v>40</v>
      </c>
      <c r="B40" s="3436" t="e">
        <f ca="1">'预评函-2（2）'!F4</f>
        <v>#DIV/0!</v>
      </c>
    </row>
    <row r="41" spans="1:2">
      <c r="A41" s="3432" t="s">
        <v>41</v>
      </c>
      <c r="B41" s="3436" t="e">
        <f ca="1">'预评函-2（2）'!G4</f>
        <v>#DIV/0!</v>
      </c>
    </row>
    <row r="42" s="3423" customFormat="1" ht="15.75" spans="1:2">
      <c r="A42" s="3434" t="s">
        <v>42</v>
      </c>
      <c r="B42" s="3438" t="e">
        <f ca="1">'预评函-2（2）'!F5</f>
        <v>#DIV/0!</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t="str">
        <f>'预评函-3'!A4</f>
        <v>陈颖</v>
      </c>
    </row>
    <row r="53" spans="1:2">
      <c r="A53" s="3432" t="s">
        <v>53</v>
      </c>
      <c r="B53" s="3436">
        <f ca="1">'预评函-3'!B4</f>
        <v>1120060040</v>
      </c>
    </row>
    <row r="54" spans="1:2">
      <c r="A54" s="3432" t="s">
        <v>54</v>
      </c>
      <c r="B54" s="3442">
        <f>'预评函-3'!A5</f>
        <v>0</v>
      </c>
    </row>
    <row r="55" s="3423" customFormat="1" ht="15.75" spans="1:2">
      <c r="A55" s="3434" t="s">
        <v>55</v>
      </c>
      <c r="B55" s="3438">
        <f ca="1">'预评函-3'!B5</f>
        <v>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f ca="1">'预评函-2（1）'!D38</f>
        <v>13065</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096" customWidth="1"/>
    <col min="2" max="2" width="15" style="3096" customWidth="1"/>
    <col min="3" max="3" width="14.125" style="3096" customWidth="1"/>
    <col min="4" max="4" width="12.5" style="3096" customWidth="1"/>
    <col min="5" max="5" width="13.875" style="3096" customWidth="1"/>
    <col min="6" max="6" width="15" style="3096" customWidth="1"/>
    <col min="7" max="7" width="14.875" style="3096" customWidth="1"/>
    <col min="8" max="8" width="4.25" style="3097" customWidth="1"/>
    <col min="9" max="10" width="10" style="3097" customWidth="1"/>
    <col min="11" max="13" width="10" style="3098" customWidth="1"/>
    <col min="14" max="15" width="10" style="3097" customWidth="1"/>
    <col min="16" max="17" width="10" style="3097"/>
    <col min="18" max="18" width="10" style="3097" customWidth="1"/>
    <col min="19" max="66" width="10" style="3097"/>
    <col min="67" max="16384" width="10" style="3096"/>
  </cols>
  <sheetData>
    <row r="1" ht="13.5" spans="1:17">
      <c r="A1" s="3099" t="s">
        <v>330</v>
      </c>
      <c r="B1" s="3100" t="str">
        <f>IF(B6="北京市","北京市",C6)&amp;IF(E12="房屋所有权证",B29,E29)&amp;D5&amp;"预评估"</f>
        <v>北京市预评估</v>
      </c>
      <c r="C1" s="3101"/>
      <c r="D1" s="3101"/>
      <c r="E1" s="3101"/>
      <c r="F1" s="3102" t="s">
        <v>331</v>
      </c>
      <c r="G1" s="3103"/>
      <c r="I1" s="3235" t="str">
        <f>IF(B6="北京市","北京市",C6)&amp;IF(E12="房屋所有权证",B29,E29)&amp;"房地产"</f>
        <v>北京市房地产</v>
      </c>
      <c r="J1" s="3236"/>
      <c r="K1" s="3237"/>
      <c r="L1" s="3237"/>
      <c r="M1" s="3237"/>
      <c r="N1" s="3236"/>
      <c r="O1" s="3236"/>
      <c r="P1" s="3236"/>
      <c r="Q1" s="3236"/>
    </row>
    <row r="2" ht="13.5" spans="1:8">
      <c r="A2" s="3104" t="s">
        <v>332</v>
      </c>
      <c r="B2" s="3105"/>
      <c r="C2" s="3106" t="s">
        <v>333</v>
      </c>
      <c r="D2" s="3105">
        <v>40008</v>
      </c>
      <c r="E2" s="3107"/>
      <c r="F2" s="3107"/>
      <c r="G2" s="3108"/>
      <c r="H2" s="3109"/>
    </row>
    <row r="3" ht="13.5" spans="1:8">
      <c r="A3" s="3110" t="s">
        <v>334</v>
      </c>
      <c r="B3" s="3111" t="s">
        <v>176</v>
      </c>
      <c r="C3" s="3112">
        <f ca="1">SUMIF(注册房地产估价师,B3,估价师及机构信息!B3:B16)</f>
        <v>1120060040</v>
      </c>
      <c r="D3" s="3111"/>
      <c r="E3" s="3113">
        <f ca="1">SUMIF(注册房地产估价师,D3,估价师及机构信息!B3:B16)</f>
        <v>0</v>
      </c>
      <c r="F3" s="3114"/>
      <c r="G3" s="3115"/>
      <c r="H3" s="3109"/>
    </row>
    <row r="4" ht="13.5" customHeight="1" spans="1:7">
      <c r="A4" s="3104" t="s">
        <v>335</v>
      </c>
      <c r="B4" s="3116" t="s">
        <v>336</v>
      </c>
      <c r="C4" s="3117" t="s">
        <v>337</v>
      </c>
      <c r="D4" s="3118"/>
      <c r="E4" s="3107"/>
      <c r="F4" s="3107"/>
      <c r="G4" s="3108"/>
    </row>
    <row r="5" spans="1:17">
      <c r="A5" s="3119" t="s">
        <v>338</v>
      </c>
      <c r="B5" s="3120" t="s">
        <v>120</v>
      </c>
      <c r="C5" s="3121" t="s">
        <v>339</v>
      </c>
      <c r="D5" s="3122"/>
      <c r="E5" s="3123" t="s">
        <v>340</v>
      </c>
      <c r="F5" s="3122"/>
      <c r="G5" s="3124"/>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5" t="s">
        <v>341</v>
      </c>
      <c r="B6" s="3126" t="s">
        <v>342</v>
      </c>
      <c r="C6" s="3127" t="s">
        <v>120</v>
      </c>
      <c r="D6" s="3128" t="s">
        <v>343</v>
      </c>
      <c r="E6" s="3129"/>
      <c r="F6" s="3129"/>
      <c r="G6" s="3130"/>
      <c r="I6" s="3236" t="str">
        <f>IF(COUNTIF(B5,"*上海银行*"),"上海银行","")</f>
        <v/>
      </c>
      <c r="J6" s="3236"/>
      <c r="K6" s="3237"/>
      <c r="L6" s="3237"/>
      <c r="M6" s="3237"/>
      <c r="N6" s="3236"/>
      <c r="O6" s="3236"/>
      <c r="P6" s="3236"/>
      <c r="Q6" s="3236"/>
    </row>
    <row r="7" ht="13.5" spans="1:7">
      <c r="A7" s="3131" t="s">
        <v>344</v>
      </c>
      <c r="B7" s="3132" t="s">
        <v>345</v>
      </c>
      <c r="C7" s="1951" t="str">
        <f>IF(B7="自然人","姓名","名称")</f>
        <v>姓名</v>
      </c>
      <c r="D7" s="3133"/>
      <c r="E7" s="3114"/>
      <c r="F7" s="3114"/>
      <c r="G7" s="3115"/>
    </row>
    <row r="8" ht="13.5" spans="1:7">
      <c r="A8" s="3134" t="s">
        <v>346</v>
      </c>
      <c r="B8" s="3135" t="s">
        <v>347</v>
      </c>
      <c r="C8" s="3136"/>
      <c r="D8" s="3137"/>
      <c r="E8" s="3138" t="s">
        <v>348</v>
      </c>
      <c r="F8" s="3139" t="s">
        <v>349</v>
      </c>
      <c r="G8" s="3140" t="str">
        <f>C6</f>
        <v>XX</v>
      </c>
    </row>
    <row r="9" spans="1:7">
      <c r="A9" s="3134"/>
      <c r="B9" s="1972" t="s">
        <v>350</v>
      </c>
      <c r="C9" s="3120"/>
      <c r="D9" s="3141"/>
      <c r="E9" s="3142" t="s">
        <v>351</v>
      </c>
      <c r="F9" s="3143"/>
      <c r="G9" s="3144"/>
    </row>
    <row r="10" ht="13.5" spans="1:7">
      <c r="A10" s="3134"/>
      <c r="B10" s="1972" t="s">
        <v>352</v>
      </c>
      <c r="C10" s="3145"/>
      <c r="D10" s="3146"/>
      <c r="E10" s="3147" t="s">
        <v>353</v>
      </c>
      <c r="F10" s="3148"/>
      <c r="G10" s="3149"/>
    </row>
    <row r="11" ht="13.5" spans="1:7">
      <c r="A11" s="3134"/>
      <c r="B11" s="1928" t="s">
        <v>354</v>
      </c>
      <c r="C11" s="3150"/>
      <c r="D11" s="3151"/>
      <c r="E11" s="3129"/>
      <c r="F11" s="3129"/>
      <c r="G11" s="3130"/>
    </row>
    <row r="12" ht="13.5" spans="1:7">
      <c r="A12" s="3152" t="s">
        <v>355</v>
      </c>
      <c r="B12" s="3153" t="s">
        <v>356</v>
      </c>
      <c r="C12" s="3154">
        <v>92.26</v>
      </c>
      <c r="D12" s="3155" t="s">
        <v>357</v>
      </c>
      <c r="E12" s="3156"/>
      <c r="F12" s="3157"/>
      <c r="G12" s="3130"/>
    </row>
    <row r="13" ht="21" customHeight="1" spans="1:17">
      <c r="A13" s="3158"/>
      <c r="B13" s="3159" t="s">
        <v>358</v>
      </c>
      <c r="C13" s="3160"/>
      <c r="D13" s="3161" t="s">
        <v>357</v>
      </c>
      <c r="E13" s="3162"/>
      <c r="F13" s="3129"/>
      <c r="G13" s="3130"/>
      <c r="I13" s="3129" t="s">
        <v>359</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360</v>
      </c>
      <c r="C14" s="3164"/>
      <c r="D14" s="3129"/>
      <c r="E14" s="3129"/>
      <c r="F14" s="3129"/>
      <c r="G14" s="3130"/>
      <c r="I14" s="3129"/>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361</v>
      </c>
      <c r="C15" s="3167"/>
      <c r="D15" s="3114"/>
      <c r="E15" s="3114"/>
      <c r="F15" s="3114"/>
      <c r="G15" s="3115"/>
      <c r="I15" s="3129"/>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362</v>
      </c>
      <c r="B16" s="3168" t="s">
        <v>363</v>
      </c>
      <c r="C16" s="3169"/>
      <c r="D16" s="3158" t="s">
        <v>364</v>
      </c>
      <c r="E16" s="3170"/>
      <c r="F16" s="3171" t="str">
        <f>IF(AND(C16="是",E16="否"),"是否提供他项权证或相关说明","")</f>
        <v/>
      </c>
      <c r="G16" s="3170"/>
      <c r="J16" s="3109"/>
    </row>
    <row r="17" ht="13.5" customHeight="1" spans="1:10">
      <c r="A17" s="3172" t="s">
        <v>365</v>
      </c>
      <c r="B17" s="3173" t="s">
        <v>366</v>
      </c>
      <c r="C17" s="3174"/>
      <c r="D17" s="3175" t="s">
        <v>367</v>
      </c>
      <c r="E17" s="3176"/>
      <c r="F17" s="3177" t="s">
        <v>368</v>
      </c>
      <c r="G17" s="3178"/>
      <c r="J17" s="3109"/>
    </row>
    <row r="18" ht="24" spans="1:10">
      <c r="A18" s="3172"/>
      <c r="B18" s="3179"/>
      <c r="C18" s="3124"/>
      <c r="D18" s="3180" t="s">
        <v>369</v>
      </c>
      <c r="E18" s="3181"/>
      <c r="F18" s="3182"/>
      <c r="G18" s="3183"/>
      <c r="H18" s="3109"/>
      <c r="J18" s="3109"/>
    </row>
    <row r="19" ht="21.75" customHeight="1" spans="1:7">
      <c r="A19" s="3172"/>
      <c r="B19" s="3184"/>
      <c r="C19" s="3162"/>
      <c r="D19" s="3172"/>
      <c r="E19" s="3129"/>
      <c r="F19" s="3129"/>
      <c r="G19" s="3183"/>
    </row>
    <row r="20" spans="1:7">
      <c r="A20" s="3178" t="s">
        <v>370</v>
      </c>
      <c r="B20" s="3185" t="s">
        <v>371</v>
      </c>
      <c r="C20" s="3186"/>
      <c r="D20" s="3187" t="s">
        <v>371</v>
      </c>
      <c r="E20" s="3186"/>
      <c r="F20" s="3129"/>
      <c r="G20" s="3183"/>
    </row>
    <row r="21" spans="1:7">
      <c r="A21" s="3183"/>
      <c r="B21" s="3188" t="s">
        <v>372</v>
      </c>
      <c r="C21" s="3146"/>
      <c r="D21" s="3172" t="s">
        <v>372</v>
      </c>
      <c r="E21" s="3189"/>
      <c r="F21" s="3129"/>
      <c r="G21" s="3183"/>
    </row>
    <row r="22" spans="1:7">
      <c r="A22" s="3183"/>
      <c r="B22" s="3129" t="s">
        <v>373</v>
      </c>
      <c r="C22" s="3190"/>
      <c r="D22" s="3129" t="s">
        <v>373</v>
      </c>
      <c r="E22" s="3189"/>
      <c r="F22" s="3129"/>
      <c r="G22" s="3183"/>
    </row>
    <row r="23" s="3092" customFormat="1" ht="16.5" spans="1:66">
      <c r="A23" s="3191"/>
      <c r="B23" s="3192" t="s">
        <v>374</v>
      </c>
      <c r="C23" s="3160"/>
      <c r="D23" s="3192" t="s">
        <v>374</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3" customFormat="1" ht="18" customHeight="1" spans="1:66">
      <c r="A24" s="3195" t="s">
        <v>375</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376</v>
      </c>
      <c r="B25" s="3129"/>
      <c r="C25" s="3129"/>
      <c r="D25" s="3129"/>
      <c r="E25" s="3129"/>
      <c r="F25" s="3129"/>
      <c r="G25" s="3191"/>
      <c r="K25" s="3097"/>
    </row>
    <row r="26" s="3094" customFormat="1" ht="13.5" spans="1:66">
      <c r="A26" s="3198"/>
      <c r="B26" s="3199" t="s">
        <v>377</v>
      </c>
      <c r="C26" s="3198"/>
      <c r="D26" s="3199"/>
      <c r="E26" s="3200" t="s">
        <v>378</v>
      </c>
      <c r="F26" s="3198"/>
      <c r="G26" s="3201" t="s">
        <v>379</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4"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380</v>
      </c>
      <c r="B28" s="3206"/>
      <c r="C28" s="3207" t="s">
        <v>380</v>
      </c>
      <c r="D28" s="3208"/>
      <c r="E28" s="3206"/>
      <c r="F28" s="3205" t="s">
        <v>380</v>
      </c>
      <c r="G28" s="3206"/>
      <c r="K28" s="3097"/>
    </row>
    <row r="29" spans="1:11">
      <c r="A29" s="3209" t="s">
        <v>381</v>
      </c>
      <c r="B29" s="3210"/>
      <c r="C29" s="3211" t="s">
        <v>382</v>
      </c>
      <c r="D29" s="3212"/>
      <c r="E29" s="3210"/>
      <c r="F29" s="3209" t="s">
        <v>382</v>
      </c>
      <c r="G29" s="3210"/>
      <c r="K29" s="3097"/>
    </row>
    <row r="30" spans="1:11">
      <c r="A30" s="3209" t="s">
        <v>383</v>
      </c>
      <c r="B30" s="3210"/>
      <c r="C30" s="3211" t="s">
        <v>383</v>
      </c>
      <c r="D30" s="3212"/>
      <c r="E30" s="3210"/>
      <c r="F30" s="3209" t="s">
        <v>384</v>
      </c>
      <c r="G30" s="3210"/>
      <c r="K30" s="3097"/>
    </row>
    <row r="31" spans="1:7">
      <c r="A31" s="3209" t="s">
        <v>385</v>
      </c>
      <c r="B31" s="3210"/>
      <c r="C31" s="3213" t="s">
        <v>386</v>
      </c>
      <c r="D31" s="3129"/>
      <c r="E31" s="3214" t="str">
        <f>E32&amp;" "&amp;E33&amp;" "&amp;E34&amp;" "&amp;E35</f>
        <v>   </v>
      </c>
      <c r="F31" s="3209" t="s">
        <v>387</v>
      </c>
      <c r="G31" s="3210"/>
    </row>
    <row r="32" spans="1:7">
      <c r="A32" s="3209" t="s">
        <v>388</v>
      </c>
      <c r="B32" s="3210"/>
      <c r="C32" s="3215"/>
      <c r="D32" s="1972" t="s">
        <v>389</v>
      </c>
      <c r="E32" s="3210"/>
      <c r="F32" s="3209" t="s">
        <v>390</v>
      </c>
      <c r="G32" s="3210"/>
    </row>
    <row r="33" ht="24.75" spans="1:7">
      <c r="A33" s="3216" t="s">
        <v>391</v>
      </c>
      <c r="B33" s="3217"/>
      <c r="C33" s="3215"/>
      <c r="D33" s="1972" t="s">
        <v>392</v>
      </c>
      <c r="E33" s="3210"/>
      <c r="F33" s="3209" t="s">
        <v>393</v>
      </c>
      <c r="G33" s="3210"/>
    </row>
    <row r="34" spans="1:7">
      <c r="A34" s="3205" t="s">
        <v>394</v>
      </c>
      <c r="B34" s="3206"/>
      <c r="C34" s="3215"/>
      <c r="D34" s="1972" t="s">
        <v>395</v>
      </c>
      <c r="E34" s="3210"/>
      <c r="F34" s="3209" t="s">
        <v>396</v>
      </c>
      <c r="G34" s="3210"/>
    </row>
    <row r="35" ht="13.5" spans="1:7">
      <c r="A35" s="3209" t="s">
        <v>397</v>
      </c>
      <c r="B35" s="3210"/>
      <c r="C35" s="3218"/>
      <c r="D35" s="1972" t="s">
        <v>398</v>
      </c>
      <c r="E35" s="3210"/>
      <c r="F35" s="3216" t="s">
        <v>399</v>
      </c>
      <c r="G35" s="3219"/>
    </row>
    <row r="36" spans="1:7">
      <c r="A36" s="3209" t="s">
        <v>356</v>
      </c>
      <c r="B36" s="3210"/>
      <c r="C36" s="3211" t="s">
        <v>400</v>
      </c>
      <c r="D36" s="3212"/>
      <c r="E36" s="3210"/>
      <c r="F36" s="3208" t="s">
        <v>401</v>
      </c>
      <c r="G36" s="3206"/>
    </row>
    <row r="37" ht="13.5" spans="1:7">
      <c r="A37" s="3209" t="s">
        <v>402</v>
      </c>
      <c r="B37" s="3210"/>
      <c r="C37" s="3220" t="s">
        <v>403</v>
      </c>
      <c r="D37" s="3221"/>
      <c r="E37" s="3217"/>
      <c r="F37" s="3212" t="s">
        <v>404</v>
      </c>
      <c r="G37" s="3210"/>
    </row>
    <row r="38" ht="13.5" spans="1:7">
      <c r="A38" s="3209" t="s">
        <v>405</v>
      </c>
      <c r="B38" s="3210"/>
      <c r="C38" s="3205" t="s">
        <v>406</v>
      </c>
      <c r="D38" s="3155" t="s">
        <v>390</v>
      </c>
      <c r="E38" s="3206"/>
      <c r="F38" s="3216" t="s">
        <v>407</v>
      </c>
      <c r="G38" s="3217"/>
    </row>
    <row r="39" spans="1:7">
      <c r="A39" s="3209" t="s">
        <v>408</v>
      </c>
      <c r="B39" s="3210"/>
      <c r="C39" s="3209"/>
      <c r="D39" s="1972" t="s">
        <v>397</v>
      </c>
      <c r="E39" s="3210"/>
      <c r="F39" s="3205" t="s">
        <v>409</v>
      </c>
      <c r="G39" s="3206"/>
    </row>
    <row r="40" spans="1:7">
      <c r="A40" s="3209" t="s">
        <v>410</v>
      </c>
      <c r="B40" s="3210"/>
      <c r="C40" s="3209" t="s">
        <v>411</v>
      </c>
      <c r="D40" s="1972" t="s">
        <v>356</v>
      </c>
      <c r="E40" s="3210"/>
      <c r="F40" s="3209" t="s">
        <v>412</v>
      </c>
      <c r="G40" s="3210"/>
    </row>
    <row r="41" ht="24.75" customHeight="1" spans="1:7">
      <c r="A41" s="3216" t="s">
        <v>413</v>
      </c>
      <c r="B41" s="3217"/>
      <c r="C41" s="3216"/>
      <c r="D41" s="3161" t="s">
        <v>358</v>
      </c>
      <c r="E41" s="3217"/>
      <c r="F41" s="3216" t="s">
        <v>414</v>
      </c>
      <c r="G41" s="3217"/>
    </row>
    <row r="42" spans="1:7">
      <c r="A42" s="3222" t="s">
        <v>415</v>
      </c>
      <c r="B42" s="3223"/>
      <c r="C42" s="3224" t="s">
        <v>415</v>
      </c>
      <c r="D42" s="3225"/>
      <c r="E42" s="3223"/>
      <c r="F42" s="3205" t="s">
        <v>416</v>
      </c>
      <c r="G42" s="3223"/>
    </row>
    <row r="43" spans="1:7">
      <c r="A43" s="3134" t="s">
        <v>417</v>
      </c>
      <c r="B43" s="3226"/>
      <c r="C43" s="3172"/>
      <c r="D43" s="3188"/>
      <c r="E43" s="3226"/>
      <c r="F43" s="3134"/>
      <c r="G43" s="3226"/>
    </row>
    <row r="44" spans="1:7">
      <c r="A44" s="3134" t="s">
        <v>371</v>
      </c>
      <c r="B44" s="3227"/>
      <c r="C44" s="3172"/>
      <c r="D44" s="1939" t="s">
        <v>371</v>
      </c>
      <c r="E44" s="3227"/>
      <c r="F44" s="3134" t="s">
        <v>371</v>
      </c>
      <c r="G44" s="3227"/>
    </row>
    <row r="45" spans="1:7">
      <c r="A45" s="3134" t="s">
        <v>372</v>
      </c>
      <c r="B45" s="3227"/>
      <c r="C45" s="3172"/>
      <c r="D45" s="3188" t="s">
        <v>372</v>
      </c>
      <c r="E45" s="3227"/>
      <c r="F45" s="3134" t="s">
        <v>372</v>
      </c>
      <c r="G45" s="3227"/>
    </row>
    <row r="46" spans="1:7">
      <c r="A46" s="3134" t="s">
        <v>373</v>
      </c>
      <c r="B46" s="3227"/>
      <c r="C46" s="3172"/>
      <c r="D46" s="3188" t="s">
        <v>373</v>
      </c>
      <c r="E46" s="3227"/>
      <c r="F46" s="3134" t="s">
        <v>373</v>
      </c>
      <c r="G46" s="3227"/>
    </row>
    <row r="47" spans="1:7">
      <c r="A47" s="3134" t="s">
        <v>374</v>
      </c>
      <c r="B47" s="3227"/>
      <c r="C47" s="3172"/>
      <c r="D47" s="3188" t="s">
        <v>374</v>
      </c>
      <c r="E47" s="3227"/>
      <c r="F47" s="3134" t="s">
        <v>374</v>
      </c>
      <c r="G47" s="3227"/>
    </row>
    <row r="48" spans="1:7">
      <c r="A48" s="3134"/>
      <c r="B48" s="3227"/>
      <c r="C48" s="3172"/>
      <c r="D48" s="3188"/>
      <c r="E48" s="3227"/>
      <c r="F48" s="3134"/>
      <c r="G48" s="3227"/>
    </row>
    <row r="49" ht="13.5" spans="1:7">
      <c r="A49" s="3216" t="s">
        <v>418</v>
      </c>
      <c r="B49" s="3217"/>
      <c r="C49" s="3228" t="s">
        <v>418</v>
      </c>
      <c r="D49" s="1939"/>
      <c r="E49" s="3229"/>
      <c r="F49" s="3216" t="s">
        <v>419</v>
      </c>
      <c r="G49" s="3217"/>
    </row>
    <row r="50" spans="1:7">
      <c r="A50" s="3209" t="s">
        <v>420</v>
      </c>
      <c r="B50" s="3230"/>
      <c r="C50" s="3205" t="s">
        <v>421</v>
      </c>
      <c r="D50" s="3155"/>
      <c r="E50" s="3231"/>
      <c r="F50" s="3232"/>
      <c r="G50" s="3233"/>
    </row>
    <row r="51" ht="13.5" spans="1:7">
      <c r="A51" s="3209" t="s">
        <v>422</v>
      </c>
      <c r="B51" s="3230"/>
      <c r="C51" s="3216" t="s">
        <v>423</v>
      </c>
      <c r="D51" s="3161"/>
      <c r="E51" s="3217"/>
      <c r="F51" s="3129"/>
      <c r="G51" s="3130"/>
    </row>
    <row r="52" spans="1:7">
      <c r="A52" s="3209" t="s">
        <v>401</v>
      </c>
      <c r="B52" s="3210"/>
      <c r="C52" s="3129"/>
      <c r="D52" s="3129"/>
      <c r="E52" s="3129"/>
      <c r="F52" s="3129"/>
      <c r="G52" s="3130"/>
    </row>
    <row r="53" ht="24.75" spans="1:7">
      <c r="A53" s="3216" t="s">
        <v>424</v>
      </c>
      <c r="B53" s="3219"/>
      <c r="C53" s="3192"/>
      <c r="D53" s="3192"/>
      <c r="E53" s="3192"/>
      <c r="F53" s="3192"/>
      <c r="G53" s="3234"/>
    </row>
    <row r="57" s="3095" customFormat="1" spans="8:66">
      <c r="H57" s="3109"/>
      <c r="I57" s="3109"/>
      <c r="J57" s="3109"/>
      <c r="K57" s="3242"/>
      <c r="L57" s="3242"/>
      <c r="M57" s="3242"/>
      <c r="N57" s="3109"/>
      <c r="O57" s="3109"/>
      <c r="P57" s="3109"/>
      <c r="Q57" s="3109"/>
      <c r="R57" s="3109"/>
      <c r="S57" s="3109"/>
      <c r="T57" s="3109"/>
      <c r="U57" s="3109"/>
      <c r="V57" s="3109"/>
      <c r="W57" s="3109"/>
      <c r="X57" s="3109"/>
      <c r="Y57" s="3109"/>
      <c r="Z57" s="3109"/>
      <c r="AA57" s="3109"/>
      <c r="AB57" s="3109"/>
      <c r="AC57" s="3109"/>
      <c r="AD57" s="3109"/>
      <c r="AE57" s="3109"/>
      <c r="AF57" s="3109"/>
      <c r="AG57" s="3109"/>
      <c r="AH57" s="3109"/>
      <c r="AI57" s="3109"/>
      <c r="AJ57" s="3109"/>
      <c r="AK57" s="3109"/>
      <c r="AL57" s="3109"/>
      <c r="AM57" s="3109"/>
      <c r="AN57" s="3109"/>
      <c r="AO57" s="3109"/>
      <c r="AP57" s="3109"/>
      <c r="AQ57" s="3109"/>
      <c r="AR57" s="3109"/>
      <c r="AS57" s="3109"/>
      <c r="AT57" s="3109"/>
      <c r="AU57" s="3109"/>
      <c r="AV57" s="3109"/>
      <c r="AW57" s="3109"/>
      <c r="AX57" s="3109"/>
      <c r="AY57" s="3109"/>
      <c r="AZ57" s="3109"/>
      <c r="BA57" s="3109"/>
      <c r="BB57" s="3109"/>
      <c r="BC57" s="3109"/>
      <c r="BD57" s="3109"/>
      <c r="BE57" s="3109"/>
      <c r="BF57" s="3109"/>
      <c r="BG57" s="3109"/>
      <c r="BH57" s="3109"/>
      <c r="BI57" s="3109"/>
      <c r="BJ57" s="3109"/>
      <c r="BK57" s="3109"/>
      <c r="BL57" s="3109"/>
      <c r="BM57" s="3109"/>
      <c r="BN57" s="3109"/>
    </row>
    <row r="58" s="3095" customFormat="1" spans="8:66">
      <c r="H58" s="3109"/>
      <c r="I58" s="3109"/>
      <c r="J58" s="3109"/>
      <c r="K58" s="3242"/>
      <c r="L58" s="3242"/>
      <c r="M58" s="3242"/>
      <c r="N58" s="3109"/>
      <c r="O58" s="3109"/>
      <c r="P58" s="3109"/>
      <c r="Q58" s="3109"/>
      <c r="R58" s="3109"/>
      <c r="S58" s="3109"/>
      <c r="T58" s="3109"/>
      <c r="U58" s="3109"/>
      <c r="V58" s="3109"/>
      <c r="W58" s="3109"/>
      <c r="X58" s="3109"/>
      <c r="Y58" s="3109"/>
      <c r="Z58" s="3109"/>
      <c r="AA58" s="3109"/>
      <c r="AB58" s="3109"/>
      <c r="AC58" s="3109"/>
      <c r="AD58" s="3109"/>
      <c r="AE58" s="3109"/>
      <c r="AF58" s="3109"/>
      <c r="AG58" s="3109"/>
      <c r="AH58" s="3109"/>
      <c r="AI58" s="3109"/>
      <c r="AJ58" s="3109"/>
      <c r="AK58" s="3109"/>
      <c r="AL58" s="3109"/>
      <c r="AM58" s="3109"/>
      <c r="AN58" s="3109"/>
      <c r="AO58" s="3109"/>
      <c r="AP58" s="3109"/>
      <c r="AQ58" s="3109"/>
      <c r="AR58" s="3109"/>
      <c r="AS58" s="3109"/>
      <c r="AT58" s="3109"/>
      <c r="AU58" s="3109"/>
      <c r="AV58" s="3109"/>
      <c r="AW58" s="3109"/>
      <c r="AX58" s="3109"/>
      <c r="AY58" s="3109"/>
      <c r="AZ58" s="3109"/>
      <c r="BA58" s="3109"/>
      <c r="BB58" s="3109"/>
      <c r="BC58" s="3109"/>
      <c r="BD58" s="3109"/>
      <c r="BE58" s="3109"/>
      <c r="BF58" s="3109"/>
      <c r="BG58" s="3109"/>
      <c r="BH58" s="3109"/>
      <c r="BI58" s="3109"/>
      <c r="BJ58" s="3109"/>
      <c r="BK58" s="3109"/>
      <c r="BL58" s="3109"/>
      <c r="BM58" s="3109"/>
      <c r="BN58" s="3109"/>
    </row>
    <row r="59" s="3095" customFormat="1" spans="8:66">
      <c r="H59" s="3109"/>
      <c r="I59" s="3109"/>
      <c r="J59" s="3109"/>
      <c r="K59" s="3242"/>
      <c r="L59" s="3242"/>
      <c r="M59" s="3242"/>
      <c r="N59" s="3109"/>
      <c r="O59" s="3109"/>
      <c r="P59" s="3109"/>
      <c r="Q59" s="3109"/>
      <c r="R59" s="3109"/>
      <c r="S59" s="3109"/>
      <c r="T59" s="3109"/>
      <c r="U59" s="3109"/>
      <c r="V59" s="3109"/>
      <c r="W59" s="3109"/>
      <c r="X59" s="3109"/>
      <c r="Y59" s="3109"/>
      <c r="Z59" s="3109"/>
      <c r="AA59" s="3109"/>
      <c r="AB59" s="3109"/>
      <c r="AC59" s="3109"/>
      <c r="AD59" s="3109"/>
      <c r="AE59" s="3109"/>
      <c r="AF59" s="3109"/>
      <c r="AG59" s="3109"/>
      <c r="AH59" s="3109"/>
      <c r="AI59" s="3109"/>
      <c r="AJ59" s="3109"/>
      <c r="AK59" s="3109"/>
      <c r="AL59" s="3109"/>
      <c r="AM59" s="3109"/>
      <c r="AN59" s="3109"/>
      <c r="AO59" s="3109"/>
      <c r="AP59" s="3109"/>
      <c r="AQ59" s="3109"/>
      <c r="AR59" s="3109"/>
      <c r="AS59" s="3109"/>
      <c r="AT59" s="3109"/>
      <c r="AU59" s="3109"/>
      <c r="AV59" s="3109"/>
      <c r="AW59" s="3109"/>
      <c r="AX59" s="3109"/>
      <c r="AY59" s="3109"/>
      <c r="AZ59" s="3109"/>
      <c r="BA59" s="3109"/>
      <c r="BB59" s="3109"/>
      <c r="BC59" s="3109"/>
      <c r="BD59" s="3109"/>
      <c r="BE59" s="3109"/>
      <c r="BF59" s="3109"/>
      <c r="BG59" s="3109"/>
      <c r="BH59" s="3109"/>
      <c r="BI59" s="3109"/>
      <c r="BJ59" s="3109"/>
      <c r="BK59" s="3109"/>
      <c r="BL59" s="3109"/>
      <c r="BM59" s="3109"/>
      <c r="BN59" s="3109"/>
    </row>
    <row r="60" s="3095" customFormat="1" spans="8:66">
      <c r="H60" s="3109"/>
      <c r="I60" s="3109"/>
      <c r="J60" s="3109"/>
      <c r="K60" s="3242"/>
      <c r="L60" s="3242"/>
      <c r="M60" s="3242"/>
      <c r="N60" s="3109"/>
      <c r="O60" s="3109"/>
      <c r="P60" s="3109"/>
      <c r="Q60" s="3109"/>
      <c r="R60" s="3109"/>
      <c r="S60" s="3109"/>
      <c r="T60" s="3109"/>
      <c r="U60" s="3109"/>
      <c r="V60" s="3109"/>
      <c r="W60" s="3109"/>
      <c r="X60" s="3109"/>
      <c r="Y60" s="3109"/>
      <c r="Z60" s="3109"/>
      <c r="AA60" s="3109"/>
      <c r="AB60" s="3109"/>
      <c r="AC60" s="3109"/>
      <c r="AD60" s="3109"/>
      <c r="AE60" s="3109"/>
      <c r="AF60" s="3109"/>
      <c r="AG60" s="3109"/>
      <c r="AH60" s="3109"/>
      <c r="AI60" s="3109"/>
      <c r="AJ60" s="3109"/>
      <c r="AK60" s="3109"/>
      <c r="AL60" s="3109"/>
      <c r="AM60" s="3109"/>
      <c r="AN60" s="3109"/>
      <c r="AO60" s="3109"/>
      <c r="AP60" s="3109"/>
      <c r="AQ60" s="3109"/>
      <c r="AR60" s="3109"/>
      <c r="AS60" s="3109"/>
      <c r="AT60" s="3109"/>
      <c r="AU60" s="3109"/>
      <c r="AV60" s="3109"/>
      <c r="AW60" s="3109"/>
      <c r="AX60" s="3109"/>
      <c r="AY60" s="3109"/>
      <c r="AZ60" s="3109"/>
      <c r="BA60" s="3109"/>
      <c r="BB60" s="3109"/>
      <c r="BC60" s="3109"/>
      <c r="BD60" s="3109"/>
      <c r="BE60" s="3109"/>
      <c r="BF60" s="3109"/>
      <c r="BG60" s="3109"/>
      <c r="BH60" s="3109"/>
      <c r="BI60" s="3109"/>
      <c r="BJ60" s="3109"/>
      <c r="BK60" s="3109"/>
      <c r="BL60" s="3109"/>
      <c r="BM60" s="3109"/>
      <c r="BN60" s="3109"/>
    </row>
    <row r="61" s="3095" customFormat="1" spans="8:66">
      <c r="H61" s="3109"/>
      <c r="I61" s="3109"/>
      <c r="J61" s="3109"/>
      <c r="K61" s="3242"/>
      <c r="L61" s="3242"/>
      <c r="M61" s="3242"/>
      <c r="N61" s="3109"/>
      <c r="O61" s="3109"/>
      <c r="P61" s="3109"/>
      <c r="Q61" s="3109"/>
      <c r="R61" s="3109"/>
      <c r="S61" s="3109"/>
      <c r="T61" s="3109"/>
      <c r="U61" s="3109"/>
      <c r="V61" s="3109"/>
      <c r="W61" s="3109"/>
      <c r="X61" s="3109"/>
      <c r="Y61" s="3109"/>
      <c r="Z61" s="3109"/>
      <c r="AA61" s="3109"/>
      <c r="AB61" s="3109"/>
      <c r="AC61" s="3109"/>
      <c r="AD61" s="3109"/>
      <c r="AE61" s="3109"/>
      <c r="AF61" s="3109"/>
      <c r="AG61" s="3109"/>
      <c r="AH61" s="3109"/>
      <c r="AI61" s="3109"/>
      <c r="AJ61" s="3109"/>
      <c r="AK61" s="3109"/>
      <c r="AL61" s="3109"/>
      <c r="AM61" s="3109"/>
      <c r="AN61" s="3109"/>
      <c r="AO61" s="3109"/>
      <c r="AP61" s="3109"/>
      <c r="AQ61" s="3109"/>
      <c r="AR61" s="3109"/>
      <c r="AS61" s="3109"/>
      <c r="AT61" s="3109"/>
      <c r="AU61" s="3109"/>
      <c r="AV61" s="3109"/>
      <c r="AW61" s="3109"/>
      <c r="AX61" s="3109"/>
      <c r="AY61" s="3109"/>
      <c r="AZ61" s="3109"/>
      <c r="BA61" s="3109"/>
      <c r="BB61" s="3109"/>
      <c r="BC61" s="3109"/>
      <c r="BD61" s="3109"/>
      <c r="BE61" s="3109"/>
      <c r="BF61" s="3109"/>
      <c r="BG61" s="3109"/>
      <c r="BH61" s="3109"/>
      <c r="BI61" s="3109"/>
      <c r="BJ61" s="3109"/>
      <c r="BK61" s="3109"/>
      <c r="BL61" s="3109"/>
      <c r="BM61" s="3109"/>
      <c r="BN61" s="3109"/>
    </row>
    <row r="62" s="3095" customFormat="1" spans="8:66">
      <c r="H62" s="3109"/>
      <c r="I62" s="3109"/>
      <c r="J62" s="3109"/>
      <c r="K62" s="3242"/>
      <c r="L62" s="3242"/>
      <c r="M62" s="3242"/>
      <c r="N62" s="3109"/>
      <c r="O62" s="3109"/>
      <c r="P62" s="3109"/>
      <c r="Q62" s="3109"/>
      <c r="R62" s="3109"/>
      <c r="S62" s="3109"/>
      <c r="T62" s="3109"/>
      <c r="U62" s="3109"/>
      <c r="V62" s="3109"/>
      <c r="W62" s="3109"/>
      <c r="X62" s="3109"/>
      <c r="Y62" s="3109"/>
      <c r="Z62" s="3109"/>
      <c r="AA62" s="3109"/>
      <c r="AB62" s="3109"/>
      <c r="AC62" s="3109"/>
      <c r="AD62" s="3109"/>
      <c r="AE62" s="3109"/>
      <c r="AF62" s="3109"/>
      <c r="AG62" s="3109"/>
      <c r="AH62" s="3109"/>
      <c r="AI62" s="3109"/>
      <c r="AJ62" s="3109"/>
      <c r="AK62" s="3109"/>
      <c r="AL62" s="3109"/>
      <c r="AM62" s="3109"/>
      <c r="AN62" s="3109"/>
      <c r="AO62" s="3109"/>
      <c r="AP62" s="3109"/>
      <c r="AQ62" s="3109"/>
      <c r="AR62" s="3109"/>
      <c r="AS62" s="3109"/>
      <c r="AT62" s="3109"/>
      <c r="AU62" s="3109"/>
      <c r="AV62" s="3109"/>
      <c r="AW62" s="3109"/>
      <c r="AX62" s="3109"/>
      <c r="AY62" s="3109"/>
      <c r="AZ62" s="3109"/>
      <c r="BA62" s="3109"/>
      <c r="BB62" s="3109"/>
      <c r="BC62" s="3109"/>
      <c r="BD62" s="3109"/>
      <c r="BE62" s="3109"/>
      <c r="BF62" s="3109"/>
      <c r="BG62" s="3109"/>
      <c r="BH62" s="3109"/>
      <c r="BI62" s="3109"/>
      <c r="BJ62" s="3109"/>
      <c r="BK62" s="3109"/>
      <c r="BL62" s="3109"/>
      <c r="BM62" s="3109"/>
      <c r="BN62" s="3109"/>
    </row>
    <row r="63" s="3095" customFormat="1" spans="8:66">
      <c r="H63" s="3109"/>
      <c r="I63" s="3109"/>
      <c r="J63" s="3109"/>
      <c r="K63" s="3242"/>
      <c r="L63" s="3242"/>
      <c r="M63" s="3242"/>
      <c r="N63" s="3109"/>
      <c r="O63" s="3109"/>
      <c r="P63" s="3109"/>
      <c r="Q63" s="3109"/>
      <c r="R63" s="3109"/>
      <c r="S63" s="3109"/>
      <c r="T63" s="3109"/>
      <c r="U63" s="3109"/>
      <c r="V63" s="3109"/>
      <c r="W63" s="3109"/>
      <c r="X63" s="3109"/>
      <c r="Y63" s="3109"/>
      <c r="Z63" s="3109"/>
      <c r="AA63" s="3109"/>
      <c r="AB63" s="3109"/>
      <c r="AC63" s="3109"/>
      <c r="AD63" s="3109"/>
      <c r="AE63" s="3109"/>
      <c r="AF63" s="3109"/>
      <c r="AG63" s="3109"/>
      <c r="AH63" s="3109"/>
      <c r="AI63" s="3109"/>
      <c r="AJ63" s="3109"/>
      <c r="AK63" s="3109"/>
      <c r="AL63" s="3109"/>
      <c r="AM63" s="3109"/>
      <c r="AN63" s="3109"/>
      <c r="AO63" s="3109"/>
      <c r="AP63" s="3109"/>
      <c r="AQ63" s="3109"/>
      <c r="AR63" s="3109"/>
      <c r="AS63" s="3109"/>
      <c r="AT63" s="3109"/>
      <c r="AU63" s="3109"/>
      <c r="AV63" s="3109"/>
      <c r="AW63" s="3109"/>
      <c r="AX63" s="3109"/>
      <c r="AY63" s="3109"/>
      <c r="AZ63" s="3109"/>
      <c r="BA63" s="3109"/>
      <c r="BB63" s="3109"/>
      <c r="BC63" s="3109"/>
      <c r="BD63" s="3109"/>
      <c r="BE63" s="3109"/>
      <c r="BF63" s="3109"/>
      <c r="BG63" s="3109"/>
      <c r="BH63" s="3109"/>
      <c r="BI63" s="3109"/>
      <c r="BJ63" s="3109"/>
      <c r="BK63" s="3109"/>
      <c r="BL63" s="3109"/>
      <c r="BM63" s="3109"/>
      <c r="BN63" s="310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8" customWidth="1"/>
    <col min="2" max="2" width="10.625" style="3088" customWidth="1"/>
    <col min="3" max="3" width="15.75" style="3088" customWidth="1"/>
    <col min="4" max="7" width="9.5" style="3088" customWidth="1"/>
    <col min="8" max="13" width="9.125" style="3088" customWidth="1"/>
    <col min="14" max="16384" width="9" style="3088"/>
  </cols>
  <sheetData>
    <row r="1" ht="14.25" spans="1:13">
      <c r="A1" s="3089" t="s">
        <v>425</v>
      </c>
      <c r="B1" s="3089" t="s">
        <v>426</v>
      </c>
      <c r="C1" s="3089" t="s">
        <v>427</v>
      </c>
      <c r="D1" s="3090" t="s">
        <v>428</v>
      </c>
      <c r="E1" s="3090" t="s">
        <v>429</v>
      </c>
      <c r="F1" s="3090"/>
      <c r="G1" s="3090"/>
      <c r="H1" s="3090"/>
      <c r="I1" s="3090"/>
      <c r="J1" s="3090"/>
      <c r="K1" s="3090"/>
      <c r="L1" s="3090"/>
      <c r="M1" s="3090"/>
    </row>
    <row r="2" ht="27" customHeight="1" spans="1:13">
      <c r="A2" s="3089"/>
      <c r="B2" s="3089"/>
      <c r="C2" s="3089"/>
      <c r="D2" s="3090"/>
      <c r="E2" s="3090" t="s">
        <v>430</v>
      </c>
      <c r="F2" s="3090" t="s">
        <v>431</v>
      </c>
      <c r="G2" s="3090"/>
      <c r="H2" s="3090"/>
      <c r="I2" s="3090"/>
      <c r="J2" s="3090" t="s">
        <v>432</v>
      </c>
      <c r="K2" s="3090"/>
      <c r="L2" s="3090"/>
      <c r="M2" s="3090"/>
    </row>
    <row r="3" ht="28.5" spans="1:13">
      <c r="A3" s="3089"/>
      <c r="B3" s="3089"/>
      <c r="C3" s="3089"/>
      <c r="D3" s="3090"/>
      <c r="E3" s="3090"/>
      <c r="F3" s="3091" t="s">
        <v>433</v>
      </c>
      <c r="G3" s="3091" t="s">
        <v>434</v>
      </c>
      <c r="H3" s="3091" t="s">
        <v>435</v>
      </c>
      <c r="I3" s="3091" t="s">
        <v>436</v>
      </c>
      <c r="J3" s="3091" t="s">
        <v>433</v>
      </c>
      <c r="K3" s="3091" t="s">
        <v>437</v>
      </c>
      <c r="L3" s="3091" t="s">
        <v>438</v>
      </c>
      <c r="M3" s="3091" t="s">
        <v>439</v>
      </c>
    </row>
    <row r="4" ht="42.75" spans="1:13">
      <c r="A4" s="3091" t="s">
        <v>440</v>
      </c>
      <c r="B4" s="3091" t="s">
        <v>441</v>
      </c>
      <c r="C4" s="3091" t="s">
        <v>442</v>
      </c>
      <c r="D4" s="3090">
        <v>3807.94</v>
      </c>
      <c r="E4" s="3090">
        <v>20666.91</v>
      </c>
      <c r="F4" s="3090">
        <v>19673</v>
      </c>
      <c r="G4" s="3090">
        <v>0</v>
      </c>
      <c r="H4" s="3090">
        <v>19673</v>
      </c>
      <c r="I4" s="3090">
        <v>0</v>
      </c>
      <c r="J4" s="3090">
        <v>993.91</v>
      </c>
      <c r="K4" s="3090">
        <v>0</v>
      </c>
      <c r="L4" s="3090">
        <v>0</v>
      </c>
      <c r="M4" s="3090">
        <v>993.91</v>
      </c>
    </row>
    <row r="5" ht="42.75" spans="1:13">
      <c r="A5" s="3091" t="s">
        <v>440</v>
      </c>
      <c r="B5" s="3091" t="s">
        <v>443</v>
      </c>
      <c r="C5" s="3091" t="s">
        <v>444</v>
      </c>
      <c r="D5" s="3090">
        <v>3667.86</v>
      </c>
      <c r="E5" s="3090">
        <v>19906.61</v>
      </c>
      <c r="F5" s="3090">
        <v>18792.87</v>
      </c>
      <c r="G5" s="3090">
        <v>18792.87</v>
      </c>
      <c r="H5" s="3090">
        <v>0</v>
      </c>
      <c r="I5" s="3090">
        <v>0</v>
      </c>
      <c r="J5" s="3090">
        <v>1113.74</v>
      </c>
      <c r="K5" s="3090">
        <v>55.59</v>
      </c>
      <c r="L5" s="3090">
        <v>0</v>
      </c>
      <c r="M5" s="3090">
        <v>1058.15</v>
      </c>
    </row>
    <row r="6" ht="42.75" spans="1:13">
      <c r="A6" s="3091" t="s">
        <v>440</v>
      </c>
      <c r="B6" s="3091" t="s">
        <v>443</v>
      </c>
      <c r="C6" s="3091" t="s">
        <v>445</v>
      </c>
      <c r="D6" s="3090">
        <v>2067.52</v>
      </c>
      <c r="E6" s="3090">
        <v>11221.06</v>
      </c>
      <c r="F6" s="3090">
        <v>9934.13</v>
      </c>
      <c r="G6" s="3090">
        <v>9934.13</v>
      </c>
      <c r="H6" s="3090">
        <v>0</v>
      </c>
      <c r="I6" s="3090">
        <v>0</v>
      </c>
      <c r="J6" s="3090">
        <v>1286.93</v>
      </c>
      <c r="K6" s="3090">
        <v>0</v>
      </c>
      <c r="L6" s="3090">
        <v>0</v>
      </c>
      <c r="M6" s="3090">
        <v>1286.93</v>
      </c>
    </row>
    <row r="7" ht="42.75" spans="1:13">
      <c r="A7" s="3091" t="s">
        <v>440</v>
      </c>
      <c r="B7" s="3091" t="s">
        <v>443</v>
      </c>
      <c r="C7" s="3091" t="s">
        <v>446</v>
      </c>
      <c r="D7" s="3090">
        <v>8.18</v>
      </c>
      <c r="E7" s="3090">
        <v>44.41</v>
      </c>
      <c r="F7" s="3090">
        <v>0</v>
      </c>
      <c r="G7" s="3090">
        <v>0</v>
      </c>
      <c r="H7" s="3090">
        <v>0</v>
      </c>
      <c r="I7" s="3090">
        <v>0</v>
      </c>
      <c r="J7" s="3090">
        <v>44.41</v>
      </c>
      <c r="K7" s="3090">
        <v>44.41</v>
      </c>
      <c r="L7" s="3090">
        <v>0</v>
      </c>
      <c r="M7" s="3090">
        <v>0</v>
      </c>
    </row>
    <row r="8" ht="42.75" spans="1:13">
      <c r="A8" s="3091" t="s">
        <v>440</v>
      </c>
      <c r="B8" s="3091" t="s">
        <v>443</v>
      </c>
      <c r="C8" s="3091" t="s">
        <v>436</v>
      </c>
      <c r="D8" s="3090">
        <v>2455.53</v>
      </c>
      <c r="E8" s="3090">
        <v>13326.96</v>
      </c>
      <c r="F8" s="3090">
        <v>9231.05</v>
      </c>
      <c r="G8" s="3090">
        <v>0</v>
      </c>
      <c r="H8" s="3090">
        <v>0</v>
      </c>
      <c r="I8" s="3090">
        <v>9231.05</v>
      </c>
      <c r="J8" s="3090">
        <v>4095.91</v>
      </c>
      <c r="K8" s="3090">
        <v>0</v>
      </c>
      <c r="L8" s="3090">
        <v>3320.79</v>
      </c>
      <c r="M8" s="3090">
        <v>775.12</v>
      </c>
    </row>
    <row r="9" ht="27" customHeight="1" spans="1:13">
      <c r="A9" s="3090" t="s">
        <v>447</v>
      </c>
      <c r="B9" s="3090"/>
      <c r="C9" s="3090"/>
      <c r="D9" s="3090">
        <v>12007.03</v>
      </c>
      <c r="E9" s="3090">
        <v>65165.95</v>
      </c>
      <c r="F9" s="3090">
        <v>57631.05</v>
      </c>
      <c r="G9" s="3090">
        <v>28727</v>
      </c>
      <c r="H9" s="3090">
        <v>19673</v>
      </c>
      <c r="I9" s="3090">
        <v>9231.05</v>
      </c>
      <c r="J9" s="3090">
        <v>7534.9</v>
      </c>
      <c r="K9" s="3090">
        <v>100</v>
      </c>
      <c r="L9" s="3090">
        <v>3320.79</v>
      </c>
      <c r="M9" s="30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28" sqref="F28"/>
    </sheetView>
  </sheetViews>
  <sheetFormatPr defaultColWidth="13.75" defaultRowHeight="12.75"/>
  <cols>
    <col min="1" max="1" width="20.875" style="2977" customWidth="1"/>
    <col min="2" max="2" width="16.75" style="2900" customWidth="1"/>
    <col min="3" max="3" width="18.25" style="2901" customWidth="1"/>
    <col min="4" max="4" width="34.125" style="2978" customWidth="1"/>
    <col min="5" max="5" width="17.625" style="2978" customWidth="1"/>
    <col min="6" max="6" width="15.5" style="2979" customWidth="1"/>
    <col min="7" max="8" width="9.125" style="2980" customWidth="1"/>
    <col min="9" max="9" width="15" style="2901" customWidth="1"/>
    <col min="10" max="14" width="8.875" style="2901" customWidth="1"/>
    <col min="15" max="16" width="12.375" style="2901" customWidth="1"/>
    <col min="17" max="17" width="8.625" style="2901" customWidth="1"/>
    <col min="18" max="18" width="12.5" style="2901" customWidth="1"/>
    <col min="19" max="19" width="8.5" style="2901" customWidth="1"/>
    <col min="20" max="21" width="10.875" style="2901" customWidth="1"/>
    <col min="22" max="23" width="12.5" style="2901" customWidth="1"/>
    <col min="24" max="24" width="12.125" style="2901" customWidth="1"/>
    <col min="25" max="25" width="7.5" style="2901" customWidth="1"/>
    <col min="26" max="26" width="6.375" style="2901" customWidth="1"/>
    <col min="27" max="32" width="6.75" style="2901" customWidth="1"/>
    <col min="33" max="33" width="6.5" style="2901" customWidth="1"/>
    <col min="34" max="36" width="7.25" style="2901" customWidth="1"/>
    <col min="37" max="41" width="8" style="2901" customWidth="1"/>
    <col min="42" max="16384" width="13.75" style="2900"/>
  </cols>
  <sheetData>
    <row r="1" ht="19.5" spans="1:5">
      <c r="A1" s="2981" t="s">
        <v>448</v>
      </c>
      <c r="B1" s="2082"/>
      <c r="D1" s="2979"/>
      <c r="E1" s="2979"/>
    </row>
    <row r="2" s="2904" customFormat="1" ht="15.75" spans="1:41">
      <c r="A2" s="2982" t="s">
        <v>449</v>
      </c>
      <c r="B2" s="2983">
        <f>项目基本情况!D2</f>
        <v>40008</v>
      </c>
      <c r="C2" s="1080"/>
      <c r="D2" s="2984" t="s">
        <v>450</v>
      </c>
      <c r="E2" s="2985"/>
      <c r="F2" s="2986"/>
      <c r="G2" s="2987"/>
      <c r="H2" s="298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4" customFormat="1" ht="15" customHeight="1" spans="1:41">
      <c r="A3" s="2988" t="s">
        <v>451</v>
      </c>
      <c r="B3" s="2989" t="s">
        <v>452</v>
      </c>
      <c r="C3" s="1080"/>
      <c r="D3" s="2990"/>
      <c r="E3" s="2991" t="s">
        <v>453</v>
      </c>
      <c r="F3" s="2986"/>
      <c r="G3" s="2987"/>
      <c r="H3" s="298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4" customFormat="1" ht="15" spans="1:41">
      <c r="A4" s="2992" t="s">
        <v>454</v>
      </c>
      <c r="B4" s="2989" t="s">
        <v>455</v>
      </c>
      <c r="C4" s="1080"/>
      <c r="D4" s="2990"/>
      <c r="E4" s="2991"/>
      <c r="F4" s="2986"/>
      <c r="G4" s="2987"/>
      <c r="H4" s="298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4" customFormat="1" ht="15" spans="1:41">
      <c r="A5" s="2988" t="s">
        <v>456</v>
      </c>
      <c r="B5" s="2993">
        <f>项目基本情况!C12</f>
        <v>92.26</v>
      </c>
      <c r="C5" s="1080"/>
      <c r="D5" s="2994" t="s">
        <v>457</v>
      </c>
      <c r="E5" s="2995"/>
      <c r="F5" s="2986"/>
      <c r="G5" s="2987"/>
      <c r="H5" s="298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4" customFormat="1" ht="15" spans="1:41">
      <c r="A6" s="2992" t="s">
        <v>458</v>
      </c>
      <c r="B6" s="2996">
        <f>项目基本情况!C13</f>
        <v>0</v>
      </c>
      <c r="C6" s="1080"/>
      <c r="D6" s="2994" t="s">
        <v>459</v>
      </c>
      <c r="E6" s="2995"/>
      <c r="F6" s="2986"/>
      <c r="G6" s="2987"/>
      <c r="H6" s="298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7"/>
      <c r="D7" s="2998"/>
      <c r="E7" s="2998"/>
      <c r="F7" s="2987"/>
      <c r="G7" s="2987"/>
      <c r="H7" s="2987"/>
    </row>
    <row r="8" s="1080" customFormat="1" ht="15" hidden="1" spans="1:8">
      <c r="A8" s="2997"/>
      <c r="D8" s="2998"/>
      <c r="E8" s="2998"/>
      <c r="F8" s="2987"/>
      <c r="G8" s="2987"/>
      <c r="H8" s="2987"/>
    </row>
    <row r="9" s="1080" customFormat="1" ht="15" hidden="1" spans="3:8">
      <c r="C9" s="2999"/>
      <c r="D9" s="2987"/>
      <c r="E9" s="2987"/>
      <c r="F9" s="2987"/>
      <c r="G9" s="2987"/>
      <c r="H9" s="2987"/>
    </row>
    <row r="10" s="2904" customFormat="1" ht="15" spans="1:41">
      <c r="A10" s="3000" t="s">
        <v>202</v>
      </c>
      <c r="B10" s="3001" t="s">
        <v>460</v>
      </c>
      <c r="C10" s="1080"/>
      <c r="D10" s="2982" t="s">
        <v>461</v>
      </c>
      <c r="E10" s="3002" t="s">
        <v>462</v>
      </c>
      <c r="F10" s="3003"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5" customFormat="1" ht="14.25" spans="1:41">
      <c r="A11" s="3004" t="s">
        <v>464</v>
      </c>
      <c r="B11" s="3005">
        <v>70</v>
      </c>
      <c r="C11" s="1080"/>
      <c r="D11" s="3006" t="s">
        <v>465</v>
      </c>
      <c r="E11" s="3007">
        <v>160</v>
      </c>
      <c r="F11" s="3008" t="s">
        <v>466</v>
      </c>
      <c r="G11" s="1080"/>
      <c r="H11" s="1080"/>
      <c r="I11" s="1080"/>
      <c r="J11" s="1080"/>
      <c r="K11" s="1080"/>
      <c r="L11" s="2906"/>
      <c r="M11" s="2906"/>
      <c r="N11" s="2906"/>
      <c r="O11" s="2906"/>
      <c r="P11" s="2906"/>
      <c r="Q11" s="290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4" customFormat="1" ht="15" spans="1:41">
      <c r="A12" s="3009" t="s">
        <v>467</v>
      </c>
      <c r="B12" s="3010"/>
      <c r="C12" s="1080"/>
      <c r="D12" s="3009" t="s">
        <v>468</v>
      </c>
      <c r="E12" s="3011">
        <v>200</v>
      </c>
      <c r="F12" s="249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4" customFormat="1" ht="15" spans="1:41">
      <c r="A13" s="3012" t="s">
        <v>469</v>
      </c>
      <c r="B13" s="3013">
        <f>IF(B12="",B11-(YEAR($B$2)-B27+B24),ROUNDDOWN(MIN((B12-$B$2)/365,B11),2))</f>
        <v>60</v>
      </c>
      <c r="C13" s="3014"/>
      <c r="D13" s="3015" t="s">
        <v>470</v>
      </c>
      <c r="E13" s="3016">
        <v>14762</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4" customFormat="1" ht="14.25" spans="1:41">
      <c r="A14" s="3009" t="s">
        <v>472</v>
      </c>
      <c r="B14" s="3017">
        <f>IF(ISERROR(ROUND(POWER(1+B15,B11-B13)*(POWER(1+B15,B13)-1)/(POWER(1+B15,B11)-1),3)),0,ROUND(POWER(1+B15,B11-B13)*(POWER(1+B15,B13)-1)/(POWER(1+B15,B11)-1),3))</f>
        <v>0.973</v>
      </c>
      <c r="C14" s="1080"/>
      <c r="D14" s="3018" t="s">
        <v>473</v>
      </c>
      <c r="E14" s="3019">
        <v>200</v>
      </c>
      <c r="F14" s="249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4" customFormat="1" ht="14.25" spans="1:41">
      <c r="A15" s="3009" t="s">
        <v>474</v>
      </c>
      <c r="B15" s="3020">
        <v>0.045</v>
      </c>
      <c r="C15" s="2442" t="s">
        <v>475</v>
      </c>
      <c r="D15" s="3009" t="s">
        <v>476</v>
      </c>
      <c r="E15" s="3021">
        <f>E14-E16</f>
        <v>200</v>
      </c>
      <c r="F15" s="249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4" customFormat="1" ht="15" spans="1:41">
      <c r="A16" s="3009" t="s">
        <v>477</v>
      </c>
      <c r="B16" s="3020">
        <v>0.05</v>
      </c>
      <c r="C16" s="2442" t="s">
        <v>478</v>
      </c>
      <c r="D16" s="3022" t="s">
        <v>479</v>
      </c>
      <c r="E16" s="3023">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4" customFormat="1" ht="15" spans="1:41">
      <c r="A17" s="3022" t="s">
        <v>480</v>
      </c>
      <c r="B17" s="3024">
        <v>0.07</v>
      </c>
      <c r="C17" s="2442" t="s">
        <v>481</v>
      </c>
      <c r="D17" s="3000" t="s">
        <v>482</v>
      </c>
      <c r="E17" s="3025">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4" customFormat="1" ht="15" spans="1:41">
      <c r="A18" s="3026" t="s">
        <v>483</v>
      </c>
      <c r="B18" s="3027">
        <v>0.075</v>
      </c>
      <c r="C18" s="1080"/>
      <c r="D18" s="3028" t="str">
        <f>IF(B26=0,"建安总额","在建建安")</f>
        <v>建安总额</v>
      </c>
      <c r="E18" s="3029">
        <f>ROUND(B5*E17*IF(B26=0,1,E20),0)</f>
        <v>230650</v>
      </c>
      <c r="F18" s="3030">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4" customFormat="1" ht="15" spans="1:41">
      <c r="A19" s="2498"/>
      <c r="B19" s="2498"/>
      <c r="C19" s="1080"/>
      <c r="D19" s="3028" t="str">
        <f>IF(B26=0,"——","续建建安")</f>
        <v>——</v>
      </c>
      <c r="E19" s="3029" t="str">
        <f>IF(B26=0,"——",ROUND(B5*E17*(1-E20),0))</f>
        <v>——</v>
      </c>
      <c r="F19" s="3030"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4" customFormat="1" ht="15" spans="1:41">
      <c r="A20" s="3031" t="s">
        <v>484</v>
      </c>
      <c r="B20" s="2498"/>
      <c r="C20" s="1080"/>
      <c r="D20" s="3032" t="str">
        <f>IF(B26=0,"成新率","工程进度")</f>
        <v>成新率</v>
      </c>
      <c r="E20" s="3033">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4" customFormat="1" ht="14.25" spans="1:41">
      <c r="A21" s="3034" t="s">
        <v>485</v>
      </c>
      <c r="B21" s="3035">
        <v>0</v>
      </c>
      <c r="C21" s="1080"/>
      <c r="D21" s="3009" t="s">
        <v>486</v>
      </c>
      <c r="E21" s="3036">
        <v>0.03</v>
      </c>
      <c r="F21" s="3037"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4" customFormat="1" ht="14.25" spans="1:41">
      <c r="A22" s="3038" t="s">
        <v>488</v>
      </c>
      <c r="B22" s="3039">
        <v>2</v>
      </c>
      <c r="C22" s="1080"/>
      <c r="D22" s="3009" t="s">
        <v>489</v>
      </c>
      <c r="E22" s="3040">
        <v>0.05</v>
      </c>
      <c r="F22" s="3037"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4" customFormat="1" ht="14.25" spans="1:41">
      <c r="A23" s="3041" t="s">
        <v>491</v>
      </c>
      <c r="B23" s="3042">
        <v>2</v>
      </c>
      <c r="C23" s="1080"/>
      <c r="D23" s="3009" t="s">
        <v>492</v>
      </c>
      <c r="E23" s="3011">
        <v>200</v>
      </c>
      <c r="F23" s="303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4" customFormat="1" ht="15" spans="1:41">
      <c r="A24" s="3043" t="s">
        <v>493</v>
      </c>
      <c r="B24" s="3044">
        <f>B21+B22</f>
        <v>2</v>
      </c>
      <c r="C24" s="1080"/>
      <c r="D24" s="3022" t="s">
        <v>494</v>
      </c>
      <c r="E24" s="3045">
        <v>0.015</v>
      </c>
      <c r="F24" s="3037"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6" t="s">
        <v>496</v>
      </c>
      <c r="B25" s="3047">
        <f>B21+B23</f>
        <v>2</v>
      </c>
      <c r="C25" s="1080"/>
      <c r="D25" s="3006" t="s">
        <v>497</v>
      </c>
      <c r="E25" s="3036">
        <v>0.01</v>
      </c>
      <c r="F25" s="3037" t="s">
        <v>498</v>
      </c>
      <c r="I25" s="2980"/>
    </row>
    <row r="26" ht="15" spans="1:14">
      <c r="A26" s="3043" t="s">
        <v>499</v>
      </c>
      <c r="B26" s="3048">
        <f>B22-B23</f>
        <v>0</v>
      </c>
      <c r="D26" s="3009" t="s">
        <v>500</v>
      </c>
      <c r="E26" s="3040">
        <v>0.01</v>
      </c>
      <c r="F26" s="3037" t="s">
        <v>498</v>
      </c>
      <c r="G26" s="2987"/>
      <c r="H26" s="2987"/>
      <c r="I26" s="1080"/>
      <c r="J26" s="1080"/>
      <c r="K26" s="1080"/>
      <c r="L26" s="1080"/>
      <c r="M26" s="1080"/>
      <c r="N26" s="1080"/>
    </row>
    <row r="27" ht="15" spans="1:14">
      <c r="A27" s="3049" t="s">
        <v>501</v>
      </c>
      <c r="B27" s="3050">
        <v>2001</v>
      </c>
      <c r="C27" s="1080"/>
      <c r="D27" s="3051" t="s">
        <v>502</v>
      </c>
      <c r="E27" s="3052">
        <f ca="1">IF(D27="利息：取LPR",存贷款利率!G1,存贷款利率!G1+F27)</f>
        <v>0.054</v>
      </c>
      <c r="F27" s="3053">
        <v>0.005</v>
      </c>
      <c r="G27" s="2987"/>
      <c r="H27" s="2987"/>
      <c r="K27" s="1080"/>
      <c r="N27" s="1080"/>
    </row>
    <row r="28" ht="15" spans="1:14">
      <c r="A28" s="2082"/>
      <c r="B28" s="2082"/>
      <c r="D28" s="3015" t="s">
        <v>503</v>
      </c>
      <c r="E28" s="3054">
        <v>0.1</v>
      </c>
      <c r="G28" s="2987"/>
      <c r="H28" s="2987"/>
      <c r="K28" s="1080"/>
      <c r="N28" s="1080"/>
    </row>
    <row r="29" ht="14.25" spans="1:14">
      <c r="A29" s="3055" t="s">
        <v>504</v>
      </c>
      <c r="B29" s="3056"/>
      <c r="D29" s="3018" t="s">
        <v>505</v>
      </c>
      <c r="E29" s="3057">
        <f>E30+E31</f>
        <v>0.056</v>
      </c>
      <c r="F29" s="923"/>
      <c r="G29" s="2987"/>
      <c r="H29" s="2987"/>
      <c r="K29" s="1080"/>
      <c r="N29" s="1080"/>
    </row>
    <row r="30" ht="14.25" spans="1:14">
      <c r="A30" s="3009" t="str">
        <f>IF(B29="租赁期内按合同租金","合同租金","市场租金")</f>
        <v>市场租金</v>
      </c>
      <c r="B30" s="3058"/>
      <c r="D30" s="3022" t="s">
        <v>506</v>
      </c>
      <c r="E30" s="3059">
        <v>0.05</v>
      </c>
      <c r="F30" s="3060">
        <f>IF(B2&lt;DATE(2016,5,1),0,E30)</f>
        <v>0</v>
      </c>
      <c r="G30" s="2987"/>
      <c r="H30" s="2987"/>
      <c r="K30" s="1080"/>
      <c r="N30" s="1080"/>
    </row>
    <row r="31" ht="14.25" spans="1:14">
      <c r="A31" s="3009" t="s">
        <v>507</v>
      </c>
      <c r="B31" s="3061">
        <f ca="1">存贷款利率!I1</f>
        <v>0.0225</v>
      </c>
      <c r="D31" s="3022" t="s">
        <v>508</v>
      </c>
      <c r="E31" s="3062">
        <f>E30*(E32+E33+E34)+E35</f>
        <v>0.006</v>
      </c>
      <c r="F31" s="923"/>
      <c r="G31" s="2987"/>
      <c r="H31" s="2987"/>
      <c r="K31" s="1080"/>
      <c r="N31" s="1080"/>
    </row>
    <row r="32" ht="14.25" spans="1:14">
      <c r="A32" s="3009" t="s">
        <v>509</v>
      </c>
      <c r="B32" s="3020"/>
      <c r="D32" s="3022" t="s">
        <v>510</v>
      </c>
      <c r="E32" s="3063">
        <v>0.07</v>
      </c>
      <c r="F32" s="3037" t="s">
        <v>511</v>
      </c>
      <c r="G32" s="2987"/>
      <c r="H32" s="2987"/>
      <c r="K32" s="1080"/>
      <c r="L32" s="1080"/>
      <c r="M32" s="1080"/>
      <c r="N32" s="1080"/>
    </row>
    <row r="33" ht="14.25" spans="1:14">
      <c r="A33" s="3009" t="s">
        <v>512</v>
      </c>
      <c r="B33" s="3020"/>
      <c r="D33" s="3022" t="s">
        <v>513</v>
      </c>
      <c r="E33" s="3059">
        <v>0.03</v>
      </c>
      <c r="F33" s="3064" t="s">
        <v>514</v>
      </c>
      <c r="G33" s="2987"/>
      <c r="H33" s="2987"/>
      <c r="K33" s="1080"/>
      <c r="L33" s="1080"/>
      <c r="M33" s="1080"/>
      <c r="N33" s="1080"/>
    </row>
    <row r="34" s="2901" customFormat="1" ht="14.25" spans="1:14">
      <c r="A34" s="3009" t="s">
        <v>515</v>
      </c>
      <c r="B34" s="3065">
        <f>收益法!J54</f>
        <v>60</v>
      </c>
      <c r="D34" s="3022" t="s">
        <v>516</v>
      </c>
      <c r="E34" s="3059">
        <v>0.02</v>
      </c>
      <c r="F34" s="3064" t="s">
        <v>517</v>
      </c>
      <c r="G34" s="2987"/>
      <c r="H34" s="2987"/>
      <c r="I34" s="1080"/>
      <c r="J34" s="1080"/>
      <c r="K34" s="1080"/>
      <c r="L34" s="1080"/>
      <c r="M34" s="1080"/>
      <c r="N34" s="1080"/>
    </row>
    <row r="35" s="2901" customFormat="1" ht="15" spans="1:14">
      <c r="A35" s="3022" t="str">
        <f>IF(B29="租赁期内按合同租金","剩余租赁期","——")</f>
        <v>——</v>
      </c>
      <c r="B35" s="3066"/>
      <c r="D35" s="3015" t="s">
        <v>518</v>
      </c>
      <c r="E35" s="3067"/>
      <c r="F35" s="3008" t="s">
        <v>466</v>
      </c>
      <c r="G35" s="2987"/>
      <c r="H35" s="2987"/>
      <c r="I35" s="1080"/>
      <c r="J35" s="1080"/>
      <c r="K35" s="1080"/>
      <c r="L35" s="1080"/>
      <c r="M35" s="1080"/>
      <c r="N35" s="1080"/>
    </row>
    <row r="36" s="2901" customFormat="1" ht="14.25" spans="1:14">
      <c r="A36" s="3068" t="s">
        <v>519</v>
      </c>
      <c r="B36" s="3069"/>
      <c r="D36" s="3070" t="s">
        <v>520</v>
      </c>
      <c r="E36" s="3071">
        <v>0.03</v>
      </c>
      <c r="F36" s="2498" t="s">
        <v>521</v>
      </c>
      <c r="G36" s="2987"/>
      <c r="H36" s="2987"/>
      <c r="I36" s="1080"/>
      <c r="J36" s="1080"/>
      <c r="K36" s="1080"/>
      <c r="L36" s="1080"/>
      <c r="M36" s="1080"/>
      <c r="N36" s="1080"/>
    </row>
    <row r="37" s="2901" customFormat="1" ht="15" spans="1:14">
      <c r="A37" s="3018" t="str">
        <f>IF(B29="租赁期内按合同租金","租金","——")</f>
        <v>——</v>
      </c>
      <c r="B37" s="3072"/>
      <c r="D37" s="3022" t="s">
        <v>522</v>
      </c>
      <c r="E37" s="3059">
        <v>0.0005</v>
      </c>
      <c r="F37" s="2498" t="s">
        <v>523</v>
      </c>
      <c r="G37" s="2987"/>
      <c r="H37" s="2987"/>
      <c r="I37" s="1080"/>
      <c r="J37" s="1080"/>
      <c r="K37" s="1080"/>
      <c r="L37" s="1080"/>
      <c r="M37" s="1080"/>
      <c r="N37" s="1080"/>
    </row>
    <row r="38" s="2901" customFormat="1" ht="14.25" spans="1:14">
      <c r="A38" s="3009" t="str">
        <f>IF(B29="租赁期内按合同租金","年租金增长率","——")</f>
        <v>——</v>
      </c>
      <c r="B38" s="3020"/>
      <c r="D38" s="3073" t="s">
        <v>524</v>
      </c>
      <c r="E38" s="3074">
        <v>0.012</v>
      </c>
      <c r="F38" s="2498"/>
      <c r="G38" s="2980"/>
      <c r="H38" s="2980"/>
      <c r="I38" s="2987"/>
      <c r="J38" s="1080"/>
      <c r="K38" s="1080"/>
      <c r="L38" s="1080"/>
      <c r="M38" s="1080"/>
      <c r="N38" s="1080"/>
    </row>
    <row r="39" s="2901" customFormat="1" ht="15" spans="1:14">
      <c r="A39" s="3009" t="str">
        <f>IF(B29="租赁期内按合同租金","空置率","——")</f>
        <v>——</v>
      </c>
      <c r="B39" s="3020"/>
      <c r="D39" s="3015" t="s">
        <v>525</v>
      </c>
      <c r="E39" s="3075">
        <v>0.12</v>
      </c>
      <c r="F39" s="2498"/>
      <c r="G39" s="2987"/>
      <c r="H39" s="2987"/>
      <c r="I39" s="1080"/>
      <c r="J39" s="1080"/>
      <c r="K39" s="1080"/>
      <c r="L39" s="1080"/>
      <c r="M39" s="1080"/>
      <c r="N39" s="1080"/>
    </row>
    <row r="40" ht="14.25" spans="1:14">
      <c r="A40" s="3009" t="str">
        <f>IF(B29="租赁期内按合同租金","成新率","——")</f>
        <v>——</v>
      </c>
      <c r="B40" s="3020"/>
      <c r="D40" s="3073" t="s">
        <v>526</v>
      </c>
      <c r="E40" s="3076">
        <f>SUMIF(D42:D51,E41,E42:E51)</f>
        <v>0</v>
      </c>
      <c r="F40" s="2498"/>
      <c r="G40" s="2987"/>
      <c r="H40" s="2987"/>
      <c r="I40" s="1080"/>
      <c r="J40" s="1080"/>
      <c r="K40" s="1080"/>
      <c r="L40" s="1080"/>
      <c r="M40" s="1080"/>
      <c r="N40" s="1080"/>
    </row>
    <row r="41" ht="15" spans="1:14">
      <c r="A41" s="3022" t="str">
        <f>IF(B29="租赁期内按合同租金","租赁期外收益期","——")</f>
        <v>——</v>
      </c>
      <c r="B41" s="3077" t="str">
        <f>IF(B29="租赁期内按合同租金",B34-B35,"——")</f>
        <v>——</v>
      </c>
      <c r="D41" s="3009" t="s">
        <v>527</v>
      </c>
      <c r="E41" s="3078"/>
      <c r="F41" s="2498" t="s">
        <v>528</v>
      </c>
      <c r="G41" s="1082" t="s">
        <v>529</v>
      </c>
      <c r="H41" s="2987"/>
      <c r="I41" s="1080"/>
      <c r="J41" s="1080"/>
      <c r="K41" s="1080"/>
      <c r="L41" s="1080"/>
      <c r="M41" s="1080"/>
      <c r="N41" s="1080"/>
    </row>
    <row r="42" ht="14.25" spans="1:14">
      <c r="A42" s="3006" t="s">
        <v>530</v>
      </c>
      <c r="B42" s="3079"/>
      <c r="D42" s="3080" t="s">
        <v>531</v>
      </c>
      <c r="E42" s="3058"/>
      <c r="F42" s="2498">
        <v>30</v>
      </c>
      <c r="G42" s="2987"/>
      <c r="H42" s="2987"/>
      <c r="I42" s="1080"/>
      <c r="J42" s="1080"/>
      <c r="K42" s="1080"/>
      <c r="L42" s="1080"/>
      <c r="M42" s="1080"/>
      <c r="N42" s="1080"/>
    </row>
    <row r="43" ht="14.25" spans="1:14">
      <c r="A43" s="3009" t="s">
        <v>532</v>
      </c>
      <c r="B43" s="3081"/>
      <c r="D43" s="3080" t="s">
        <v>533</v>
      </c>
      <c r="E43" s="3058"/>
      <c r="F43" s="2498">
        <v>24</v>
      </c>
      <c r="G43" s="2987"/>
      <c r="H43" s="2987"/>
      <c r="I43" s="1080"/>
      <c r="J43" s="1080"/>
      <c r="K43" s="1080"/>
      <c r="L43" s="1080"/>
      <c r="M43" s="1080"/>
      <c r="N43" s="1080"/>
    </row>
    <row r="44" ht="14.25" spans="1:14">
      <c r="A44" s="3009" t="s">
        <v>534</v>
      </c>
      <c r="B44" s="3058"/>
      <c r="D44" s="3080" t="s">
        <v>535</v>
      </c>
      <c r="E44" s="3058"/>
      <c r="F44" s="2498">
        <v>18</v>
      </c>
      <c r="G44" s="2901"/>
      <c r="H44" s="2901"/>
      <c r="I44" s="2987"/>
      <c r="J44" s="1080"/>
      <c r="K44" s="1080"/>
      <c r="L44" s="1080"/>
      <c r="M44" s="1080"/>
      <c r="N44" s="1080"/>
    </row>
    <row r="45" ht="14.25" spans="1:14">
      <c r="A45" s="3009" t="s">
        <v>536</v>
      </c>
      <c r="B45" s="3082"/>
      <c r="C45" s="2442" t="s">
        <v>537</v>
      </c>
      <c r="D45" s="3080" t="s">
        <v>538</v>
      </c>
      <c r="E45" s="3058"/>
      <c r="F45" s="2498">
        <v>12</v>
      </c>
      <c r="G45" s="2901"/>
      <c r="H45" s="2901"/>
      <c r="M45" s="1080"/>
      <c r="N45" s="1080"/>
    </row>
    <row r="46" ht="14.25" spans="1:14">
      <c r="A46" s="3009" t="s">
        <v>539</v>
      </c>
      <c r="B46" s="3083"/>
      <c r="C46" s="2442" t="s">
        <v>540</v>
      </c>
      <c r="D46" s="3080" t="s">
        <v>264</v>
      </c>
      <c r="E46" s="3058"/>
      <c r="F46" s="2498">
        <v>3</v>
      </c>
      <c r="G46" s="2901"/>
      <c r="H46" s="2901"/>
      <c r="M46" s="1080"/>
      <c r="N46" s="1080"/>
    </row>
    <row r="47" ht="15" spans="1:14">
      <c r="A47" s="3015" t="s">
        <v>541</v>
      </c>
      <c r="B47" s="3084"/>
      <c r="C47" s="2442" t="s">
        <v>542</v>
      </c>
      <c r="D47" s="3080" t="s">
        <v>543</v>
      </c>
      <c r="E47" s="3058"/>
      <c r="F47" s="2498">
        <v>1.5</v>
      </c>
      <c r="G47" s="2901"/>
      <c r="H47" s="2901"/>
      <c r="M47" s="1080"/>
      <c r="N47" s="1080"/>
    </row>
    <row r="48" ht="14.25" spans="1:14">
      <c r="A48" s="2901"/>
      <c r="B48" s="2901"/>
      <c r="D48" s="3080" t="s">
        <v>544</v>
      </c>
      <c r="E48" s="3058"/>
      <c r="F48" s="2498"/>
      <c r="G48" s="2901"/>
      <c r="H48" s="2901"/>
      <c r="M48" s="1080"/>
      <c r="N48" s="1080"/>
    </row>
    <row r="49" ht="14.25" spans="1:14">
      <c r="A49" s="2901"/>
      <c r="B49" s="2901"/>
      <c r="D49" s="3080" t="s">
        <v>545</v>
      </c>
      <c r="E49" s="3058"/>
      <c r="F49" s="2498"/>
      <c r="G49" s="2901"/>
      <c r="H49" s="2901"/>
      <c r="M49" s="1080"/>
      <c r="N49" s="1080"/>
    </row>
    <row r="50" ht="14.25" spans="1:14">
      <c r="A50" s="2901"/>
      <c r="B50" s="2901"/>
      <c r="D50" s="3080" t="s">
        <v>546</v>
      </c>
      <c r="E50" s="3058"/>
      <c r="F50" s="2498"/>
      <c r="G50" s="2901"/>
      <c r="H50" s="2901"/>
      <c r="M50" s="1080"/>
      <c r="N50" s="1080"/>
    </row>
    <row r="51" s="2082" customFormat="1" ht="15" spans="1:41">
      <c r="A51" s="2901"/>
      <c r="B51" s="2901"/>
      <c r="C51" s="2901"/>
      <c r="D51" s="3085" t="s">
        <v>547</v>
      </c>
      <c r="E51" s="3086"/>
      <c r="F51" s="2498"/>
      <c r="G51" s="2901"/>
      <c r="H51" s="2901"/>
      <c r="I51" s="2901"/>
      <c r="J51" s="2901"/>
      <c r="K51" s="2901"/>
      <c r="L51" s="2901"/>
      <c r="M51" s="1080"/>
      <c r="N51" s="1080"/>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row>
    <row r="52" s="2901" customFormat="1" ht="14.25" spans="4:14">
      <c r="D52" s="2987"/>
      <c r="E52" s="2987"/>
      <c r="F52" s="2987"/>
      <c r="G52" s="2987"/>
      <c r="H52" s="2987"/>
      <c r="I52" s="1080"/>
      <c r="J52" s="1080"/>
      <c r="K52" s="1080"/>
      <c r="L52" s="1080"/>
      <c r="M52" s="1080"/>
      <c r="N52" s="1080"/>
    </row>
    <row r="53" s="2901" customFormat="1" ht="14.25" spans="4:14">
      <c r="D53" s="2987"/>
      <c r="E53" s="2987"/>
      <c r="F53" s="2987"/>
      <c r="G53" s="2987"/>
      <c r="H53" s="2987"/>
      <c r="I53" s="1080"/>
      <c r="J53" s="1080"/>
      <c r="K53" s="1080"/>
      <c r="L53" s="1080"/>
      <c r="M53" s="1080"/>
      <c r="N53" s="1080"/>
    </row>
    <row r="54" s="2901" customFormat="1" ht="14.25" spans="4:14">
      <c r="D54" s="2987"/>
      <c r="E54" s="2987"/>
      <c r="F54" s="2987"/>
      <c r="G54" s="2987"/>
      <c r="H54" s="2987"/>
      <c r="I54" s="1080"/>
      <c r="J54" s="1080"/>
      <c r="K54" s="1080"/>
      <c r="L54" s="1080"/>
      <c r="M54" s="1080"/>
      <c r="N54" s="1080"/>
    </row>
    <row r="55" s="2901" customFormat="1" ht="14.25" spans="4:14">
      <c r="D55" s="2987"/>
      <c r="E55" s="2987"/>
      <c r="F55" s="2987"/>
      <c r="G55" s="2987"/>
      <c r="H55" s="2987"/>
      <c r="I55" s="1080"/>
      <c r="J55" s="1080"/>
      <c r="K55" s="1080"/>
      <c r="L55" s="1080"/>
      <c r="M55" s="1080"/>
      <c r="N55" s="1080"/>
    </row>
    <row r="56" s="2901" customFormat="1" ht="14.25" spans="4:14">
      <c r="D56" s="2987"/>
      <c r="E56" s="2987"/>
      <c r="F56" s="2987"/>
      <c r="G56" s="2987"/>
      <c r="H56" s="2987"/>
      <c r="I56" s="1080"/>
      <c r="J56" s="1080"/>
      <c r="K56" s="1080"/>
      <c r="L56" s="1080"/>
      <c r="M56" s="1080"/>
      <c r="N56" s="1080"/>
    </row>
    <row r="57" s="2901" customFormat="1" ht="14.25" spans="4:14">
      <c r="D57" s="2987"/>
      <c r="E57" s="2987"/>
      <c r="F57" s="2987"/>
      <c r="G57" s="2987"/>
      <c r="H57" s="2987"/>
      <c r="I57" s="1080"/>
      <c r="J57" s="1080"/>
      <c r="K57" s="1080"/>
      <c r="L57" s="1080"/>
      <c r="M57" s="1080"/>
      <c r="N57" s="1080"/>
    </row>
    <row r="58" s="2901" customFormat="1" ht="14.25" spans="4:14">
      <c r="D58" s="2987"/>
      <c r="E58" s="2987"/>
      <c r="F58" s="2987"/>
      <c r="G58" s="2987"/>
      <c r="H58" s="2987"/>
      <c r="I58" s="1080"/>
      <c r="J58" s="1080"/>
      <c r="K58" s="1080"/>
      <c r="L58" s="1080"/>
      <c r="M58" s="1080"/>
      <c r="N58" s="1080"/>
    </row>
    <row r="59" s="2901" customFormat="1" ht="14.25" spans="4:14">
      <c r="D59" s="2987"/>
      <c r="E59" s="2987"/>
      <c r="F59" s="2987"/>
      <c r="G59" s="2987"/>
      <c r="H59" s="2987"/>
      <c r="I59" s="1080"/>
      <c r="J59" s="1080"/>
      <c r="K59" s="1080"/>
      <c r="L59" s="1080"/>
      <c r="M59" s="1241"/>
      <c r="N59" s="1080"/>
    </row>
    <row r="60" s="2901" customFormat="1" ht="14.25" spans="4:14">
      <c r="D60" s="2987"/>
      <c r="E60" s="2987"/>
      <c r="F60" s="2987"/>
      <c r="G60" s="2987"/>
      <c r="H60" s="2987"/>
      <c r="I60" s="1080"/>
      <c r="J60" s="1080"/>
      <c r="K60" s="1080"/>
      <c r="L60" s="1080"/>
      <c r="M60" s="1080"/>
      <c r="N60" s="1080"/>
    </row>
    <row r="61" s="2901" customFormat="1" ht="14.25" spans="4:14">
      <c r="D61" s="2987"/>
      <c r="E61" s="2987"/>
      <c r="F61" s="2987"/>
      <c r="G61" s="2987"/>
      <c r="H61" s="2987"/>
      <c r="I61" s="1080"/>
      <c r="J61" s="1080"/>
      <c r="K61" s="1080"/>
      <c r="L61" s="1080"/>
      <c r="M61" s="1080"/>
      <c r="N61" s="1080"/>
    </row>
    <row r="62" s="2901" customFormat="1" ht="14.25" spans="4:14">
      <c r="D62" s="2987"/>
      <c r="E62" s="2987"/>
      <c r="F62" s="2987"/>
      <c r="G62" s="2987"/>
      <c r="H62" s="2987"/>
      <c r="I62" s="1080"/>
      <c r="J62" s="1080"/>
      <c r="K62" s="1080"/>
      <c r="L62" s="1080"/>
      <c r="M62" s="1080"/>
      <c r="N62" s="1080"/>
    </row>
    <row r="63" s="2901" customFormat="1" ht="14.25" spans="4:14">
      <c r="D63" s="2987"/>
      <c r="E63" s="2987"/>
      <c r="F63" s="2987"/>
      <c r="G63" s="2987"/>
      <c r="H63" s="2987"/>
      <c r="I63" s="1080"/>
      <c r="J63" s="1080"/>
      <c r="K63" s="1080"/>
      <c r="L63" s="1080"/>
      <c r="M63" s="1080"/>
      <c r="N63" s="1080"/>
    </row>
    <row r="64" s="2901" customFormat="1" ht="14.25" spans="4:14">
      <c r="D64" s="2987"/>
      <c r="E64" s="2987"/>
      <c r="F64" s="2987"/>
      <c r="G64" s="2987"/>
      <c r="H64" s="2987"/>
      <c r="I64" s="1080"/>
      <c r="J64" s="1080"/>
      <c r="K64" s="1080"/>
      <c r="L64" s="1080"/>
      <c r="M64" s="1080"/>
      <c r="N64" s="1080"/>
    </row>
    <row r="65" s="2901" customFormat="1" ht="14.25" spans="4:14">
      <c r="D65" s="2987"/>
      <c r="E65" s="2987"/>
      <c r="F65" s="2987"/>
      <c r="G65" s="2987"/>
      <c r="H65" s="2987"/>
      <c r="I65" s="1080"/>
      <c r="J65" s="1080"/>
      <c r="K65" s="1080"/>
      <c r="L65" s="1080"/>
      <c r="M65" s="1080"/>
      <c r="N65" s="1080"/>
    </row>
    <row r="66" s="2901" customFormat="1" ht="14.25" spans="4:14">
      <c r="D66" s="2987"/>
      <c r="E66" s="2987"/>
      <c r="F66" s="2987"/>
      <c r="G66" s="2987"/>
      <c r="H66" s="2987"/>
      <c r="I66" s="1080"/>
      <c r="J66" s="1080"/>
      <c r="K66" s="1080"/>
      <c r="L66" s="1080"/>
      <c r="M66" s="1080"/>
      <c r="N66" s="1080"/>
    </row>
    <row r="67" s="2901" customFormat="1" ht="14.25" spans="1:14">
      <c r="A67" s="3087"/>
      <c r="D67" s="2987"/>
      <c r="E67" s="2987"/>
      <c r="F67" s="2987"/>
      <c r="G67" s="2987"/>
      <c r="H67" s="2987"/>
      <c r="I67" s="1080"/>
      <c r="J67" s="1080"/>
      <c r="K67" s="1080"/>
      <c r="L67" s="1080"/>
      <c r="M67" s="1080"/>
      <c r="N67" s="1080"/>
    </row>
    <row r="68" s="2901" customFormat="1" ht="14.25" spans="1:8">
      <c r="A68" s="3087"/>
      <c r="D68" s="2987"/>
      <c r="E68" s="2987"/>
      <c r="F68" s="2987"/>
      <c r="G68" s="2980"/>
      <c r="H68" s="2980"/>
    </row>
    <row r="69" s="2901" customFormat="1" spans="1:8">
      <c r="A69" s="3087"/>
      <c r="D69" s="2980"/>
      <c r="E69" s="2980"/>
      <c r="F69" s="2980"/>
      <c r="G69" s="2980"/>
      <c r="H69" s="2980"/>
    </row>
    <row r="70" s="2901" customFormat="1" spans="1:8">
      <c r="A70" s="3087"/>
      <c r="D70" s="2980"/>
      <c r="E70" s="2980"/>
      <c r="F70" s="2980"/>
      <c r="G70" s="2980"/>
      <c r="H70" s="2980"/>
    </row>
    <row r="71" s="2901" customFormat="1" spans="1:8">
      <c r="A71" s="3087"/>
      <c r="D71" s="2980"/>
      <c r="E71" s="2980"/>
      <c r="F71" s="2980"/>
      <c r="G71" s="2980"/>
      <c r="H71" s="2980"/>
    </row>
    <row r="72" s="2901" customFormat="1" spans="1:8">
      <c r="A72" s="3087"/>
      <c r="D72" s="2980"/>
      <c r="E72" s="2980"/>
      <c r="F72" s="2980"/>
      <c r="G72" s="2980"/>
      <c r="H72" s="2980"/>
    </row>
    <row r="73" s="2901" customFormat="1" spans="1:8">
      <c r="A73" s="3087"/>
      <c r="D73" s="2980"/>
      <c r="E73" s="2980"/>
      <c r="F73" s="2980"/>
      <c r="G73" s="2980"/>
      <c r="H73" s="2980"/>
    </row>
    <row r="74" s="2901" customFormat="1" spans="1:8">
      <c r="A74" s="3087"/>
      <c r="D74" s="2980"/>
      <c r="E74" s="2980"/>
      <c r="F74" s="2980"/>
      <c r="G74" s="2980"/>
      <c r="H74" s="2980"/>
    </row>
    <row r="75" s="2901" customFormat="1" spans="1:8">
      <c r="A75" s="3087"/>
      <c r="D75" s="2980"/>
      <c r="E75" s="2980"/>
      <c r="F75" s="2980"/>
      <c r="G75" s="2980"/>
      <c r="H75" s="2980"/>
    </row>
    <row r="76" s="2901" customFormat="1" spans="1:8">
      <c r="A76" s="3087"/>
      <c r="D76" s="2980"/>
      <c r="E76" s="2980"/>
      <c r="F76" s="2980"/>
      <c r="G76" s="2980"/>
      <c r="H76" s="2980"/>
    </row>
    <row r="77" s="2901" customFormat="1" spans="1:8">
      <c r="A77" s="3087"/>
      <c r="D77" s="2980"/>
      <c r="E77" s="2980"/>
      <c r="F77" s="2980"/>
      <c r="G77" s="2980"/>
      <c r="H77" s="2980"/>
    </row>
    <row r="78" s="2901" customFormat="1" spans="1:8">
      <c r="A78" s="3087"/>
      <c r="D78" s="2980"/>
      <c r="E78" s="2980"/>
      <c r="F78" s="2980"/>
      <c r="G78" s="2980"/>
      <c r="H78" s="2980"/>
    </row>
    <row r="79" s="2901" customFormat="1" spans="1:8">
      <c r="A79" s="3087"/>
      <c r="D79" s="2980"/>
      <c r="E79" s="2980"/>
      <c r="F79" s="2980"/>
      <c r="G79" s="2980"/>
      <c r="H79" s="2980"/>
    </row>
    <row r="80" s="2901" customFormat="1" spans="1:8">
      <c r="A80" s="3087"/>
      <c r="D80" s="2980"/>
      <c r="E80" s="2980"/>
      <c r="F80" s="2980"/>
      <c r="G80" s="2980"/>
      <c r="H80" s="2980"/>
    </row>
    <row r="81" s="2901" customFormat="1" spans="1:8">
      <c r="A81" s="3087"/>
      <c r="D81" s="2980"/>
      <c r="E81" s="2980"/>
      <c r="F81" s="2980"/>
      <c r="G81" s="2980"/>
      <c r="H81" s="2980"/>
    </row>
    <row r="82" s="2901" customFormat="1" spans="1:8">
      <c r="A82" s="3087"/>
      <c r="D82" s="2980"/>
      <c r="E82" s="2980"/>
      <c r="F82" s="2980"/>
      <c r="G82" s="2980"/>
      <c r="H82" s="2980"/>
    </row>
    <row r="83" s="2901" customFormat="1" spans="1:8">
      <c r="A83" s="3087"/>
      <c r="D83" s="2980"/>
      <c r="E83" s="2980"/>
      <c r="F83" s="2980"/>
      <c r="G83" s="2980"/>
      <c r="H83" s="2980"/>
    </row>
    <row r="84" s="2901" customFormat="1" spans="1:8">
      <c r="A84" s="3087"/>
      <c r="D84" s="2980"/>
      <c r="E84" s="2980"/>
      <c r="F84" s="2980"/>
      <c r="G84" s="2980"/>
      <c r="H84" s="2980"/>
    </row>
    <row r="85" s="2901" customFormat="1" spans="1:8">
      <c r="A85" s="3087"/>
      <c r="D85" s="2980"/>
      <c r="E85" s="2980"/>
      <c r="F85" s="2980"/>
      <c r="G85" s="2980"/>
      <c r="H85" s="2980"/>
    </row>
    <row r="86" s="2901" customFormat="1" spans="1:8">
      <c r="A86" s="3087"/>
      <c r="D86" s="2980"/>
      <c r="E86" s="2980"/>
      <c r="F86" s="2980"/>
      <c r="G86" s="2980"/>
      <c r="H86" s="2980"/>
    </row>
    <row r="87" s="2901" customFormat="1" spans="1:8">
      <c r="A87" s="3087"/>
      <c r="D87" s="2980"/>
      <c r="E87" s="2980"/>
      <c r="F87" s="2980"/>
      <c r="G87" s="2980"/>
      <c r="H87" s="2980"/>
    </row>
    <row r="88" s="2901" customFormat="1" spans="1:8">
      <c r="A88" s="3087"/>
      <c r="D88" s="2980"/>
      <c r="E88" s="2980"/>
      <c r="F88" s="2980"/>
      <c r="G88" s="2980"/>
      <c r="H88" s="2980"/>
    </row>
    <row r="89" s="2901" customFormat="1" spans="1:8">
      <c r="A89" s="3087"/>
      <c r="D89" s="2980"/>
      <c r="E89" s="2980"/>
      <c r="F89" s="2980"/>
      <c r="G89" s="2980"/>
      <c r="H89" s="2980"/>
    </row>
    <row r="90" s="2901" customFormat="1" spans="1:8">
      <c r="A90" s="3087"/>
      <c r="D90" s="2980"/>
      <c r="E90" s="2980"/>
      <c r="F90" s="2980"/>
      <c r="G90" s="2980"/>
      <c r="H90" s="2980"/>
    </row>
    <row r="91" s="2901" customFormat="1" spans="1:8">
      <c r="A91" s="3087"/>
      <c r="D91" s="2980"/>
      <c r="E91" s="2980"/>
      <c r="F91" s="2980"/>
      <c r="G91" s="2980"/>
      <c r="H91" s="2980"/>
    </row>
    <row r="92" s="2901" customFormat="1" spans="1:8">
      <c r="A92" s="3087"/>
      <c r="D92" s="2980"/>
      <c r="E92" s="2980"/>
      <c r="F92" s="2980"/>
      <c r="G92" s="2980"/>
      <c r="H92" s="2980"/>
    </row>
    <row r="93" s="2901" customFormat="1" spans="1:8">
      <c r="A93" s="3087"/>
      <c r="D93" s="2980"/>
      <c r="E93" s="2980"/>
      <c r="F93" s="2980"/>
      <c r="G93" s="2980"/>
      <c r="H93" s="2980"/>
    </row>
    <row r="94" s="2901" customFormat="1" spans="1:8">
      <c r="A94" s="3087"/>
      <c r="D94" s="2980"/>
      <c r="E94" s="2980"/>
      <c r="F94" s="2980"/>
      <c r="G94" s="2980"/>
      <c r="H94" s="2980"/>
    </row>
    <row r="95" s="2901" customFormat="1" spans="1:8">
      <c r="A95" s="3087"/>
      <c r="D95" s="2980"/>
      <c r="E95" s="2980"/>
      <c r="F95" s="2980"/>
      <c r="G95" s="2980"/>
      <c r="H95" s="2980"/>
    </row>
    <row r="96" s="2901" customFormat="1" spans="1:8">
      <c r="A96" s="3087"/>
      <c r="D96" s="2980"/>
      <c r="E96" s="2980"/>
      <c r="F96" s="2980"/>
      <c r="G96" s="2980"/>
      <c r="H96" s="2980"/>
    </row>
    <row r="97" s="2901" customFormat="1" spans="1:8">
      <c r="A97" s="3087"/>
      <c r="D97" s="2980"/>
      <c r="E97" s="2980"/>
      <c r="F97" s="2980"/>
      <c r="G97" s="2980"/>
      <c r="H97" s="2980"/>
    </row>
    <row r="98" s="2901" customFormat="1" spans="1:8">
      <c r="A98" s="3087"/>
      <c r="D98" s="2980"/>
      <c r="E98" s="2980"/>
      <c r="F98" s="2980"/>
      <c r="G98" s="2980"/>
      <c r="H98" s="2980"/>
    </row>
    <row r="99" s="2901" customFormat="1" spans="1:8">
      <c r="A99" s="3087"/>
      <c r="D99" s="2980"/>
      <c r="E99" s="2980"/>
      <c r="F99" s="2980"/>
      <c r="G99" s="2980"/>
      <c r="H99" s="2980"/>
    </row>
    <row r="100" s="2901" customFormat="1" spans="1:8">
      <c r="A100" s="3087"/>
      <c r="D100" s="2980"/>
      <c r="E100" s="2980"/>
      <c r="F100" s="2980"/>
      <c r="G100" s="2980"/>
      <c r="H100" s="2980"/>
    </row>
    <row r="101" s="2901" customFormat="1" spans="1:8">
      <c r="A101" s="3087"/>
      <c r="D101" s="2980"/>
      <c r="E101" s="2980"/>
      <c r="F101" s="2980"/>
      <c r="G101" s="2980"/>
      <c r="H101" s="2980"/>
    </row>
    <row r="102" s="2901" customFormat="1" spans="1:8">
      <c r="A102" s="3087"/>
      <c r="D102" s="2980"/>
      <c r="E102" s="2980"/>
      <c r="F102" s="2980"/>
      <c r="G102" s="2980"/>
      <c r="H102" s="2980"/>
    </row>
    <row r="103" s="2901" customFormat="1" spans="1:8">
      <c r="A103" s="3087"/>
      <c r="D103" s="2980"/>
      <c r="E103" s="2980"/>
      <c r="F103" s="2980"/>
      <c r="G103" s="2980"/>
      <c r="H103" s="2980"/>
    </row>
    <row r="104" s="2901" customFormat="1" spans="1:8">
      <c r="A104" s="3087"/>
      <c r="D104" s="2980"/>
      <c r="E104" s="2980"/>
      <c r="F104" s="2980"/>
      <c r="G104" s="2980"/>
      <c r="H104" s="2980"/>
    </row>
    <row r="105" s="2901" customFormat="1" spans="1:8">
      <c r="A105" s="3087"/>
      <c r="D105" s="2980"/>
      <c r="E105" s="2980"/>
      <c r="F105" s="2980"/>
      <c r="G105" s="2980"/>
      <c r="H105" s="2980"/>
    </row>
    <row r="106" s="2901" customFormat="1" spans="1:8">
      <c r="A106" s="3087"/>
      <c r="D106" s="2980"/>
      <c r="E106" s="2980"/>
      <c r="F106" s="2980"/>
      <c r="G106" s="2980"/>
      <c r="H106" s="2980"/>
    </row>
    <row r="107" s="2901" customFormat="1" spans="1:8">
      <c r="A107" s="3087"/>
      <c r="D107" s="2980"/>
      <c r="E107" s="2980"/>
      <c r="F107" s="2980"/>
      <c r="G107" s="2980"/>
      <c r="H107" s="2980"/>
    </row>
    <row r="108" s="2901" customFormat="1" spans="1:8">
      <c r="A108" s="3087"/>
      <c r="D108" s="2980"/>
      <c r="E108" s="2980"/>
      <c r="F108" s="2980"/>
      <c r="G108" s="2980"/>
      <c r="H108" s="2980"/>
    </row>
    <row r="109" s="2901" customFormat="1" spans="1:8">
      <c r="A109" s="3087"/>
      <c r="D109" s="2980"/>
      <c r="E109" s="2980"/>
      <c r="F109" s="2980"/>
      <c r="G109" s="2980"/>
      <c r="H109" s="2980"/>
    </row>
    <row r="110" s="2901" customFormat="1" spans="1:8">
      <c r="A110" s="3087"/>
      <c r="D110" s="2980"/>
      <c r="E110" s="2980"/>
      <c r="F110" s="2980"/>
      <c r="G110" s="2980"/>
      <c r="H110" s="2980"/>
    </row>
    <row r="111" s="2901" customFormat="1" spans="1:8">
      <c r="A111" s="3087"/>
      <c r="D111" s="2980"/>
      <c r="E111" s="2980"/>
      <c r="F111" s="2980"/>
      <c r="G111" s="2980"/>
      <c r="H111" s="2980"/>
    </row>
    <row r="112" s="2901" customFormat="1" spans="1:8">
      <c r="A112" s="3087"/>
      <c r="D112" s="2980"/>
      <c r="E112" s="2980"/>
      <c r="F112" s="2980"/>
      <c r="G112" s="2980"/>
      <c r="H112" s="2980"/>
    </row>
    <row r="113" s="2901" customFormat="1" spans="1:8">
      <c r="A113" s="3087"/>
      <c r="D113" s="2980"/>
      <c r="E113" s="2980"/>
      <c r="F113" s="2980"/>
      <c r="G113" s="2980"/>
      <c r="H113" s="2980"/>
    </row>
    <row r="114" s="2901" customFormat="1" spans="1:8">
      <c r="A114" s="3087"/>
      <c r="D114" s="2980"/>
      <c r="E114" s="2980"/>
      <c r="F114" s="2980"/>
      <c r="G114" s="2980"/>
      <c r="H114" s="2980"/>
    </row>
    <row r="115" s="2901" customFormat="1" spans="1:8">
      <c r="A115" s="3087"/>
      <c r="D115" s="2980"/>
      <c r="E115" s="2980"/>
      <c r="F115" s="2980"/>
      <c r="G115" s="2980"/>
      <c r="H115" s="2980"/>
    </row>
    <row r="116" s="2901" customFormat="1" spans="1:8">
      <c r="A116" s="3087"/>
      <c r="D116" s="2980"/>
      <c r="E116" s="2980"/>
      <c r="F116" s="2980"/>
      <c r="G116" s="2980"/>
      <c r="H116" s="2980"/>
    </row>
    <row r="117" s="2901" customFormat="1" spans="1:8">
      <c r="A117" s="3087"/>
      <c r="D117" s="2980"/>
      <c r="E117" s="2980"/>
      <c r="F117" s="2980"/>
      <c r="G117" s="2980"/>
      <c r="H117" s="2980"/>
    </row>
    <row r="118" s="2901" customFormat="1" spans="1:8">
      <c r="A118" s="3087"/>
      <c r="D118" s="2980"/>
      <c r="E118" s="2980"/>
      <c r="F118" s="2980"/>
      <c r="G118" s="2980"/>
      <c r="H118" s="2980"/>
    </row>
    <row r="119" s="2901" customFormat="1" spans="1:8">
      <c r="A119" s="3087"/>
      <c r="D119" s="2980"/>
      <c r="E119" s="2980"/>
      <c r="F119" s="2980"/>
      <c r="G119" s="2980"/>
      <c r="H119" s="2980"/>
    </row>
    <row r="120" s="2901" customFormat="1" spans="1:8">
      <c r="A120" s="3087"/>
      <c r="D120" s="2980"/>
      <c r="E120" s="2980"/>
      <c r="F120" s="2980"/>
      <c r="G120" s="2980"/>
      <c r="H120" s="2980"/>
    </row>
    <row r="121" s="2901" customFormat="1" spans="1:8">
      <c r="A121" s="3087"/>
      <c r="D121" s="2980"/>
      <c r="E121" s="2980"/>
      <c r="F121" s="2980"/>
      <c r="G121" s="2980"/>
      <c r="H121" s="2980"/>
    </row>
    <row r="122" s="2901" customFormat="1" spans="1:8">
      <c r="A122" s="3087"/>
      <c r="D122" s="2980"/>
      <c r="E122" s="2980"/>
      <c r="F122" s="2980"/>
      <c r="G122" s="2980"/>
      <c r="H122" s="2980"/>
    </row>
    <row r="123" s="2901" customFormat="1" spans="1:8">
      <c r="A123" s="3087"/>
      <c r="D123" s="2980"/>
      <c r="E123" s="2980"/>
      <c r="F123" s="2980"/>
      <c r="G123" s="2980"/>
      <c r="H123" s="2980"/>
    </row>
    <row r="124" s="2901" customFormat="1" spans="1:8">
      <c r="A124" s="3087"/>
      <c r="D124" s="2980"/>
      <c r="E124" s="2980"/>
      <c r="F124" s="2980"/>
      <c r="G124" s="2980"/>
      <c r="H124" s="2980"/>
    </row>
    <row r="125" s="2901" customFormat="1" spans="1:8">
      <c r="A125" s="3087"/>
      <c r="D125" s="2980"/>
      <c r="E125" s="2980"/>
      <c r="F125" s="2980"/>
      <c r="G125" s="2980"/>
      <c r="H125" s="2980"/>
    </row>
    <row r="126" s="2901" customFormat="1" spans="1:8">
      <c r="A126" s="3087"/>
      <c r="D126" s="2980"/>
      <c r="E126" s="2980"/>
      <c r="F126" s="2980"/>
      <c r="G126" s="2980"/>
      <c r="H126" s="2980"/>
    </row>
    <row r="127" s="2901" customFormat="1" spans="1:8">
      <c r="A127" s="3087"/>
      <c r="D127" s="2980"/>
      <c r="E127" s="2980"/>
      <c r="F127" s="2980"/>
      <c r="G127" s="2980"/>
      <c r="H127" s="2980"/>
    </row>
    <row r="128" s="2901" customFormat="1" spans="1:8">
      <c r="A128" s="3087"/>
      <c r="D128" s="2980"/>
      <c r="E128" s="2980"/>
      <c r="F128" s="2980"/>
      <c r="G128" s="2980"/>
      <c r="H128" s="2980"/>
    </row>
    <row r="129" s="2901" customFormat="1" spans="1:8">
      <c r="A129" s="3087"/>
      <c r="D129" s="2980"/>
      <c r="E129" s="2980"/>
      <c r="F129" s="2980"/>
      <c r="G129" s="2980"/>
      <c r="H129" s="2980"/>
    </row>
    <row r="130" s="2901" customFormat="1" spans="1:8">
      <c r="A130" s="3087"/>
      <c r="D130" s="2980"/>
      <c r="E130" s="2980"/>
      <c r="F130" s="2980"/>
      <c r="G130" s="2980"/>
      <c r="H130" s="2980"/>
    </row>
    <row r="131" s="2901" customFormat="1" spans="1:8">
      <c r="A131" s="3087"/>
      <c r="D131" s="2980"/>
      <c r="E131" s="2980"/>
      <c r="F131" s="2980"/>
      <c r="G131" s="2980"/>
      <c r="H131" s="2980"/>
    </row>
    <row r="132" s="2901" customFormat="1" spans="1:8">
      <c r="A132" s="3087"/>
      <c r="D132" s="2980"/>
      <c r="E132" s="2980"/>
      <c r="F132" s="2980"/>
      <c r="G132" s="2980"/>
      <c r="H132" s="2980"/>
    </row>
    <row r="133" s="2901" customFormat="1" spans="1:8">
      <c r="A133" s="3087"/>
      <c r="D133" s="2980"/>
      <c r="E133" s="2980"/>
      <c r="F133" s="2980"/>
      <c r="G133" s="2980"/>
      <c r="H133" s="2980"/>
    </row>
    <row r="134" s="2901" customFormat="1" spans="1:8">
      <c r="A134" s="3087"/>
      <c r="D134" s="2980"/>
      <c r="E134" s="2980"/>
      <c r="F134" s="2980"/>
      <c r="G134" s="2980"/>
      <c r="H134" s="2980"/>
    </row>
    <row r="135" s="2901" customFormat="1" spans="1:8">
      <c r="A135" s="3087"/>
      <c r="D135" s="2980"/>
      <c r="E135" s="2980"/>
      <c r="F135" s="2980"/>
      <c r="G135" s="2980"/>
      <c r="H135" s="2980"/>
    </row>
    <row r="136" s="2901" customFormat="1" spans="1:8">
      <c r="A136" s="3087"/>
      <c r="D136" s="2980"/>
      <c r="E136" s="2980"/>
      <c r="F136" s="2980"/>
      <c r="G136" s="2980"/>
      <c r="H136" s="2980"/>
    </row>
    <row r="137" s="2901" customFormat="1" spans="1:8">
      <c r="A137" s="3087"/>
      <c r="D137" s="2980"/>
      <c r="E137" s="2980"/>
      <c r="F137" s="2980"/>
      <c r="G137" s="2980"/>
      <c r="H137" s="2980"/>
    </row>
    <row r="138" s="2901" customFormat="1" spans="1:8">
      <c r="A138" s="3087"/>
      <c r="D138" s="2980"/>
      <c r="E138" s="2980"/>
      <c r="F138" s="2980"/>
      <c r="G138" s="2980"/>
      <c r="H138" s="2980"/>
    </row>
    <row r="139" s="2901" customFormat="1" spans="1:8">
      <c r="A139" s="3087"/>
      <c r="D139" s="2980"/>
      <c r="E139" s="2980"/>
      <c r="F139" s="2980"/>
      <c r="G139" s="2980"/>
      <c r="H139" s="2980"/>
    </row>
    <row r="140" s="2901" customFormat="1" spans="1:8">
      <c r="A140" s="3087"/>
      <c r="D140" s="2980"/>
      <c r="E140" s="2980"/>
      <c r="F140" s="2980"/>
      <c r="G140" s="2980"/>
      <c r="H140" s="2980"/>
    </row>
    <row r="141" s="2901" customFormat="1" spans="1:8">
      <c r="A141" s="3087"/>
      <c r="D141" s="2980"/>
      <c r="E141" s="2980"/>
      <c r="F141" s="2980"/>
      <c r="G141" s="2980"/>
      <c r="H141" s="2980"/>
    </row>
    <row r="142" s="2901" customFormat="1" spans="1:8">
      <c r="A142" s="3087"/>
      <c r="D142" s="2980"/>
      <c r="E142" s="2980"/>
      <c r="F142" s="2980"/>
      <c r="G142" s="2980"/>
      <c r="H142" s="2980"/>
    </row>
    <row r="143" s="2901" customFormat="1" spans="1:8">
      <c r="A143" s="3087"/>
      <c r="D143" s="2980"/>
      <c r="E143" s="2980"/>
      <c r="F143" s="2980"/>
      <c r="G143" s="2980"/>
      <c r="H143" s="2980"/>
    </row>
    <row r="144" s="2901" customFormat="1" spans="1:8">
      <c r="A144" s="3087"/>
      <c r="D144" s="2980"/>
      <c r="E144" s="2980"/>
      <c r="F144" s="2980"/>
      <c r="G144" s="2980"/>
      <c r="H144" s="2980"/>
    </row>
    <row r="145" s="2901" customFormat="1" spans="1:8">
      <c r="A145" s="3087"/>
      <c r="D145" s="2980"/>
      <c r="E145" s="2980"/>
      <c r="F145" s="2980"/>
      <c r="G145" s="2980"/>
      <c r="H145" s="2980"/>
    </row>
    <row r="146" s="2901" customFormat="1" spans="1:8">
      <c r="A146" s="3087"/>
      <c r="D146" s="2980"/>
      <c r="E146" s="2980"/>
      <c r="F146" s="2980"/>
      <c r="G146" s="2980"/>
      <c r="H146" s="2980"/>
    </row>
    <row r="147" s="2901" customFormat="1" spans="1:8">
      <c r="A147" s="3087"/>
      <c r="D147" s="2980"/>
      <c r="E147" s="2980"/>
      <c r="F147" s="2980"/>
      <c r="G147" s="2980"/>
      <c r="H147" s="2980"/>
    </row>
    <row r="148" s="2901" customFormat="1" spans="1:8">
      <c r="A148" s="3087"/>
      <c r="D148" s="2980"/>
      <c r="E148" s="2980"/>
      <c r="F148" s="2980"/>
      <c r="G148" s="2980"/>
      <c r="H148" s="2980"/>
    </row>
    <row r="149" s="2901" customFormat="1" spans="1:8">
      <c r="A149" s="3087"/>
      <c r="D149" s="2980"/>
      <c r="E149" s="2980"/>
      <c r="F149" s="2980"/>
      <c r="G149" s="2980"/>
      <c r="H149" s="2980"/>
    </row>
    <row r="150" s="2901" customFormat="1" spans="1:8">
      <c r="A150" s="3087"/>
      <c r="D150" s="2980"/>
      <c r="E150" s="2980"/>
      <c r="F150" s="2980"/>
      <c r="G150" s="2980"/>
      <c r="H150" s="2980"/>
    </row>
    <row r="151" s="2901" customFormat="1" spans="1:8">
      <c r="A151" s="3087"/>
      <c r="D151" s="2980"/>
      <c r="E151" s="2980"/>
      <c r="F151" s="2980"/>
      <c r="G151" s="2980"/>
      <c r="H151" s="2980"/>
    </row>
    <row r="152" s="2901" customFormat="1" spans="1:8">
      <c r="A152" s="3087"/>
      <c r="D152" s="2980"/>
      <c r="E152" s="2980"/>
      <c r="F152" s="2980"/>
      <c r="G152" s="2980"/>
      <c r="H152" s="2980"/>
    </row>
    <row r="153" s="2901" customFormat="1" spans="1:8">
      <c r="A153" s="3087"/>
      <c r="D153" s="2980"/>
      <c r="E153" s="2980"/>
      <c r="F153" s="2980"/>
      <c r="G153" s="2980"/>
      <c r="H153" s="2980"/>
    </row>
    <row r="154" s="2901" customFormat="1" spans="1:8">
      <c r="A154" s="3087"/>
      <c r="D154" s="2980"/>
      <c r="E154" s="2980"/>
      <c r="F154" s="2980"/>
      <c r="G154" s="2980"/>
      <c r="H154" s="2980"/>
    </row>
    <row r="155" s="2901" customFormat="1" spans="1:8">
      <c r="A155" s="3087"/>
      <c r="D155" s="2980"/>
      <c r="E155" s="2980"/>
      <c r="F155" s="2980"/>
      <c r="G155" s="2980"/>
      <c r="H155" s="2980"/>
    </row>
    <row r="156" s="2901" customFormat="1" spans="1:8">
      <c r="A156" s="3087"/>
      <c r="D156" s="2980"/>
      <c r="E156" s="2980"/>
      <c r="F156" s="2980"/>
      <c r="G156" s="2980"/>
      <c r="H156" s="2980"/>
    </row>
    <row r="157" s="2901" customFormat="1" spans="1:8">
      <c r="A157" s="3087"/>
      <c r="D157" s="2980"/>
      <c r="E157" s="2980"/>
      <c r="F157" s="2980"/>
      <c r="G157" s="2980"/>
      <c r="H157" s="2980"/>
    </row>
    <row r="158" spans="1:2">
      <c r="A158" s="3087"/>
      <c r="B158" s="2901"/>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4" customWidth="1"/>
    <col min="2" max="2" width="24.5" style="2905" customWidth="1"/>
    <col min="3" max="3" width="28.375" style="2906" customWidth="1"/>
    <col min="4" max="4" width="2.625" style="2906" customWidth="1"/>
    <col min="5" max="5" width="5.875" style="2906" customWidth="1"/>
    <col min="6" max="6" width="27" style="2905" customWidth="1"/>
    <col min="7" max="7" width="32.375" style="2907" customWidth="1"/>
    <col min="8" max="8" width="11.875" style="2908" customWidth="1"/>
    <col min="9" max="9" width="16.75" style="2909" customWidth="1"/>
    <col min="10" max="10" width="2.625" style="2908" customWidth="1"/>
    <col min="11" max="11" width="11.875" style="2908" customWidth="1"/>
    <col min="12" max="12" width="16.75" style="2909" customWidth="1"/>
    <col min="13" max="13" width="2.625" style="2908" customWidth="1"/>
    <col min="14" max="14" width="11.875" style="2908" customWidth="1"/>
    <col min="15" max="15" width="16.75" style="2909" customWidth="1"/>
    <col min="16" max="16" width="2.625" style="2908" customWidth="1"/>
    <col min="17" max="17" width="11.875" style="2908" customWidth="1"/>
    <col min="18" max="18" width="16.75" style="2910" customWidth="1"/>
    <col min="19" max="29" width="9" style="2903"/>
    <col min="30" max="16384" width="9" style="2904"/>
  </cols>
  <sheetData>
    <row r="1" s="2899" customFormat="1" ht="19.5" spans="1:29">
      <c r="A1" s="2911" t="s">
        <v>548</v>
      </c>
      <c r="B1" s="2912"/>
      <c r="C1" s="2912"/>
      <c r="D1" s="2912"/>
      <c r="E1" s="2912"/>
      <c r="F1" s="2912"/>
      <c r="G1" s="2912"/>
      <c r="H1" s="2913"/>
      <c r="I1" s="2965"/>
      <c r="J1" s="2913"/>
      <c r="K1" s="2913"/>
      <c r="L1" s="2965"/>
      <c r="M1" s="2913"/>
      <c r="N1" s="2913"/>
      <c r="O1" s="2965"/>
      <c r="P1" s="2913"/>
      <c r="Q1" s="2973"/>
      <c r="R1" s="2974"/>
      <c r="S1" s="2975"/>
      <c r="T1" s="2975"/>
      <c r="U1" s="2975"/>
      <c r="V1" s="2975"/>
      <c r="W1" s="2975"/>
      <c r="X1" s="2975"/>
      <c r="Y1" s="2975"/>
      <c r="Z1" s="2975"/>
      <c r="AA1" s="2975"/>
      <c r="AB1" s="2975"/>
      <c r="AC1" s="2975"/>
    </row>
    <row r="2" s="2900" customFormat="1" ht="13.5" spans="1:29">
      <c r="A2" s="2914"/>
      <c r="B2" s="2915"/>
      <c r="C2" s="2916" t="s">
        <v>549</v>
      </c>
      <c r="D2" s="2917"/>
      <c r="E2" s="2914"/>
      <c r="F2" s="2918"/>
      <c r="G2" s="2916" t="s">
        <v>550</v>
      </c>
      <c r="H2" s="2902"/>
      <c r="I2" s="2902"/>
      <c r="J2" s="2902"/>
      <c r="K2" s="2902"/>
      <c r="L2" s="2902"/>
      <c r="M2" s="2902"/>
      <c r="N2" s="2902"/>
      <c r="O2" s="2902"/>
      <c r="P2" s="2902"/>
      <c r="Q2" s="2902"/>
      <c r="R2" s="2902"/>
      <c r="S2" s="2902"/>
      <c r="T2" s="2902"/>
      <c r="U2" s="2902"/>
      <c r="V2" s="2902"/>
      <c r="W2" s="2902"/>
      <c r="X2" s="2902"/>
      <c r="Y2" s="2902"/>
      <c r="Z2" s="2902"/>
      <c r="AA2" s="2902"/>
      <c r="AB2" s="2902"/>
      <c r="AC2" s="2902"/>
    </row>
    <row r="3" s="2900" customFormat="1" ht="36" spans="1:29">
      <c r="A3" s="2919" t="s">
        <v>551</v>
      </c>
      <c r="B3" s="2920" t="s">
        <v>552</v>
      </c>
      <c r="C3" s="2921" t="s">
        <v>553</v>
      </c>
      <c r="D3" s="2922"/>
      <c r="E3" s="2923" t="s">
        <v>551</v>
      </c>
      <c r="F3" s="2924" t="s">
        <v>554</v>
      </c>
      <c r="G3" s="2925" t="s">
        <v>555</v>
      </c>
      <c r="H3" s="2902"/>
      <c r="I3" s="2902"/>
      <c r="J3" s="2902"/>
      <c r="K3" s="2902"/>
      <c r="L3" s="2902"/>
      <c r="M3" s="2902"/>
      <c r="N3" s="2902"/>
      <c r="O3" s="2902"/>
      <c r="P3" s="2902"/>
      <c r="Q3" s="2902"/>
      <c r="R3" s="2902"/>
      <c r="S3" s="2902"/>
      <c r="T3" s="2902"/>
      <c r="U3" s="2902"/>
      <c r="V3" s="2902"/>
      <c r="W3" s="2902"/>
      <c r="X3" s="2902"/>
      <c r="Y3" s="2902"/>
      <c r="Z3" s="2902"/>
      <c r="AA3" s="2902"/>
      <c r="AB3" s="2902"/>
      <c r="AC3" s="2902"/>
    </row>
    <row r="4" s="2900" customFormat="1" ht="24.75" spans="1:29">
      <c r="A4" s="2923"/>
      <c r="B4" s="1985" t="s">
        <v>556</v>
      </c>
      <c r="C4" s="2926" t="s">
        <v>557</v>
      </c>
      <c r="D4" s="2922"/>
      <c r="E4" s="2927"/>
      <c r="F4" s="2548" t="s">
        <v>558</v>
      </c>
      <c r="G4" s="2928" t="s">
        <v>559</v>
      </c>
      <c r="H4" s="2902"/>
      <c r="I4" s="2902"/>
      <c r="J4" s="2902"/>
      <c r="K4" s="2902"/>
      <c r="L4" s="2902"/>
      <c r="M4" s="2902"/>
      <c r="N4" s="2902"/>
      <c r="O4" s="2902"/>
      <c r="P4" s="2902"/>
      <c r="Q4" s="2902"/>
      <c r="R4" s="2902"/>
      <c r="S4" s="2902"/>
      <c r="T4" s="2902"/>
      <c r="U4" s="2902"/>
      <c r="V4" s="2902"/>
      <c r="W4" s="2902"/>
      <c r="X4" s="2902"/>
      <c r="Y4" s="2902"/>
      <c r="Z4" s="2902"/>
      <c r="AA4" s="2902"/>
      <c r="AB4" s="2902"/>
      <c r="AC4" s="2902"/>
    </row>
    <row r="5" s="2900" customFormat="1" ht="24.75" spans="1:29">
      <c r="A5" s="2923"/>
      <c r="B5" s="1985" t="s">
        <v>560</v>
      </c>
      <c r="C5" s="2926" t="s">
        <v>561</v>
      </c>
      <c r="D5" s="2922"/>
      <c r="E5" s="2927"/>
      <c r="F5" s="1985" t="s">
        <v>562</v>
      </c>
      <c r="G5" s="2928" t="s">
        <v>563</v>
      </c>
      <c r="H5" s="2902"/>
      <c r="I5" s="2902"/>
      <c r="J5" s="2902"/>
      <c r="K5" s="2902"/>
      <c r="L5" s="2902"/>
      <c r="M5" s="2902"/>
      <c r="N5" s="2902"/>
      <c r="O5" s="2902"/>
      <c r="P5" s="2902"/>
      <c r="Q5" s="2902"/>
      <c r="R5" s="2902"/>
      <c r="S5" s="2902"/>
      <c r="T5" s="2902"/>
      <c r="U5" s="2902"/>
      <c r="V5" s="2902"/>
      <c r="W5" s="2902"/>
      <c r="X5" s="2902"/>
      <c r="Y5" s="2902"/>
      <c r="Z5" s="2902"/>
      <c r="AA5" s="2902"/>
      <c r="AB5" s="2902"/>
      <c r="AC5" s="2902"/>
    </row>
    <row r="6" s="2900" customFormat="1" ht="36" spans="1:29">
      <c r="A6" s="2923"/>
      <c r="B6" s="1985" t="s">
        <v>558</v>
      </c>
      <c r="C6" s="2928" t="s">
        <v>559</v>
      </c>
      <c r="D6" s="2922"/>
      <c r="E6" s="2927"/>
      <c r="F6" s="1985" t="s">
        <v>564</v>
      </c>
      <c r="G6" s="2928" t="s">
        <v>565</v>
      </c>
      <c r="H6" s="2902"/>
      <c r="I6" s="2902"/>
      <c r="J6" s="2902"/>
      <c r="K6" s="2902"/>
      <c r="L6" s="2902"/>
      <c r="M6" s="2902"/>
      <c r="N6" s="2902"/>
      <c r="O6" s="2902"/>
      <c r="P6" s="2902"/>
      <c r="Q6" s="2902"/>
      <c r="R6" s="2902"/>
      <c r="S6" s="2902"/>
      <c r="T6" s="2902"/>
      <c r="U6" s="2902"/>
      <c r="V6" s="2902"/>
      <c r="W6" s="2902"/>
      <c r="X6" s="2902"/>
      <c r="Y6" s="2902"/>
      <c r="Z6" s="2902"/>
      <c r="AA6" s="2902"/>
      <c r="AB6" s="2902"/>
      <c r="AC6" s="2902"/>
    </row>
    <row r="7" s="2900" customFormat="1" ht="24.75" spans="1:29">
      <c r="A7" s="2923"/>
      <c r="B7" s="1985" t="s">
        <v>562</v>
      </c>
      <c r="C7" s="2928" t="s">
        <v>563</v>
      </c>
      <c r="D7" s="2552"/>
      <c r="E7" s="2929"/>
      <c r="F7" s="2930" t="s">
        <v>566</v>
      </c>
      <c r="G7" s="2931" t="s">
        <v>567</v>
      </c>
      <c r="H7" s="2902"/>
      <c r="I7" s="2902"/>
      <c r="J7" s="2902"/>
      <c r="K7" s="2902"/>
      <c r="L7" s="2902"/>
      <c r="M7" s="2902"/>
      <c r="N7" s="2902"/>
      <c r="O7" s="2902"/>
      <c r="P7" s="2902"/>
      <c r="Q7" s="2902"/>
      <c r="R7" s="2902"/>
      <c r="S7" s="2902"/>
      <c r="T7" s="2902"/>
      <c r="U7" s="2902"/>
      <c r="V7" s="2902"/>
      <c r="W7" s="2902"/>
      <c r="X7" s="2902"/>
      <c r="Y7" s="2902"/>
      <c r="Z7" s="2902"/>
      <c r="AA7" s="2902"/>
      <c r="AB7" s="2902"/>
      <c r="AC7" s="2902"/>
    </row>
    <row r="8" s="2900" customFormat="1" ht="12.75" spans="1:29">
      <c r="A8" s="2923"/>
      <c r="B8" s="1985" t="s">
        <v>564</v>
      </c>
      <c r="C8" s="2928" t="s">
        <v>565</v>
      </c>
      <c r="D8" s="2552"/>
      <c r="E8" s="2552"/>
      <c r="F8" s="2560"/>
      <c r="G8" s="2560"/>
      <c r="H8" s="2902"/>
      <c r="I8" s="2902"/>
      <c r="J8" s="2902"/>
      <c r="K8" s="2902"/>
      <c r="L8" s="2902"/>
      <c r="M8" s="2902"/>
      <c r="N8" s="2902"/>
      <c r="O8" s="2902"/>
      <c r="P8" s="2902"/>
      <c r="Q8" s="2902"/>
      <c r="R8" s="2902"/>
      <c r="S8" s="2902"/>
      <c r="T8" s="2902"/>
      <c r="U8" s="2902"/>
      <c r="V8" s="2902"/>
      <c r="W8" s="2902"/>
      <c r="X8" s="2902"/>
      <c r="Y8" s="2902"/>
      <c r="Z8" s="2902"/>
      <c r="AA8" s="2902"/>
      <c r="AB8" s="2902"/>
      <c r="AC8" s="2902"/>
    </row>
    <row r="9" s="2900" customFormat="1" ht="24" spans="1:29">
      <c r="A9" s="2923"/>
      <c r="B9" s="1985" t="s">
        <v>568</v>
      </c>
      <c r="C9" s="2926" t="s">
        <v>569</v>
      </c>
      <c r="D9" s="2922"/>
      <c r="E9" s="2552"/>
      <c r="F9" s="2560"/>
      <c r="G9" s="2560"/>
      <c r="H9" s="2902"/>
      <c r="I9" s="2902"/>
      <c r="J9" s="2902"/>
      <c r="K9" s="2902"/>
      <c r="L9" s="2902"/>
      <c r="M9" s="2902"/>
      <c r="N9" s="2902"/>
      <c r="O9" s="2902"/>
      <c r="P9" s="2902"/>
      <c r="Q9" s="2902"/>
      <c r="R9" s="2902"/>
      <c r="S9" s="2902"/>
      <c r="T9" s="2902"/>
      <c r="U9" s="2902"/>
      <c r="V9" s="2902"/>
      <c r="W9" s="2902"/>
      <c r="X9" s="2902"/>
      <c r="Y9" s="2902"/>
      <c r="Z9" s="2902"/>
      <c r="AA9" s="2902"/>
      <c r="AB9" s="2902"/>
      <c r="AC9" s="2902"/>
    </row>
    <row r="10" s="2901" customFormat="1" ht="13.5" spans="1:29">
      <c r="A10" s="2932"/>
      <c r="B10" s="2554" t="s">
        <v>570</v>
      </c>
      <c r="C10" s="2933"/>
      <c r="D10" s="2922"/>
      <c r="E10" s="2922"/>
      <c r="F10" s="2560"/>
      <c r="G10" s="2560"/>
      <c r="H10" s="2775"/>
      <c r="I10" s="2966"/>
      <c r="J10" s="2967"/>
      <c r="K10" s="2775"/>
      <c r="L10" s="2966"/>
      <c r="M10" s="2967"/>
      <c r="N10" s="2775"/>
      <c r="O10" s="2966"/>
      <c r="P10" s="2967"/>
      <c r="Q10" s="2775"/>
      <c r="R10" s="2966"/>
      <c r="S10" s="2902"/>
      <c r="T10" s="2902"/>
      <c r="U10" s="2902"/>
      <c r="V10" s="2902"/>
      <c r="W10" s="2902"/>
      <c r="X10" s="2902"/>
      <c r="Y10" s="2902"/>
      <c r="Z10" s="2902"/>
      <c r="AA10" s="2902"/>
      <c r="AB10" s="2902"/>
      <c r="AC10" s="2902"/>
    </row>
    <row r="11" s="2901" customFormat="1" ht="12.75" spans="1:29">
      <c r="A11" s="2934"/>
      <c r="B11" s="2552"/>
      <c r="C11" s="2922"/>
      <c r="D11" s="2922"/>
      <c r="E11" s="2922"/>
      <c r="F11" s="2552"/>
      <c r="G11" s="2935"/>
      <c r="H11" s="2775"/>
      <c r="I11" s="2966"/>
      <c r="J11" s="2967"/>
      <c r="K11" s="2775"/>
      <c r="L11" s="2966"/>
      <c r="M11" s="2967"/>
      <c r="N11" s="2775"/>
      <c r="O11" s="2966"/>
      <c r="P11" s="2967"/>
      <c r="Q11" s="2775"/>
      <c r="R11" s="2966"/>
      <c r="S11" s="2902"/>
      <c r="T11" s="2902"/>
      <c r="U11" s="2902"/>
      <c r="V11" s="2902"/>
      <c r="W11" s="2902"/>
      <c r="X11" s="2902"/>
      <c r="Y11" s="2902"/>
      <c r="Z11" s="2902"/>
      <c r="AA11" s="2902"/>
      <c r="AB11" s="2902"/>
      <c r="AC11" s="2902"/>
    </row>
    <row r="12" s="2899" customFormat="1" ht="18" spans="1:29">
      <c r="A12" s="2936"/>
      <c r="B12" s="2937"/>
      <c r="C12" s="2938"/>
      <c r="D12" s="2939"/>
      <c r="E12" s="2938"/>
      <c r="F12" s="2937"/>
      <c r="G12" s="2366"/>
      <c r="H12" s="2940"/>
      <c r="I12" s="2968"/>
      <c r="J12" s="2940"/>
      <c r="K12" s="2940"/>
      <c r="L12" s="2969"/>
      <c r="M12" s="2940"/>
      <c r="N12" s="2970"/>
      <c r="O12" s="2971"/>
      <c r="P12" s="2970"/>
      <c r="Q12" s="2970"/>
      <c r="R12" s="2974"/>
      <c r="S12" s="2975"/>
      <c r="T12" s="2975"/>
      <c r="U12" s="2975"/>
      <c r="V12" s="2975"/>
      <c r="W12" s="2975"/>
      <c r="X12" s="2975"/>
      <c r="Y12" s="2975"/>
      <c r="Z12" s="2975"/>
      <c r="AA12" s="2975"/>
      <c r="AB12" s="2975"/>
      <c r="AC12" s="2975"/>
    </row>
    <row r="13" ht="19.5" spans="1:7">
      <c r="A13" s="2941" t="s">
        <v>571</v>
      </c>
      <c r="B13" s="2939"/>
      <c r="C13" s="2939"/>
      <c r="D13" s="2942"/>
      <c r="E13" s="2939"/>
      <c r="F13" s="2939"/>
      <c r="G13" s="2939"/>
    </row>
    <row r="14" s="2900" customFormat="1" ht="13.5" spans="1:29">
      <c r="A14" s="2943"/>
      <c r="B14" s="2943"/>
      <c r="C14" s="2944" t="s">
        <v>549</v>
      </c>
      <c r="D14" s="2922"/>
      <c r="E14" s="2945"/>
      <c r="F14" s="2945"/>
      <c r="G14" s="2916" t="s">
        <v>550</v>
      </c>
      <c r="H14" s="2946"/>
      <c r="I14" s="2972"/>
      <c r="J14" s="2946"/>
      <c r="K14" s="2946"/>
      <c r="L14" s="2972"/>
      <c r="M14" s="2946"/>
      <c r="N14" s="2946"/>
      <c r="O14" s="2972"/>
      <c r="P14" s="2946"/>
      <c r="Q14" s="2946"/>
      <c r="R14" s="2976"/>
      <c r="S14" s="2902"/>
      <c r="T14" s="2902"/>
      <c r="U14" s="2902"/>
      <c r="V14" s="2902"/>
      <c r="W14" s="2902"/>
      <c r="X14" s="2902"/>
      <c r="Y14" s="2902"/>
      <c r="Z14" s="2902"/>
      <c r="AA14" s="2902"/>
      <c r="AB14" s="2902"/>
      <c r="AC14" s="2902"/>
    </row>
    <row r="15" s="2900" customFormat="1" ht="36" spans="1:29">
      <c r="A15" s="2947" t="s">
        <v>551</v>
      </c>
      <c r="B15" s="2948" t="s">
        <v>552</v>
      </c>
      <c r="C15" s="2949" t="str">
        <f>C3</f>
        <v>估价对象周边居住用地比例、居住小区规模和社区发展完善程度，综合评价居住社区成熟度一般</v>
      </c>
      <c r="D15" s="2922"/>
      <c r="E15" s="2950" t="s">
        <v>551</v>
      </c>
      <c r="F15" s="2948" t="s">
        <v>554</v>
      </c>
      <c r="G15" s="2951" t="str">
        <f>G3</f>
        <v>估价对象位于XX开发区，园区建设成熟度XX，产业集聚程度XX</v>
      </c>
      <c r="H15" s="2946"/>
      <c r="I15" s="2972"/>
      <c r="J15" s="2946"/>
      <c r="K15" s="2946"/>
      <c r="L15" s="2972"/>
      <c r="M15" s="2946"/>
      <c r="N15" s="2946"/>
      <c r="O15" s="2972"/>
      <c r="P15" s="2946"/>
      <c r="Q15" s="2946"/>
      <c r="R15" s="2976"/>
      <c r="S15" s="2902"/>
      <c r="T15" s="2902"/>
      <c r="U15" s="2902"/>
      <c r="V15" s="2902"/>
      <c r="W15" s="2902"/>
      <c r="X15" s="2902"/>
      <c r="Y15" s="2902"/>
      <c r="Z15" s="2902"/>
      <c r="AA15" s="2902"/>
      <c r="AB15" s="2902"/>
      <c r="AC15" s="2902"/>
    </row>
    <row r="16" s="2900" customFormat="1" ht="24.75" spans="1:29">
      <c r="A16" s="2952"/>
      <c r="B16" s="2543" t="s">
        <v>556</v>
      </c>
      <c r="C16" s="2953" t="str">
        <f>C4</f>
        <v>估价对象位于XX商圈，周边商业氛围成熟，人流量大，商业繁华度好</v>
      </c>
      <c r="D16" s="2922"/>
      <c r="E16" s="2954"/>
      <c r="F16" s="2545" t="s">
        <v>558</v>
      </c>
      <c r="G16" s="2955" t="str">
        <f>G4</f>
        <v>估价对象周边道路状况、公共交通通达情况、停车便捷程度，综合评价交通便捷度较好</v>
      </c>
      <c r="H16" s="2946"/>
      <c r="I16" s="2972"/>
      <c r="J16" s="2946"/>
      <c r="K16" s="2946"/>
      <c r="L16" s="2972"/>
      <c r="M16" s="2946"/>
      <c r="N16" s="2946"/>
      <c r="O16" s="2972"/>
      <c r="P16" s="2946"/>
      <c r="Q16" s="2946"/>
      <c r="R16" s="2976"/>
      <c r="S16" s="2902"/>
      <c r="T16" s="2902"/>
      <c r="U16" s="2902"/>
      <c r="V16" s="2902"/>
      <c r="W16" s="2902"/>
      <c r="X16" s="2902"/>
      <c r="Y16" s="2902"/>
      <c r="Z16" s="2902"/>
      <c r="AA16" s="2902"/>
      <c r="AB16" s="2902"/>
      <c r="AC16" s="2902"/>
    </row>
    <row r="17" s="2900" customFormat="1" ht="24.75" spans="1:29">
      <c r="A17" s="2952"/>
      <c r="B17" s="2543" t="s">
        <v>560</v>
      </c>
      <c r="C17" s="2953" t="str">
        <f>C5</f>
        <v>估价对象位于XX商圈，周边办公楼项目较多，入驻率高，办公集聚程度较好</v>
      </c>
      <c r="D17" s="2552"/>
      <c r="E17" s="2954"/>
      <c r="F17" s="2545" t="s">
        <v>572</v>
      </c>
      <c r="G17" s="2956"/>
      <c r="H17" s="2946"/>
      <c r="I17" s="2972"/>
      <c r="J17" s="2946"/>
      <c r="K17" s="2946"/>
      <c r="L17" s="2972"/>
      <c r="M17" s="2946"/>
      <c r="N17" s="2946"/>
      <c r="O17" s="2972"/>
      <c r="P17" s="2946"/>
      <c r="Q17" s="2946"/>
      <c r="R17" s="2976"/>
      <c r="S17" s="2902"/>
      <c r="T17" s="2902"/>
      <c r="U17" s="2902"/>
      <c r="V17" s="2902"/>
      <c r="W17" s="2902"/>
      <c r="X17" s="2902"/>
      <c r="Y17" s="2902"/>
      <c r="Z17" s="2902"/>
      <c r="AA17" s="2902"/>
      <c r="AB17" s="2902"/>
      <c r="AC17" s="2902"/>
    </row>
    <row r="18" s="2900" customFormat="1" ht="36" spans="1:29">
      <c r="A18" s="2952"/>
      <c r="B18" s="2545" t="s">
        <v>558</v>
      </c>
      <c r="C18" s="2955" t="str">
        <f>C6</f>
        <v>估价对象周边道路状况、公共交通通达情况、停车便捷程度，综合评价交通便捷度较好</v>
      </c>
      <c r="D18" s="2552"/>
      <c r="E18" s="2954"/>
      <c r="F18" s="2545" t="s">
        <v>566</v>
      </c>
      <c r="G18" s="2955" t="str">
        <f>G7</f>
        <v>该园区内是否有污染型企业，绿化情况，卫生条件，整体环境状况判断</v>
      </c>
      <c r="H18" s="2946"/>
      <c r="I18" s="2972"/>
      <c r="J18" s="2946"/>
      <c r="K18" s="2946"/>
      <c r="L18" s="2972"/>
      <c r="M18" s="2946"/>
      <c r="N18" s="2946"/>
      <c r="O18" s="2972"/>
      <c r="P18" s="2946"/>
      <c r="Q18" s="2946"/>
      <c r="R18" s="2976"/>
      <c r="S18" s="2902"/>
      <c r="T18" s="2902"/>
      <c r="U18" s="2902"/>
      <c r="V18" s="2902"/>
      <c r="W18" s="2902"/>
      <c r="X18" s="2902"/>
      <c r="Y18" s="2902"/>
      <c r="Z18" s="2902"/>
      <c r="AA18" s="2902"/>
      <c r="AB18" s="2902"/>
      <c r="AC18" s="2902"/>
    </row>
    <row r="19" s="2900" customFormat="1" ht="12.75" spans="1:29">
      <c r="A19" s="2952"/>
      <c r="B19" s="2545" t="s">
        <v>572</v>
      </c>
      <c r="C19" s="2956"/>
      <c r="D19" s="2922"/>
      <c r="E19" s="2954"/>
      <c r="F19" s="1985" t="s">
        <v>562</v>
      </c>
      <c r="G19" s="2955" t="str">
        <f>G5</f>
        <v>估价对象所在区域公共配套设施齐备情况</v>
      </c>
      <c r="H19" s="2946"/>
      <c r="I19" s="2972"/>
      <c r="J19" s="2946"/>
      <c r="K19" s="2946"/>
      <c r="L19" s="2972"/>
      <c r="M19" s="2946"/>
      <c r="N19" s="2946"/>
      <c r="O19" s="2972"/>
      <c r="P19" s="2946"/>
      <c r="Q19" s="2946"/>
      <c r="R19" s="2976"/>
      <c r="S19" s="2902"/>
      <c r="T19" s="2902"/>
      <c r="U19" s="2902"/>
      <c r="V19" s="2902"/>
      <c r="W19" s="2902"/>
      <c r="X19" s="2902"/>
      <c r="Y19" s="2902"/>
      <c r="Z19" s="2902"/>
      <c r="AA19" s="2902"/>
      <c r="AB19" s="2902"/>
      <c r="AC19" s="2902"/>
    </row>
    <row r="20" s="2900" customFormat="1" ht="24" spans="1:29">
      <c r="A20" s="2952"/>
      <c r="B20" s="2545" t="s">
        <v>573</v>
      </c>
      <c r="C20" s="2953" t="str">
        <f>C9</f>
        <v>区域自然环境：；人文环境；综合评价环境状况一般</v>
      </c>
      <c r="D20" s="2552"/>
      <c r="E20" s="2954"/>
      <c r="F20" s="1985" t="s">
        <v>564</v>
      </c>
      <c r="G20" s="2955" t="str">
        <f>G6</f>
        <v>估价对象所在区域基础设施水平</v>
      </c>
      <c r="H20" s="2946"/>
      <c r="I20" s="2972"/>
      <c r="J20" s="2946"/>
      <c r="K20" s="2946"/>
      <c r="L20" s="2972"/>
      <c r="M20" s="2946"/>
      <c r="N20" s="2946"/>
      <c r="O20" s="2972"/>
      <c r="P20" s="2946"/>
      <c r="Q20" s="2946"/>
      <c r="R20" s="2976"/>
      <c r="S20" s="2902"/>
      <c r="T20" s="2902"/>
      <c r="U20" s="2902"/>
      <c r="V20" s="2902"/>
      <c r="W20" s="2902"/>
      <c r="X20" s="2902"/>
      <c r="Y20" s="2902"/>
      <c r="Z20" s="2902"/>
      <c r="AA20" s="2902"/>
      <c r="AB20" s="2902"/>
      <c r="AC20" s="2902"/>
    </row>
    <row r="21" s="2900" customFormat="1" ht="24" spans="1:29">
      <c r="A21" s="2952"/>
      <c r="B21" s="1985" t="s">
        <v>562</v>
      </c>
      <c r="C21" s="2955" t="str">
        <f>C7</f>
        <v>估价对象所在区域公共配套设施齐备情况</v>
      </c>
      <c r="D21" s="2922"/>
      <c r="E21" s="2954"/>
      <c r="F21" s="2545" t="s">
        <v>574</v>
      </c>
      <c r="G21" s="2957"/>
      <c r="H21" s="2946"/>
      <c r="I21" s="2972"/>
      <c r="J21" s="2946"/>
      <c r="K21" s="2946"/>
      <c r="L21" s="2972"/>
      <c r="M21" s="2946"/>
      <c r="N21" s="2946"/>
      <c r="O21" s="2972"/>
      <c r="P21" s="2946"/>
      <c r="Q21" s="2946"/>
      <c r="R21" s="2976"/>
      <c r="S21" s="2902"/>
      <c r="T21" s="2902"/>
      <c r="U21" s="2902"/>
      <c r="V21" s="2902"/>
      <c r="W21" s="2902"/>
      <c r="X21" s="2902"/>
      <c r="Y21" s="2902"/>
      <c r="Z21" s="2902"/>
      <c r="AA21" s="2902"/>
      <c r="AB21" s="2902"/>
      <c r="AC21" s="2902"/>
    </row>
    <row r="22" s="2900" customFormat="1" ht="12.75" spans="1:29">
      <c r="A22" s="2952"/>
      <c r="B22" s="1985" t="s">
        <v>564</v>
      </c>
      <c r="C22" s="2955" t="str">
        <f>C8</f>
        <v>估价对象所在区域基础设施水平</v>
      </c>
      <c r="D22" s="2922"/>
      <c r="E22" s="2954"/>
      <c r="F22" s="2545" t="s">
        <v>570</v>
      </c>
      <c r="G22" s="2958"/>
      <c r="H22" s="2946"/>
      <c r="I22" s="2972"/>
      <c r="J22" s="2946"/>
      <c r="K22" s="2946"/>
      <c r="L22" s="2972"/>
      <c r="M22" s="2946"/>
      <c r="N22" s="2946"/>
      <c r="O22" s="2972"/>
      <c r="P22" s="2946"/>
      <c r="Q22" s="2946"/>
      <c r="R22" s="2976"/>
      <c r="S22" s="2902"/>
      <c r="T22" s="2902"/>
      <c r="U22" s="2902"/>
      <c r="V22" s="2902"/>
      <c r="W22" s="2902"/>
      <c r="X22" s="2902"/>
      <c r="Y22" s="2902"/>
      <c r="Z22" s="2902"/>
      <c r="AA22" s="2902"/>
      <c r="AB22" s="2902"/>
      <c r="AC22" s="2902"/>
    </row>
    <row r="23" s="2902" customFormat="1" ht="13.5" spans="1:18">
      <c r="A23" s="2952"/>
      <c r="B23" s="2545" t="s">
        <v>574</v>
      </c>
      <c r="C23" s="2957"/>
      <c r="D23" s="2946"/>
      <c r="E23" s="2959"/>
      <c r="F23" s="2553" t="s">
        <v>351</v>
      </c>
      <c r="G23" s="2960"/>
      <c r="H23" s="2946"/>
      <c r="I23" s="2972"/>
      <c r="J23" s="2946"/>
      <c r="K23" s="2946"/>
      <c r="L23" s="2972"/>
      <c r="M23" s="2946"/>
      <c r="N23" s="2946"/>
      <c r="O23" s="2972"/>
      <c r="P23" s="2946"/>
      <c r="Q23" s="2946"/>
      <c r="R23" s="2976"/>
    </row>
    <row r="24" s="2902" customFormat="1" ht="13.5" spans="1:18">
      <c r="A24" s="2961"/>
      <c r="B24" s="2553" t="s">
        <v>570</v>
      </c>
      <c r="C24" s="2962">
        <f>C10</f>
        <v>0</v>
      </c>
      <c r="D24" s="2946"/>
      <c r="E24" s="2963"/>
      <c r="F24" s="2963"/>
      <c r="G24" s="2964"/>
      <c r="H24" s="2946"/>
      <c r="I24" s="2972"/>
      <c r="J24" s="2946"/>
      <c r="K24" s="2946"/>
      <c r="L24" s="2972"/>
      <c r="M24" s="2946"/>
      <c r="N24" s="2946"/>
      <c r="O24" s="2972"/>
      <c r="P24" s="2946"/>
      <c r="Q24" s="2946"/>
      <c r="R24" s="2976"/>
    </row>
    <row r="25" s="2903" customFormat="1" spans="2:18">
      <c r="B25" s="2908"/>
      <c r="C25" s="2908"/>
      <c r="D25" s="2908"/>
      <c r="H25" s="2908"/>
      <c r="I25" s="2909"/>
      <c r="J25" s="2908"/>
      <c r="K25" s="2908"/>
      <c r="L25" s="2909"/>
      <c r="M25" s="2908"/>
      <c r="N25" s="2908"/>
      <c r="O25" s="2909"/>
      <c r="P25" s="2908"/>
      <c r="Q25" s="2908"/>
      <c r="R25" s="2910"/>
    </row>
    <row r="26" s="2903" customFormat="1" spans="2:18">
      <c r="B26" s="2908"/>
      <c r="C26" s="2908"/>
      <c r="D26" s="2908"/>
      <c r="H26" s="2908"/>
      <c r="I26" s="2909"/>
      <c r="J26" s="2908"/>
      <c r="K26" s="2908"/>
      <c r="L26" s="2909"/>
      <c r="M26" s="2908"/>
      <c r="N26" s="2908"/>
      <c r="O26" s="2909"/>
      <c r="P26" s="2908"/>
      <c r="Q26" s="2908"/>
      <c r="R26" s="2910"/>
    </row>
    <row r="27" s="2903" customFormat="1" spans="2:18">
      <c r="B27" s="2908"/>
      <c r="C27" s="2908"/>
      <c r="D27" s="2908"/>
      <c r="H27" s="2908"/>
      <c r="I27" s="2909"/>
      <c r="J27" s="2908"/>
      <c r="K27" s="2908"/>
      <c r="L27" s="2909"/>
      <c r="M27" s="2908"/>
      <c r="N27" s="2908"/>
      <c r="O27" s="2909"/>
      <c r="P27" s="2908"/>
      <c r="Q27" s="2908"/>
      <c r="R27" s="2910"/>
    </row>
    <row r="28" s="2903" customFormat="1" spans="2:18">
      <c r="B28" s="2908"/>
      <c r="C28" s="2908"/>
      <c r="D28" s="2908"/>
      <c r="H28" s="2908"/>
      <c r="I28" s="2909"/>
      <c r="J28" s="2908"/>
      <c r="K28" s="2908"/>
      <c r="L28" s="2909"/>
      <c r="M28" s="2908"/>
      <c r="N28" s="2908"/>
      <c r="O28" s="2909"/>
      <c r="P28" s="2908"/>
      <c r="Q28" s="2908"/>
      <c r="R28" s="2910"/>
    </row>
    <row r="29" s="2903" customFormat="1" spans="2:18">
      <c r="B29" s="2908"/>
      <c r="C29" s="2908"/>
      <c r="D29" s="2908"/>
      <c r="H29" s="2908"/>
      <c r="I29" s="2909"/>
      <c r="J29" s="2908"/>
      <c r="K29" s="2908"/>
      <c r="L29" s="2909"/>
      <c r="M29" s="2908"/>
      <c r="N29" s="2908"/>
      <c r="O29" s="2909"/>
      <c r="P29" s="2908"/>
      <c r="Q29" s="2908"/>
      <c r="R29" s="2910"/>
    </row>
    <row r="30" s="2903" customFormat="1" spans="2:18">
      <c r="B30" s="2908"/>
      <c r="C30" s="2908"/>
      <c r="D30" s="2908"/>
      <c r="H30" s="2908"/>
      <c r="I30" s="2909"/>
      <c r="J30" s="2908"/>
      <c r="K30" s="2908"/>
      <c r="L30" s="2909"/>
      <c r="M30" s="2908"/>
      <c r="N30" s="2908"/>
      <c r="O30" s="2909"/>
      <c r="P30" s="2908"/>
      <c r="Q30" s="2908"/>
      <c r="R30" s="2910"/>
    </row>
    <row r="31" s="2903" customFormat="1" spans="2:18">
      <c r="B31" s="2908"/>
      <c r="C31" s="2908"/>
      <c r="D31" s="2908"/>
      <c r="H31" s="2908"/>
      <c r="I31" s="2909"/>
      <c r="J31" s="2908"/>
      <c r="K31" s="2908"/>
      <c r="L31" s="2909"/>
      <c r="M31" s="2908"/>
      <c r="N31" s="2908"/>
      <c r="O31" s="2909"/>
      <c r="P31" s="2908"/>
      <c r="Q31" s="2908"/>
      <c r="R31" s="2910"/>
    </row>
    <row r="32" s="2903" customFormat="1" spans="2:18">
      <c r="B32" s="2908"/>
      <c r="C32" s="2908"/>
      <c r="D32" s="2908"/>
      <c r="H32" s="2908"/>
      <c r="I32" s="2909"/>
      <c r="J32" s="2908"/>
      <c r="K32" s="2908"/>
      <c r="L32" s="2909"/>
      <c r="M32" s="2908"/>
      <c r="N32" s="2908"/>
      <c r="O32" s="2909"/>
      <c r="P32" s="2908"/>
      <c r="Q32" s="2908"/>
      <c r="R32" s="2910"/>
    </row>
    <row r="33" s="2903" customFormat="1" spans="2:18">
      <c r="B33" s="2908"/>
      <c r="C33" s="2908"/>
      <c r="D33" s="2908"/>
      <c r="H33" s="2908"/>
      <c r="I33" s="2909"/>
      <c r="J33" s="2908"/>
      <c r="K33" s="2908"/>
      <c r="L33" s="2909"/>
      <c r="M33" s="2908"/>
      <c r="N33" s="2908"/>
      <c r="O33" s="2909"/>
      <c r="P33" s="2908"/>
      <c r="Q33" s="2908"/>
      <c r="R33" s="2910"/>
    </row>
    <row r="34" s="2903" customFormat="1" spans="2:18">
      <c r="B34" s="2908"/>
      <c r="C34" s="2908"/>
      <c r="D34" s="2908"/>
      <c r="H34" s="2908"/>
      <c r="I34" s="2909"/>
      <c r="J34" s="2908"/>
      <c r="K34" s="2908"/>
      <c r="L34" s="2909"/>
      <c r="M34" s="2908"/>
      <c r="N34" s="2908"/>
      <c r="O34" s="2909"/>
      <c r="P34" s="2908"/>
      <c r="Q34" s="2908"/>
      <c r="R34" s="2910"/>
    </row>
    <row r="35" s="2903" customFormat="1" spans="2:18">
      <c r="B35" s="2908"/>
      <c r="C35" s="2908"/>
      <c r="D35" s="2908"/>
      <c r="H35" s="2908"/>
      <c r="I35" s="2909"/>
      <c r="J35" s="2908"/>
      <c r="K35" s="2908"/>
      <c r="L35" s="2909"/>
      <c r="M35" s="2908"/>
      <c r="N35" s="2908"/>
      <c r="O35" s="2909"/>
      <c r="P35" s="2908"/>
      <c r="Q35" s="2908"/>
      <c r="R35" s="2910"/>
    </row>
    <row r="36" s="2903" customFormat="1" spans="2:18">
      <c r="B36" s="2908"/>
      <c r="C36" s="2908"/>
      <c r="D36" s="2908"/>
      <c r="H36" s="2908"/>
      <c r="I36" s="2909"/>
      <c r="J36" s="2908"/>
      <c r="K36" s="2908"/>
      <c r="L36" s="2909"/>
      <c r="M36" s="2908"/>
      <c r="N36" s="2908"/>
      <c r="O36" s="2909"/>
      <c r="P36" s="2908"/>
      <c r="Q36" s="2908"/>
      <c r="R36" s="2910"/>
    </row>
    <row r="37" s="2903" customFormat="1" spans="2:18">
      <c r="B37" s="2908"/>
      <c r="C37" s="2908"/>
      <c r="D37" s="2908"/>
      <c r="H37" s="2908"/>
      <c r="I37" s="2909"/>
      <c r="J37" s="2908"/>
      <c r="K37" s="2908"/>
      <c r="L37" s="2909"/>
      <c r="M37" s="2908"/>
      <c r="N37" s="2908"/>
      <c r="O37" s="2909"/>
      <c r="P37" s="2908"/>
      <c r="Q37" s="2908"/>
      <c r="R37" s="2910"/>
    </row>
    <row r="38" s="2903" customFormat="1" spans="2:18">
      <c r="B38" s="2908"/>
      <c r="C38" s="2908"/>
      <c r="D38" s="2908"/>
      <c r="E38" s="2908"/>
      <c r="F38" s="2908"/>
      <c r="G38" s="2909"/>
      <c r="H38" s="2908"/>
      <c r="I38" s="2909"/>
      <c r="J38" s="2908"/>
      <c r="K38" s="2908"/>
      <c r="L38" s="2909"/>
      <c r="M38" s="2908"/>
      <c r="N38" s="2908"/>
      <c r="O38" s="2909"/>
      <c r="P38" s="2908"/>
      <c r="Q38" s="2908"/>
      <c r="R38" s="2910"/>
    </row>
    <row r="39" s="2903" customFormat="1" spans="2:18">
      <c r="B39" s="2908"/>
      <c r="C39" s="2908"/>
      <c r="D39" s="2908"/>
      <c r="E39" s="2908"/>
      <c r="F39" s="2908"/>
      <c r="G39" s="2909"/>
      <c r="H39" s="2908"/>
      <c r="I39" s="2909"/>
      <c r="J39" s="2908"/>
      <c r="K39" s="2908"/>
      <c r="L39" s="2909"/>
      <c r="M39" s="2908"/>
      <c r="N39" s="2908"/>
      <c r="O39" s="2909"/>
      <c r="P39" s="2908"/>
      <c r="Q39" s="2908"/>
      <c r="R39" s="2910"/>
    </row>
    <row r="40" s="2903" customFormat="1" spans="2:18">
      <c r="B40" s="2908"/>
      <c r="C40" s="2908"/>
      <c r="D40" s="2908"/>
      <c r="E40" s="2908"/>
      <c r="F40" s="2908"/>
      <c r="G40" s="2909"/>
      <c r="H40" s="2908"/>
      <c r="I40" s="2909"/>
      <c r="J40" s="2908"/>
      <c r="K40" s="2908"/>
      <c r="L40" s="2909"/>
      <c r="M40" s="2908"/>
      <c r="N40" s="2908"/>
      <c r="O40" s="2909"/>
      <c r="P40" s="2908"/>
      <c r="Q40" s="2908"/>
      <c r="R40" s="2910"/>
    </row>
    <row r="41" s="2903" customFormat="1" spans="2:18">
      <c r="B41" s="2908"/>
      <c r="C41" s="2908"/>
      <c r="D41" s="2908"/>
      <c r="E41" s="2908"/>
      <c r="F41" s="2908"/>
      <c r="G41" s="2909"/>
      <c r="H41" s="2908"/>
      <c r="I41" s="2909"/>
      <c r="J41" s="2908"/>
      <c r="K41" s="2908"/>
      <c r="L41" s="2909"/>
      <c r="M41" s="2908"/>
      <c r="N41" s="2908"/>
      <c r="O41" s="2909"/>
      <c r="P41" s="2908"/>
      <c r="Q41" s="2908"/>
      <c r="R41" s="2910"/>
    </row>
    <row r="42" s="2903" customFormat="1" spans="2:18">
      <c r="B42" s="2908"/>
      <c r="C42" s="2908"/>
      <c r="D42" s="2908"/>
      <c r="E42" s="2908"/>
      <c r="F42" s="2908"/>
      <c r="G42" s="2909"/>
      <c r="H42" s="2908"/>
      <c r="I42" s="2909"/>
      <c r="J42" s="2908"/>
      <c r="K42" s="2908"/>
      <c r="L42" s="2909"/>
      <c r="M42" s="2908"/>
      <c r="N42" s="2908"/>
      <c r="O42" s="2909"/>
      <c r="P42" s="2908"/>
      <c r="Q42" s="2908"/>
      <c r="R42" s="2910"/>
    </row>
    <row r="43" s="2903" customFormat="1" spans="2:18">
      <c r="B43" s="2908"/>
      <c r="C43" s="2908"/>
      <c r="D43" s="2908"/>
      <c r="E43" s="2908"/>
      <c r="F43" s="2908"/>
      <c r="G43" s="2909"/>
      <c r="H43" s="2908"/>
      <c r="I43" s="2909"/>
      <c r="J43" s="2908"/>
      <c r="K43" s="2908"/>
      <c r="L43" s="2909"/>
      <c r="M43" s="2908"/>
      <c r="N43" s="2908"/>
      <c r="O43" s="2909"/>
      <c r="P43" s="2908"/>
      <c r="Q43" s="2908"/>
      <c r="R43" s="2910"/>
    </row>
    <row r="44" s="2903" customFormat="1" spans="2:18">
      <c r="B44" s="2908"/>
      <c r="C44" s="2908"/>
      <c r="D44" s="2908"/>
      <c r="E44" s="2908"/>
      <c r="F44" s="2908"/>
      <c r="G44" s="2909"/>
      <c r="H44" s="2908"/>
      <c r="I44" s="2909"/>
      <c r="J44" s="2908"/>
      <c r="K44" s="2908"/>
      <c r="L44" s="2909"/>
      <c r="M44" s="2908"/>
      <c r="N44" s="2908"/>
      <c r="O44" s="2909"/>
      <c r="P44" s="2908"/>
      <c r="Q44" s="2908"/>
      <c r="R44" s="2910"/>
    </row>
    <row r="45" s="2903" customFormat="1" spans="2:18">
      <c r="B45" s="2908"/>
      <c r="C45" s="2908"/>
      <c r="D45" s="2908"/>
      <c r="E45" s="2908"/>
      <c r="F45" s="2908"/>
      <c r="G45" s="2909"/>
      <c r="H45" s="2908"/>
      <c r="I45" s="2909"/>
      <c r="J45" s="2908"/>
      <c r="K45" s="2908"/>
      <c r="L45" s="2909"/>
      <c r="M45" s="2908"/>
      <c r="N45" s="2908"/>
      <c r="O45" s="2909"/>
      <c r="P45" s="2908"/>
      <c r="Q45" s="2908"/>
      <c r="R45" s="2910"/>
    </row>
    <row r="46" s="2903" customFormat="1" spans="2:18">
      <c r="B46" s="2908"/>
      <c r="C46" s="2908"/>
      <c r="D46" s="2908"/>
      <c r="E46" s="2908"/>
      <c r="F46" s="2908"/>
      <c r="G46" s="2909"/>
      <c r="H46" s="2908"/>
      <c r="I46" s="2909"/>
      <c r="J46" s="2908"/>
      <c r="K46" s="2908"/>
      <c r="L46" s="2909"/>
      <c r="M46" s="2908"/>
      <c r="N46" s="2908"/>
      <c r="O46" s="2909"/>
      <c r="P46" s="2908"/>
      <c r="Q46" s="2908"/>
      <c r="R46" s="2910"/>
    </row>
    <row r="47" s="2903" customFormat="1" spans="2:18">
      <c r="B47" s="2908"/>
      <c r="C47" s="2908"/>
      <c r="D47" s="2908"/>
      <c r="E47" s="2908"/>
      <c r="F47" s="2908"/>
      <c r="G47" s="2909"/>
      <c r="H47" s="2908"/>
      <c r="I47" s="2909"/>
      <c r="J47" s="2908"/>
      <c r="K47" s="2908"/>
      <c r="L47" s="2909"/>
      <c r="M47" s="2908"/>
      <c r="N47" s="2908"/>
      <c r="O47" s="2909"/>
      <c r="P47" s="2908"/>
      <c r="Q47" s="2908"/>
      <c r="R47" s="2910"/>
    </row>
    <row r="48" s="2903" customFormat="1" spans="2:18">
      <c r="B48" s="2908"/>
      <c r="C48" s="2908"/>
      <c r="D48" s="2908"/>
      <c r="E48" s="2908"/>
      <c r="F48" s="2908"/>
      <c r="G48" s="2909"/>
      <c r="H48" s="2908"/>
      <c r="I48" s="2909"/>
      <c r="J48" s="2908"/>
      <c r="K48" s="2908"/>
      <c r="L48" s="2909"/>
      <c r="M48" s="2908"/>
      <c r="N48" s="2908"/>
      <c r="O48" s="2909"/>
      <c r="P48" s="2908"/>
      <c r="Q48" s="2908"/>
      <c r="R48" s="2910"/>
    </row>
    <row r="49" s="2903" customFormat="1" spans="2:18">
      <c r="B49" s="2908"/>
      <c r="C49" s="2908"/>
      <c r="D49" s="2908"/>
      <c r="E49" s="2908"/>
      <c r="F49" s="2908"/>
      <c r="G49" s="2909"/>
      <c r="H49" s="2908"/>
      <c r="I49" s="2909"/>
      <c r="J49" s="2908"/>
      <c r="K49" s="2908"/>
      <c r="L49" s="2909"/>
      <c r="M49" s="2908"/>
      <c r="N49" s="2908"/>
      <c r="O49" s="2909"/>
      <c r="P49" s="2908"/>
      <c r="Q49" s="2908"/>
      <c r="R49" s="2910"/>
    </row>
    <row r="50" s="2903" customFormat="1" spans="2:18">
      <c r="B50" s="2908"/>
      <c r="C50" s="2908"/>
      <c r="D50" s="2908"/>
      <c r="E50" s="2908"/>
      <c r="F50" s="2908"/>
      <c r="G50" s="2909"/>
      <c r="H50" s="2908"/>
      <c r="I50" s="2909"/>
      <c r="J50" s="2908"/>
      <c r="K50" s="2908"/>
      <c r="L50" s="2909"/>
      <c r="M50" s="2908"/>
      <c r="N50" s="2908"/>
      <c r="O50" s="2909"/>
      <c r="P50" s="2908"/>
      <c r="Q50" s="2908"/>
      <c r="R50" s="2910"/>
    </row>
    <row r="51" s="2903" customFormat="1" spans="2:18">
      <c r="B51" s="2908"/>
      <c r="C51" s="2908"/>
      <c r="D51" s="2908"/>
      <c r="E51" s="2908"/>
      <c r="F51" s="2908"/>
      <c r="G51" s="2909"/>
      <c r="H51" s="2908"/>
      <c r="I51" s="2909"/>
      <c r="J51" s="2908"/>
      <c r="K51" s="2908"/>
      <c r="L51" s="2909"/>
      <c r="M51" s="2908"/>
      <c r="N51" s="2908"/>
      <c r="O51" s="2909"/>
      <c r="P51" s="2908"/>
      <c r="Q51" s="2908"/>
      <c r="R51" s="2910"/>
    </row>
    <row r="52" s="2903" customFormat="1" spans="2:18">
      <c r="B52" s="2908"/>
      <c r="C52" s="2908"/>
      <c r="D52" s="2908"/>
      <c r="E52" s="2908"/>
      <c r="F52" s="2908"/>
      <c r="G52" s="2909"/>
      <c r="H52" s="2908"/>
      <c r="I52" s="2909"/>
      <c r="J52" s="2908"/>
      <c r="K52" s="2908"/>
      <c r="L52" s="2909"/>
      <c r="M52" s="2908"/>
      <c r="N52" s="2908"/>
      <c r="O52" s="2909"/>
      <c r="P52" s="2908"/>
      <c r="Q52" s="2908"/>
      <c r="R52" s="2910"/>
    </row>
    <row r="53" s="2903" customFormat="1" spans="2:18">
      <c r="B53" s="2908"/>
      <c r="C53" s="2908"/>
      <c r="D53" s="2908"/>
      <c r="E53" s="2908"/>
      <c r="F53" s="2908"/>
      <c r="G53" s="2909"/>
      <c r="H53" s="2908"/>
      <c r="I53" s="2909"/>
      <c r="J53" s="2908"/>
      <c r="K53" s="2908"/>
      <c r="L53" s="2909"/>
      <c r="M53" s="2908"/>
      <c r="N53" s="2908"/>
      <c r="O53" s="2909"/>
      <c r="P53" s="2908"/>
      <c r="Q53" s="2908"/>
      <c r="R53" s="2910"/>
    </row>
    <row r="54" s="2903" customFormat="1" spans="2:18">
      <c r="B54" s="2908"/>
      <c r="C54" s="2908"/>
      <c r="D54" s="2908"/>
      <c r="E54" s="2908"/>
      <c r="F54" s="2908"/>
      <c r="G54" s="2909"/>
      <c r="H54" s="2908"/>
      <c r="I54" s="2909"/>
      <c r="J54" s="2908"/>
      <c r="K54" s="2908"/>
      <c r="L54" s="2909"/>
      <c r="M54" s="2908"/>
      <c r="N54" s="2908"/>
      <c r="O54" s="2909"/>
      <c r="P54" s="2908"/>
      <c r="Q54" s="2908"/>
      <c r="R54" s="2910"/>
    </row>
    <row r="55" s="2903" customFormat="1" spans="2:18">
      <c r="B55" s="2908"/>
      <c r="C55" s="2908"/>
      <c r="D55" s="2908"/>
      <c r="E55" s="2908"/>
      <c r="F55" s="2908"/>
      <c r="G55" s="2909"/>
      <c r="H55" s="2908"/>
      <c r="I55" s="2909"/>
      <c r="J55" s="2908"/>
      <c r="K55" s="2908"/>
      <c r="L55" s="2909"/>
      <c r="M55" s="2908"/>
      <c r="N55" s="2908"/>
      <c r="O55" s="2909"/>
      <c r="P55" s="2908"/>
      <c r="Q55" s="2908"/>
      <c r="R55" s="2910"/>
    </row>
    <row r="56" s="2903" customFormat="1" spans="2:18">
      <c r="B56" s="2908"/>
      <c r="C56" s="2908"/>
      <c r="D56" s="2908"/>
      <c r="E56" s="2908"/>
      <c r="F56" s="2908"/>
      <c r="G56" s="2909"/>
      <c r="H56" s="2908"/>
      <c r="I56" s="2909"/>
      <c r="J56" s="2908"/>
      <c r="K56" s="2908"/>
      <c r="L56" s="2909"/>
      <c r="M56" s="2908"/>
      <c r="N56" s="2908"/>
      <c r="O56" s="2909"/>
      <c r="P56" s="2908"/>
      <c r="Q56" s="2908"/>
      <c r="R56" s="2910"/>
    </row>
    <row r="57" s="2903" customFormat="1" spans="2:18">
      <c r="B57" s="2908"/>
      <c r="C57" s="2908"/>
      <c r="D57" s="2908"/>
      <c r="E57" s="2908"/>
      <c r="F57" s="2908"/>
      <c r="G57" s="2909"/>
      <c r="H57" s="2908"/>
      <c r="I57" s="2909"/>
      <c r="J57" s="2908"/>
      <c r="K57" s="2908"/>
      <c r="L57" s="2909"/>
      <c r="M57" s="2908"/>
      <c r="N57" s="2908"/>
      <c r="O57" s="2909"/>
      <c r="P57" s="2908"/>
      <c r="Q57" s="2908"/>
      <c r="R57" s="2910"/>
    </row>
    <row r="58" s="2903" customFormat="1" spans="2:18">
      <c r="B58" s="2908"/>
      <c r="C58" s="2908"/>
      <c r="D58" s="2908"/>
      <c r="E58" s="2908"/>
      <c r="F58" s="2908"/>
      <c r="G58" s="2909"/>
      <c r="H58" s="2908"/>
      <c r="I58" s="2909"/>
      <c r="J58" s="2908"/>
      <c r="K58" s="2908"/>
      <c r="L58" s="2909"/>
      <c r="M58" s="2908"/>
      <c r="N58" s="2908"/>
      <c r="O58" s="2909"/>
      <c r="P58" s="2908"/>
      <c r="Q58" s="2908"/>
      <c r="R58" s="2910"/>
    </row>
    <row r="59" s="2903" customFormat="1" spans="2:18">
      <c r="B59" s="2908"/>
      <c r="C59" s="2908"/>
      <c r="D59" s="2908"/>
      <c r="E59" s="2908"/>
      <c r="F59" s="2908"/>
      <c r="G59" s="2909"/>
      <c r="H59" s="2908"/>
      <c r="I59" s="2909"/>
      <c r="J59" s="2908"/>
      <c r="K59" s="2908"/>
      <c r="L59" s="2909"/>
      <c r="M59" s="2908"/>
      <c r="N59" s="2908"/>
      <c r="O59" s="2909"/>
      <c r="P59" s="2908"/>
      <c r="Q59" s="2908"/>
      <c r="R59" s="2910"/>
    </row>
    <row r="60" s="2903" customFormat="1" spans="2:18">
      <c r="B60" s="2908"/>
      <c r="C60" s="2908"/>
      <c r="D60" s="2908"/>
      <c r="E60" s="2908"/>
      <c r="F60" s="2908"/>
      <c r="G60" s="2909"/>
      <c r="H60" s="2908"/>
      <c r="I60" s="2909"/>
      <c r="J60" s="2908"/>
      <c r="K60" s="2908"/>
      <c r="L60" s="2909"/>
      <c r="M60" s="2908"/>
      <c r="N60" s="2908"/>
      <c r="O60" s="2909"/>
      <c r="P60" s="2908"/>
      <c r="Q60" s="2908"/>
      <c r="R60" s="2910"/>
    </row>
    <row r="61" s="2903" customFormat="1" spans="2:18">
      <c r="B61" s="2908"/>
      <c r="C61" s="2908"/>
      <c r="D61" s="2908"/>
      <c r="E61" s="2908"/>
      <c r="F61" s="2908"/>
      <c r="G61" s="2909"/>
      <c r="H61" s="2908"/>
      <c r="I61" s="2909"/>
      <c r="J61" s="2908"/>
      <c r="K61" s="2908"/>
      <c r="L61" s="2909"/>
      <c r="M61" s="2908"/>
      <c r="N61" s="2908"/>
      <c r="O61" s="2909"/>
      <c r="P61" s="2908"/>
      <c r="Q61" s="2908"/>
      <c r="R61" s="2910"/>
    </row>
    <row r="62" s="2903" customFormat="1" spans="2:18">
      <c r="B62" s="2908"/>
      <c r="C62" s="2908"/>
      <c r="D62" s="2908"/>
      <c r="E62" s="2908"/>
      <c r="F62" s="2908"/>
      <c r="G62" s="2909"/>
      <c r="H62" s="2908"/>
      <c r="I62" s="2909"/>
      <c r="J62" s="2908"/>
      <c r="K62" s="2908"/>
      <c r="L62" s="2909"/>
      <c r="M62" s="2908"/>
      <c r="N62" s="2908"/>
      <c r="O62" s="2909"/>
      <c r="P62" s="2908"/>
      <c r="Q62" s="2908"/>
      <c r="R62" s="2910"/>
    </row>
    <row r="63" s="2903" customFormat="1" spans="2:18">
      <c r="B63" s="2908"/>
      <c r="C63" s="2908"/>
      <c r="D63" s="2908"/>
      <c r="E63" s="2908"/>
      <c r="F63" s="2908"/>
      <c r="G63" s="2909"/>
      <c r="H63" s="2908"/>
      <c r="I63" s="2909"/>
      <c r="J63" s="2908"/>
      <c r="K63" s="2908"/>
      <c r="L63" s="2909"/>
      <c r="M63" s="2908"/>
      <c r="N63" s="2908"/>
      <c r="O63" s="2909"/>
      <c r="P63" s="2908"/>
      <c r="Q63" s="2908"/>
      <c r="R63" s="2910"/>
    </row>
    <row r="64" s="2903" customFormat="1" spans="2:18">
      <c r="B64" s="2908"/>
      <c r="C64" s="2908"/>
      <c r="D64" s="2908"/>
      <c r="E64" s="2908"/>
      <c r="F64" s="2908"/>
      <c r="G64" s="2909"/>
      <c r="H64" s="2908"/>
      <c r="I64" s="2909"/>
      <c r="J64" s="2908"/>
      <c r="K64" s="2908"/>
      <c r="L64" s="2909"/>
      <c r="M64" s="2908"/>
      <c r="N64" s="2908"/>
      <c r="O64" s="2909"/>
      <c r="P64" s="2908"/>
      <c r="Q64" s="2908"/>
      <c r="R64" s="2910"/>
    </row>
    <row r="65" s="2903" customFormat="1" spans="2:18">
      <c r="B65" s="2908"/>
      <c r="C65" s="2908"/>
      <c r="D65" s="2908"/>
      <c r="E65" s="2908"/>
      <c r="F65" s="2908"/>
      <c r="G65" s="2909"/>
      <c r="H65" s="2908"/>
      <c r="I65" s="2909"/>
      <c r="J65" s="2908"/>
      <c r="K65" s="2908"/>
      <c r="L65" s="2909"/>
      <c r="M65" s="2908"/>
      <c r="N65" s="2908"/>
      <c r="O65" s="2909"/>
      <c r="P65" s="2908"/>
      <c r="Q65" s="2908"/>
      <c r="R65" s="2910"/>
    </row>
    <row r="66" s="2903" customFormat="1" spans="2:18">
      <c r="B66" s="2908"/>
      <c r="C66" s="2908"/>
      <c r="D66" s="2908"/>
      <c r="E66" s="2908"/>
      <c r="F66" s="2908"/>
      <c r="G66" s="2909"/>
      <c r="H66" s="2908"/>
      <c r="I66" s="2909"/>
      <c r="J66" s="2908"/>
      <c r="K66" s="2908"/>
      <c r="L66" s="2909"/>
      <c r="M66" s="2908"/>
      <c r="N66" s="2908"/>
      <c r="O66" s="2909"/>
      <c r="P66" s="2908"/>
      <c r="Q66" s="2908"/>
      <c r="R66" s="2910"/>
    </row>
    <row r="67" s="2903" customFormat="1" spans="2:18">
      <c r="B67" s="2908"/>
      <c r="C67" s="2908"/>
      <c r="D67" s="2908"/>
      <c r="E67" s="2908"/>
      <c r="F67" s="2908"/>
      <c r="G67" s="2909"/>
      <c r="H67" s="2908"/>
      <c r="I67" s="2909"/>
      <c r="J67" s="2908"/>
      <c r="K67" s="2908"/>
      <c r="L67" s="2909"/>
      <c r="M67" s="2908"/>
      <c r="N67" s="2908"/>
      <c r="O67" s="2909"/>
      <c r="P67" s="2908"/>
      <c r="Q67" s="2908"/>
      <c r="R67" s="2910"/>
    </row>
    <row r="68" s="2903" customFormat="1" spans="2:18">
      <c r="B68" s="2908"/>
      <c r="C68" s="2908"/>
      <c r="D68" s="2908"/>
      <c r="E68" s="2908"/>
      <c r="F68" s="2908"/>
      <c r="G68" s="2909"/>
      <c r="H68" s="2908"/>
      <c r="I68" s="2909"/>
      <c r="J68" s="2908"/>
      <c r="K68" s="2908"/>
      <c r="L68" s="2909"/>
      <c r="M68" s="2908"/>
      <c r="N68" s="2908"/>
      <c r="O68" s="2909"/>
      <c r="P68" s="2908"/>
      <c r="Q68" s="2908"/>
      <c r="R68" s="2910"/>
    </row>
    <row r="69" s="2903" customFormat="1" spans="2:18">
      <c r="B69" s="2908"/>
      <c r="C69" s="2908"/>
      <c r="D69" s="2908"/>
      <c r="E69" s="2908"/>
      <c r="F69" s="2908"/>
      <c r="G69" s="2909"/>
      <c r="H69" s="2908"/>
      <c r="I69" s="2909"/>
      <c r="J69" s="2908"/>
      <c r="K69" s="2908"/>
      <c r="L69" s="2909"/>
      <c r="M69" s="2908"/>
      <c r="N69" s="2908"/>
      <c r="O69" s="2909"/>
      <c r="P69" s="2908"/>
      <c r="Q69" s="2908"/>
      <c r="R69" s="2910"/>
    </row>
    <row r="70" s="2903" customFormat="1" spans="2:18">
      <c r="B70" s="2908"/>
      <c r="C70" s="2908"/>
      <c r="D70" s="2908"/>
      <c r="E70" s="2908"/>
      <c r="F70" s="2908"/>
      <c r="G70" s="2909"/>
      <c r="H70" s="2908"/>
      <c r="I70" s="2909"/>
      <c r="J70" s="2908"/>
      <c r="K70" s="2908"/>
      <c r="L70" s="2909"/>
      <c r="M70" s="2908"/>
      <c r="N70" s="2908"/>
      <c r="O70" s="2909"/>
      <c r="P70" s="2908"/>
      <c r="Q70" s="2908"/>
      <c r="R70" s="2910"/>
    </row>
    <row r="71" s="2903" customFormat="1" spans="2:18">
      <c r="B71" s="2908"/>
      <c r="C71" s="2908"/>
      <c r="D71" s="2908"/>
      <c r="E71" s="2908"/>
      <c r="F71" s="2908"/>
      <c r="G71" s="2909"/>
      <c r="H71" s="2908"/>
      <c r="I71" s="2909"/>
      <c r="J71" s="2908"/>
      <c r="K71" s="2908"/>
      <c r="L71" s="2909"/>
      <c r="M71" s="2908"/>
      <c r="N71" s="2908"/>
      <c r="O71" s="2909"/>
      <c r="P71" s="2908"/>
      <c r="Q71" s="2908"/>
      <c r="R71" s="2910"/>
    </row>
    <row r="72" s="2903" customFormat="1" spans="2:18">
      <c r="B72" s="2908"/>
      <c r="C72" s="2908"/>
      <c r="D72" s="2908"/>
      <c r="E72" s="2908"/>
      <c r="F72" s="2908"/>
      <c r="G72" s="2909"/>
      <c r="H72" s="2908"/>
      <c r="I72" s="2909"/>
      <c r="J72" s="2908"/>
      <c r="K72" s="2908"/>
      <c r="L72" s="2909"/>
      <c r="M72" s="2908"/>
      <c r="N72" s="2908"/>
      <c r="O72" s="2909"/>
      <c r="P72" s="2908"/>
      <c r="Q72" s="2908"/>
      <c r="R72" s="2910"/>
    </row>
    <row r="73" s="2903" customFormat="1" spans="2:18">
      <c r="B73" s="2908"/>
      <c r="C73" s="2908"/>
      <c r="D73" s="2908"/>
      <c r="E73" s="2908"/>
      <c r="F73" s="2908"/>
      <c r="G73" s="2909"/>
      <c r="H73" s="2908"/>
      <c r="I73" s="2909"/>
      <c r="J73" s="2908"/>
      <c r="K73" s="2908"/>
      <c r="L73" s="2909"/>
      <c r="M73" s="2908"/>
      <c r="N73" s="2908"/>
      <c r="O73" s="2909"/>
      <c r="P73" s="2908"/>
      <c r="Q73" s="2908"/>
      <c r="R73" s="2910"/>
    </row>
    <row r="74" s="2903" customFormat="1" spans="2:18">
      <c r="B74" s="2908"/>
      <c r="C74" s="2908"/>
      <c r="D74" s="2908"/>
      <c r="E74" s="2908"/>
      <c r="F74" s="2908"/>
      <c r="G74" s="2909"/>
      <c r="H74" s="2908"/>
      <c r="I74" s="2909"/>
      <c r="J74" s="2908"/>
      <c r="K74" s="2908"/>
      <c r="L74" s="2909"/>
      <c r="M74" s="2908"/>
      <c r="N74" s="2908"/>
      <c r="O74" s="2909"/>
      <c r="P74" s="2908"/>
      <c r="Q74" s="2908"/>
      <c r="R74" s="2910"/>
    </row>
    <row r="75" s="2903" customFormat="1" spans="2:18">
      <c r="B75" s="2908"/>
      <c r="C75" s="2908"/>
      <c r="D75" s="2908"/>
      <c r="E75" s="2908"/>
      <c r="F75" s="2908"/>
      <c r="G75" s="2909"/>
      <c r="H75" s="2908"/>
      <c r="I75" s="2909"/>
      <c r="J75" s="2908"/>
      <c r="K75" s="2908"/>
      <c r="L75" s="2909"/>
      <c r="M75" s="2908"/>
      <c r="N75" s="2908"/>
      <c r="O75" s="2909"/>
      <c r="P75" s="2908"/>
      <c r="Q75" s="2908"/>
      <c r="R75" s="2910"/>
    </row>
    <row r="76" s="2903" customFormat="1" spans="2:18">
      <c r="B76" s="2908"/>
      <c r="C76" s="2908"/>
      <c r="D76" s="2908"/>
      <c r="E76" s="2908"/>
      <c r="F76" s="2908"/>
      <c r="G76" s="2909"/>
      <c r="H76" s="2908"/>
      <c r="I76" s="2909"/>
      <c r="J76" s="2908"/>
      <c r="K76" s="2908"/>
      <c r="L76" s="2909"/>
      <c r="M76" s="2908"/>
      <c r="N76" s="2908"/>
      <c r="O76" s="2909"/>
      <c r="P76" s="2908"/>
      <c r="Q76" s="2908"/>
      <c r="R76" s="2910"/>
    </row>
    <row r="77" s="2903" customFormat="1" spans="2:18">
      <c r="B77" s="2908"/>
      <c r="C77" s="2908"/>
      <c r="D77" s="2908"/>
      <c r="E77" s="2908"/>
      <c r="F77" s="2908"/>
      <c r="G77" s="2909"/>
      <c r="H77" s="2908"/>
      <c r="I77" s="2909"/>
      <c r="J77" s="2908"/>
      <c r="K77" s="2908"/>
      <c r="L77" s="2909"/>
      <c r="M77" s="2908"/>
      <c r="N77" s="2908"/>
      <c r="O77" s="2909"/>
      <c r="P77" s="2908"/>
      <c r="Q77" s="2908"/>
      <c r="R77" s="2910"/>
    </row>
    <row r="78" s="2903" customFormat="1" spans="2:18">
      <c r="B78" s="2908"/>
      <c r="C78" s="2908"/>
      <c r="D78" s="2908"/>
      <c r="E78" s="2908"/>
      <c r="F78" s="2908"/>
      <c r="G78" s="2909"/>
      <c r="H78" s="2908"/>
      <c r="I78" s="2909"/>
      <c r="J78" s="2908"/>
      <c r="K78" s="2908"/>
      <c r="L78" s="2909"/>
      <c r="M78" s="2908"/>
      <c r="N78" s="2908"/>
      <c r="O78" s="2909"/>
      <c r="P78" s="2908"/>
      <c r="Q78" s="2908"/>
      <c r="R78" s="2910"/>
    </row>
    <row r="79" s="2903" customFormat="1" spans="2:18">
      <c r="B79" s="2908"/>
      <c r="C79" s="2908"/>
      <c r="D79" s="2908"/>
      <c r="E79" s="2908"/>
      <c r="F79" s="2908"/>
      <c r="G79" s="2909"/>
      <c r="H79" s="2908"/>
      <c r="I79" s="2909"/>
      <c r="J79" s="2908"/>
      <c r="K79" s="2908"/>
      <c r="L79" s="2909"/>
      <c r="M79" s="2908"/>
      <c r="N79" s="2908"/>
      <c r="O79" s="2909"/>
      <c r="P79" s="2908"/>
      <c r="Q79" s="2908"/>
      <c r="R79" s="2910"/>
    </row>
    <row r="80" s="2903" customFormat="1" spans="2:18">
      <c r="B80" s="2908"/>
      <c r="C80" s="2908"/>
      <c r="D80" s="2908"/>
      <c r="E80" s="2908"/>
      <c r="F80" s="2908"/>
      <c r="G80" s="2909"/>
      <c r="H80" s="2908"/>
      <c r="I80" s="2909"/>
      <c r="J80" s="2908"/>
      <c r="K80" s="2908"/>
      <c r="L80" s="2909"/>
      <c r="M80" s="2908"/>
      <c r="N80" s="2908"/>
      <c r="O80" s="2909"/>
      <c r="P80" s="2908"/>
      <c r="Q80" s="2908"/>
      <c r="R80" s="2910"/>
    </row>
    <row r="81" s="2903" customFormat="1" spans="2:18">
      <c r="B81" s="2908"/>
      <c r="C81" s="2908"/>
      <c r="D81" s="2908"/>
      <c r="E81" s="2908"/>
      <c r="F81" s="2908"/>
      <c r="G81" s="2909"/>
      <c r="H81" s="2908"/>
      <c r="I81" s="2909"/>
      <c r="J81" s="2908"/>
      <c r="K81" s="2908"/>
      <c r="L81" s="2909"/>
      <c r="M81" s="2908"/>
      <c r="N81" s="2908"/>
      <c r="O81" s="2909"/>
      <c r="P81" s="2908"/>
      <c r="Q81" s="2908"/>
      <c r="R81" s="2910"/>
    </row>
    <row r="82" s="2903" customFormat="1" spans="2:18">
      <c r="B82" s="2908"/>
      <c r="C82" s="2908"/>
      <c r="D82" s="2908"/>
      <c r="E82" s="2908"/>
      <c r="F82" s="2908"/>
      <c r="G82" s="2909"/>
      <c r="H82" s="2908"/>
      <c r="I82" s="2909"/>
      <c r="J82" s="2908"/>
      <c r="K82" s="2908"/>
      <c r="L82" s="2909"/>
      <c r="M82" s="2908"/>
      <c r="N82" s="2908"/>
      <c r="O82" s="2909"/>
      <c r="P82" s="2908"/>
      <c r="Q82" s="2908"/>
      <c r="R82" s="2910"/>
    </row>
    <row r="83" s="2903" customFormat="1" spans="2:18">
      <c r="B83" s="2908"/>
      <c r="C83" s="2908"/>
      <c r="D83" s="2908"/>
      <c r="E83" s="2908"/>
      <c r="F83" s="2908"/>
      <c r="G83" s="2909"/>
      <c r="H83" s="2908"/>
      <c r="I83" s="2909"/>
      <c r="J83" s="2908"/>
      <c r="K83" s="2908"/>
      <c r="L83" s="2909"/>
      <c r="M83" s="2908"/>
      <c r="N83" s="2908"/>
      <c r="O83" s="2909"/>
      <c r="P83" s="2908"/>
      <c r="Q83" s="2908"/>
      <c r="R83" s="2910"/>
    </row>
    <row r="84" s="2903" customFormat="1" spans="2:18">
      <c r="B84" s="2908"/>
      <c r="C84" s="2908"/>
      <c r="D84" s="2908"/>
      <c r="E84" s="2908"/>
      <c r="F84" s="2908"/>
      <c r="G84" s="2909"/>
      <c r="H84" s="2908"/>
      <c r="I84" s="2909"/>
      <c r="J84" s="2908"/>
      <c r="K84" s="2908"/>
      <c r="L84" s="2909"/>
      <c r="M84" s="2908"/>
      <c r="N84" s="2908"/>
      <c r="O84" s="2909"/>
      <c r="P84" s="2908"/>
      <c r="Q84" s="2908"/>
      <c r="R84" s="2910"/>
    </row>
    <row r="85" s="2903" customFormat="1" spans="2:18">
      <c r="B85" s="2908"/>
      <c r="C85" s="2908"/>
      <c r="D85" s="2908"/>
      <c r="E85" s="2908"/>
      <c r="F85" s="2908"/>
      <c r="G85" s="2909"/>
      <c r="H85" s="2908"/>
      <c r="I85" s="2909"/>
      <c r="J85" s="2908"/>
      <c r="K85" s="2908"/>
      <c r="L85" s="2909"/>
      <c r="M85" s="2908"/>
      <c r="N85" s="2908"/>
      <c r="O85" s="2909"/>
      <c r="P85" s="2908"/>
      <c r="Q85" s="2908"/>
      <c r="R85" s="2910"/>
    </row>
    <row r="86" s="2903" customFormat="1" spans="2:18">
      <c r="B86" s="2908"/>
      <c r="C86" s="2908"/>
      <c r="D86" s="2908"/>
      <c r="E86" s="2908"/>
      <c r="F86" s="2908"/>
      <c r="G86" s="2909"/>
      <c r="H86" s="2908"/>
      <c r="I86" s="2909"/>
      <c r="J86" s="2908"/>
      <c r="K86" s="2908"/>
      <c r="L86" s="2909"/>
      <c r="M86" s="2908"/>
      <c r="N86" s="2908"/>
      <c r="O86" s="2909"/>
      <c r="P86" s="2908"/>
      <c r="Q86" s="2908"/>
      <c r="R86" s="2910"/>
    </row>
    <row r="87" s="2903" customFormat="1" spans="2:18">
      <c r="B87" s="2908"/>
      <c r="C87" s="2908"/>
      <c r="D87" s="2908"/>
      <c r="E87" s="2908"/>
      <c r="F87" s="2908"/>
      <c r="G87" s="2909"/>
      <c r="H87" s="2908"/>
      <c r="I87" s="2909"/>
      <c r="J87" s="2908"/>
      <c r="K87" s="2908"/>
      <c r="L87" s="2909"/>
      <c r="M87" s="2908"/>
      <c r="N87" s="2908"/>
      <c r="O87" s="2909"/>
      <c r="P87" s="2908"/>
      <c r="Q87" s="2908"/>
      <c r="R87" s="2910"/>
    </row>
    <row r="88" s="2903" customFormat="1" spans="2:18">
      <c r="B88" s="2908"/>
      <c r="C88" s="2908"/>
      <c r="D88" s="2908"/>
      <c r="E88" s="2908"/>
      <c r="F88" s="2908"/>
      <c r="G88" s="2909"/>
      <c r="H88" s="2908"/>
      <c r="I88" s="2909"/>
      <c r="J88" s="2908"/>
      <c r="K88" s="2908"/>
      <c r="L88" s="2909"/>
      <c r="M88" s="2908"/>
      <c r="N88" s="2908"/>
      <c r="O88" s="2909"/>
      <c r="P88" s="2908"/>
      <c r="Q88" s="2908"/>
      <c r="R88" s="2910"/>
    </row>
    <row r="89" s="2903" customFormat="1" spans="2:18">
      <c r="B89" s="2908"/>
      <c r="C89" s="2908"/>
      <c r="D89" s="2908"/>
      <c r="E89" s="2908"/>
      <c r="F89" s="2908"/>
      <c r="G89" s="2909"/>
      <c r="H89" s="2908"/>
      <c r="I89" s="2909"/>
      <c r="J89" s="2908"/>
      <c r="K89" s="2908"/>
      <c r="L89" s="2909"/>
      <c r="M89" s="2908"/>
      <c r="N89" s="2908"/>
      <c r="O89" s="2909"/>
      <c r="P89" s="2908"/>
      <c r="Q89" s="2908"/>
      <c r="R89" s="2910"/>
    </row>
    <row r="90" s="2903" customFormat="1" spans="2:18">
      <c r="B90" s="2908"/>
      <c r="C90" s="2908"/>
      <c r="D90" s="2908"/>
      <c r="E90" s="2908"/>
      <c r="F90" s="2908"/>
      <c r="G90" s="2909"/>
      <c r="H90" s="2908"/>
      <c r="I90" s="2909"/>
      <c r="J90" s="2908"/>
      <c r="K90" s="2908"/>
      <c r="L90" s="2909"/>
      <c r="M90" s="2908"/>
      <c r="N90" s="2908"/>
      <c r="O90" s="2909"/>
      <c r="P90" s="2908"/>
      <c r="Q90" s="2908"/>
      <c r="R90" s="2910"/>
    </row>
    <row r="91" s="2903" customFormat="1" spans="2:18">
      <c r="B91" s="2908"/>
      <c r="C91" s="2908"/>
      <c r="D91" s="2908"/>
      <c r="E91" s="2908"/>
      <c r="F91" s="2908"/>
      <c r="G91" s="2909"/>
      <c r="H91" s="2908"/>
      <c r="I91" s="2909"/>
      <c r="J91" s="2908"/>
      <c r="K91" s="2908"/>
      <c r="L91" s="2909"/>
      <c r="M91" s="2908"/>
      <c r="N91" s="2908"/>
      <c r="O91" s="2909"/>
      <c r="P91" s="2908"/>
      <c r="Q91" s="2908"/>
      <c r="R91" s="2910"/>
    </row>
    <row r="92" s="2903" customFormat="1" spans="2:18">
      <c r="B92" s="2908"/>
      <c r="C92" s="2908"/>
      <c r="D92" s="2908"/>
      <c r="E92" s="2908"/>
      <c r="F92" s="2908"/>
      <c r="G92" s="2909"/>
      <c r="H92" s="2908"/>
      <c r="I92" s="2909"/>
      <c r="J92" s="2908"/>
      <c r="K92" s="2908"/>
      <c r="L92" s="2909"/>
      <c r="M92" s="2908"/>
      <c r="N92" s="2908"/>
      <c r="O92" s="2909"/>
      <c r="P92" s="2908"/>
      <c r="Q92" s="2908"/>
      <c r="R92" s="2910"/>
    </row>
    <row r="93" s="2903" customFormat="1" spans="2:18">
      <c r="B93" s="2908"/>
      <c r="C93" s="2908"/>
      <c r="D93" s="2908"/>
      <c r="E93" s="2908"/>
      <c r="F93" s="2908"/>
      <c r="G93" s="2909"/>
      <c r="H93" s="2908"/>
      <c r="I93" s="2909"/>
      <c r="J93" s="2908"/>
      <c r="K93" s="2908"/>
      <c r="L93" s="2909"/>
      <c r="M93" s="2908"/>
      <c r="N93" s="2908"/>
      <c r="O93" s="2909"/>
      <c r="P93" s="2908"/>
      <c r="Q93" s="2908"/>
      <c r="R93" s="2910"/>
    </row>
    <row r="94" s="2903" customFormat="1" spans="2:18">
      <c r="B94" s="2908"/>
      <c r="C94" s="2908"/>
      <c r="D94" s="2908"/>
      <c r="E94" s="2908"/>
      <c r="F94" s="2908"/>
      <c r="G94" s="2909"/>
      <c r="H94" s="2908"/>
      <c r="I94" s="2909"/>
      <c r="J94" s="2908"/>
      <c r="K94" s="2908"/>
      <c r="L94" s="2909"/>
      <c r="M94" s="2908"/>
      <c r="N94" s="2908"/>
      <c r="O94" s="2909"/>
      <c r="P94" s="2908"/>
      <c r="Q94" s="2908"/>
      <c r="R94" s="2910"/>
    </row>
    <row r="95" s="2903" customFormat="1" spans="2:18">
      <c r="B95" s="2908"/>
      <c r="C95" s="2908"/>
      <c r="D95" s="2908"/>
      <c r="E95" s="2908"/>
      <c r="F95" s="2908"/>
      <c r="G95" s="2909"/>
      <c r="H95" s="2908"/>
      <c r="I95" s="2909"/>
      <c r="J95" s="2908"/>
      <c r="K95" s="2908"/>
      <c r="L95" s="2909"/>
      <c r="M95" s="2908"/>
      <c r="N95" s="2908"/>
      <c r="O95" s="2909"/>
      <c r="P95" s="2908"/>
      <c r="Q95" s="2908"/>
      <c r="R95" s="2910"/>
    </row>
    <row r="96" s="2903" customFormat="1" spans="2:18">
      <c r="B96" s="2908"/>
      <c r="C96" s="2908"/>
      <c r="D96" s="2908"/>
      <c r="E96" s="2908"/>
      <c r="F96" s="2908"/>
      <c r="G96" s="2909"/>
      <c r="H96" s="2908"/>
      <c r="I96" s="2909"/>
      <c r="J96" s="2908"/>
      <c r="K96" s="2908"/>
      <c r="L96" s="2909"/>
      <c r="M96" s="2908"/>
      <c r="N96" s="2908"/>
      <c r="O96" s="2909"/>
      <c r="P96" s="2908"/>
      <c r="Q96" s="2908"/>
      <c r="R96" s="2910"/>
    </row>
    <row r="97" s="2903" customFormat="1" spans="2:18">
      <c r="B97" s="2908"/>
      <c r="C97" s="2908"/>
      <c r="D97" s="2908"/>
      <c r="E97" s="2908"/>
      <c r="F97" s="2908"/>
      <c r="G97" s="2909"/>
      <c r="H97" s="2908"/>
      <c r="I97" s="2909"/>
      <c r="J97" s="2908"/>
      <c r="K97" s="2908"/>
      <c r="L97" s="2909"/>
      <c r="M97" s="2908"/>
      <c r="N97" s="2908"/>
      <c r="O97" s="2909"/>
      <c r="P97" s="2908"/>
      <c r="Q97" s="2908"/>
      <c r="R97" s="2910"/>
    </row>
    <row r="98" s="2903" customFormat="1" spans="2:18">
      <c r="B98" s="2908"/>
      <c r="C98" s="2908"/>
      <c r="D98" s="2908"/>
      <c r="E98" s="2908"/>
      <c r="F98" s="2908"/>
      <c r="G98" s="2909"/>
      <c r="H98" s="2908"/>
      <c r="I98" s="2909"/>
      <c r="J98" s="2908"/>
      <c r="K98" s="2908"/>
      <c r="L98" s="2909"/>
      <c r="M98" s="2908"/>
      <c r="N98" s="2908"/>
      <c r="O98" s="2909"/>
      <c r="P98" s="2908"/>
      <c r="Q98" s="2908"/>
      <c r="R98" s="2910"/>
    </row>
    <row r="99" s="2903" customFormat="1" spans="2:18">
      <c r="B99" s="2908"/>
      <c r="C99" s="2908"/>
      <c r="D99" s="2908"/>
      <c r="E99" s="2908"/>
      <c r="F99" s="2908"/>
      <c r="G99" s="2909"/>
      <c r="H99" s="2908"/>
      <c r="I99" s="2909"/>
      <c r="J99" s="2908"/>
      <c r="K99" s="2908"/>
      <c r="L99" s="2909"/>
      <c r="M99" s="2908"/>
      <c r="N99" s="2908"/>
      <c r="O99" s="2909"/>
      <c r="P99" s="2908"/>
      <c r="Q99" s="2908"/>
      <c r="R99" s="2910"/>
    </row>
    <row r="100" s="2903" customFormat="1" spans="2:18">
      <c r="B100" s="2908"/>
      <c r="C100" s="2908"/>
      <c r="D100" s="2908"/>
      <c r="E100" s="2908"/>
      <c r="F100" s="2908"/>
      <c r="G100" s="2909"/>
      <c r="H100" s="2908"/>
      <c r="I100" s="2909"/>
      <c r="J100" s="2908"/>
      <c r="K100" s="2908"/>
      <c r="L100" s="2909"/>
      <c r="M100" s="2908"/>
      <c r="N100" s="2908"/>
      <c r="O100" s="2909"/>
      <c r="P100" s="2908"/>
      <c r="Q100" s="2908"/>
      <c r="R100" s="2910"/>
    </row>
    <row r="101" s="2903" customFormat="1" spans="2:18">
      <c r="B101" s="2908"/>
      <c r="C101" s="2908"/>
      <c r="D101" s="2908"/>
      <c r="E101" s="2908"/>
      <c r="F101" s="2908"/>
      <c r="G101" s="2909"/>
      <c r="H101" s="2908"/>
      <c r="I101" s="2909"/>
      <c r="J101" s="2908"/>
      <c r="K101" s="2908"/>
      <c r="L101" s="2909"/>
      <c r="M101" s="2908"/>
      <c r="N101" s="2908"/>
      <c r="O101" s="2909"/>
      <c r="P101" s="2908"/>
      <c r="Q101" s="2908"/>
      <c r="R101" s="2910"/>
    </row>
    <row r="102" s="2903" customFormat="1" spans="2:18">
      <c r="B102" s="2908"/>
      <c r="C102" s="2908"/>
      <c r="D102" s="2908"/>
      <c r="E102" s="2908"/>
      <c r="F102" s="2908"/>
      <c r="G102" s="2909"/>
      <c r="H102" s="2908"/>
      <c r="I102" s="2909"/>
      <c r="J102" s="2908"/>
      <c r="K102" s="2908"/>
      <c r="L102" s="2909"/>
      <c r="M102" s="2908"/>
      <c r="N102" s="2908"/>
      <c r="O102" s="2909"/>
      <c r="P102" s="2908"/>
      <c r="Q102" s="2908"/>
      <c r="R102" s="2910"/>
    </row>
    <row r="103" s="2903" customFormat="1" spans="2:18">
      <c r="B103" s="2908"/>
      <c r="C103" s="2908"/>
      <c r="D103" s="2908"/>
      <c r="E103" s="2908"/>
      <c r="F103" s="2908"/>
      <c r="G103" s="2909"/>
      <c r="H103" s="2908"/>
      <c r="I103" s="2909"/>
      <c r="J103" s="2908"/>
      <c r="K103" s="2908"/>
      <c r="L103" s="2909"/>
      <c r="M103" s="2908"/>
      <c r="N103" s="2908"/>
      <c r="O103" s="2909"/>
      <c r="P103" s="2908"/>
      <c r="Q103" s="2908"/>
      <c r="R103" s="2910"/>
    </row>
    <row r="104" s="2903" customFormat="1" spans="2:18">
      <c r="B104" s="2908"/>
      <c r="C104" s="2908"/>
      <c r="D104" s="2908"/>
      <c r="E104" s="2908"/>
      <c r="F104" s="2908"/>
      <c r="G104" s="2909"/>
      <c r="H104" s="2908"/>
      <c r="I104" s="2909"/>
      <c r="J104" s="2908"/>
      <c r="K104" s="2908"/>
      <c r="L104" s="2909"/>
      <c r="M104" s="2908"/>
      <c r="N104" s="2908"/>
      <c r="O104" s="2909"/>
      <c r="P104" s="2908"/>
      <c r="Q104" s="2908"/>
      <c r="R104" s="2910"/>
    </row>
    <row r="105" s="2903" customFormat="1" spans="2:18">
      <c r="B105" s="2908"/>
      <c r="C105" s="2908"/>
      <c r="D105" s="2908"/>
      <c r="E105" s="2908"/>
      <c r="F105" s="2908"/>
      <c r="G105" s="2909"/>
      <c r="H105" s="2908"/>
      <c r="I105" s="2909"/>
      <c r="J105" s="2908"/>
      <c r="K105" s="2908"/>
      <c r="L105" s="2909"/>
      <c r="M105" s="2908"/>
      <c r="N105" s="2908"/>
      <c r="O105" s="2909"/>
      <c r="P105" s="2908"/>
      <c r="Q105" s="2908"/>
      <c r="R105" s="2910"/>
    </row>
    <row r="106" s="2903" customFormat="1" spans="2:18">
      <c r="B106" s="2908"/>
      <c r="C106" s="2908"/>
      <c r="D106" s="2908"/>
      <c r="E106" s="2908"/>
      <c r="F106" s="2908"/>
      <c r="G106" s="2909"/>
      <c r="H106" s="2908"/>
      <c r="I106" s="2909"/>
      <c r="J106" s="2908"/>
      <c r="K106" s="2908"/>
      <c r="L106" s="2909"/>
      <c r="M106" s="2908"/>
      <c r="N106" s="2908"/>
      <c r="O106" s="2909"/>
      <c r="P106" s="2908"/>
      <c r="Q106" s="2908"/>
      <c r="R106" s="2910"/>
    </row>
    <row r="107" s="2903" customFormat="1" spans="2:18">
      <c r="B107" s="2908"/>
      <c r="C107" s="2908"/>
      <c r="D107" s="2908"/>
      <c r="E107" s="2908"/>
      <c r="F107" s="2908"/>
      <c r="G107" s="2909"/>
      <c r="H107" s="2908"/>
      <c r="I107" s="2909"/>
      <c r="J107" s="2908"/>
      <c r="K107" s="2908"/>
      <c r="L107" s="2909"/>
      <c r="M107" s="2908"/>
      <c r="N107" s="2908"/>
      <c r="O107" s="2909"/>
      <c r="P107" s="2908"/>
      <c r="Q107" s="2908"/>
      <c r="R107" s="2910"/>
    </row>
    <row r="108" s="2903" customFormat="1" spans="2:18">
      <c r="B108" s="2908"/>
      <c r="C108" s="2908"/>
      <c r="D108" s="2908"/>
      <c r="E108" s="2908"/>
      <c r="F108" s="2908"/>
      <c r="G108" s="2909"/>
      <c r="H108" s="2908"/>
      <c r="I108" s="2909"/>
      <c r="J108" s="2908"/>
      <c r="K108" s="2908"/>
      <c r="L108" s="2909"/>
      <c r="M108" s="2908"/>
      <c r="N108" s="2908"/>
      <c r="O108" s="2909"/>
      <c r="P108" s="2908"/>
      <c r="Q108" s="2908"/>
      <c r="R108" s="2910"/>
    </row>
    <row r="109" s="2903" customFormat="1" spans="2:18">
      <c r="B109" s="2908"/>
      <c r="C109" s="2908"/>
      <c r="D109" s="2908"/>
      <c r="E109" s="2908"/>
      <c r="F109" s="2908"/>
      <c r="G109" s="2909"/>
      <c r="H109" s="2908"/>
      <c r="I109" s="2909"/>
      <c r="J109" s="2908"/>
      <c r="K109" s="2908"/>
      <c r="L109" s="2909"/>
      <c r="M109" s="2908"/>
      <c r="N109" s="2908"/>
      <c r="O109" s="2909"/>
      <c r="P109" s="2908"/>
      <c r="Q109" s="2908"/>
      <c r="R109" s="2910"/>
    </row>
    <row r="110" s="2903" customFormat="1" spans="2:18">
      <c r="B110" s="2908"/>
      <c r="C110" s="2908"/>
      <c r="D110" s="2908"/>
      <c r="E110" s="2908"/>
      <c r="F110" s="2908"/>
      <c r="G110" s="2909"/>
      <c r="H110" s="2908"/>
      <c r="I110" s="2909"/>
      <c r="J110" s="2908"/>
      <c r="K110" s="2908"/>
      <c r="L110" s="2909"/>
      <c r="M110" s="2908"/>
      <c r="N110" s="2908"/>
      <c r="O110" s="2909"/>
      <c r="P110" s="2908"/>
      <c r="Q110" s="2908"/>
      <c r="R110" s="2910"/>
    </row>
    <row r="111" s="2903" customFormat="1" spans="2:18">
      <c r="B111" s="2908"/>
      <c r="C111" s="2908"/>
      <c r="D111" s="2908"/>
      <c r="E111" s="2908"/>
      <c r="F111" s="2908"/>
      <c r="G111" s="2909"/>
      <c r="H111" s="2908"/>
      <c r="I111" s="2909"/>
      <c r="J111" s="2908"/>
      <c r="K111" s="2908"/>
      <c r="L111" s="2909"/>
      <c r="M111" s="2908"/>
      <c r="N111" s="2908"/>
      <c r="O111" s="2909"/>
      <c r="P111" s="2908"/>
      <c r="Q111" s="2908"/>
      <c r="R111" s="2910"/>
    </row>
    <row r="112" s="2903" customFormat="1" spans="2:18">
      <c r="B112" s="2908"/>
      <c r="C112" s="2908"/>
      <c r="D112" s="2908"/>
      <c r="E112" s="2908"/>
      <c r="F112" s="2908"/>
      <c r="G112" s="2909"/>
      <c r="H112" s="2908"/>
      <c r="I112" s="2909"/>
      <c r="J112" s="2908"/>
      <c r="K112" s="2908"/>
      <c r="L112" s="2909"/>
      <c r="M112" s="2908"/>
      <c r="N112" s="2908"/>
      <c r="O112" s="2909"/>
      <c r="P112" s="2908"/>
      <c r="Q112" s="2908"/>
      <c r="R112" s="2910"/>
    </row>
    <row r="113" s="2903" customFormat="1" spans="2:18">
      <c r="B113" s="2908"/>
      <c r="C113" s="2908"/>
      <c r="D113" s="2908"/>
      <c r="E113" s="2908"/>
      <c r="F113" s="2908"/>
      <c r="G113" s="2909"/>
      <c r="H113" s="2908"/>
      <c r="I113" s="2909"/>
      <c r="J113" s="2908"/>
      <c r="K113" s="2908"/>
      <c r="L113" s="2909"/>
      <c r="M113" s="2908"/>
      <c r="N113" s="2908"/>
      <c r="O113" s="2909"/>
      <c r="P113" s="2908"/>
      <c r="Q113" s="2908"/>
      <c r="R113" s="2910"/>
    </row>
    <row r="114" s="2903" customFormat="1" spans="2:18">
      <c r="B114" s="2908"/>
      <c r="C114" s="2908"/>
      <c r="D114" s="2908"/>
      <c r="E114" s="2908"/>
      <c r="F114" s="2908"/>
      <c r="G114" s="2909"/>
      <c r="H114" s="2908"/>
      <c r="I114" s="2909"/>
      <c r="J114" s="2908"/>
      <c r="K114" s="2908"/>
      <c r="L114" s="2909"/>
      <c r="M114" s="2908"/>
      <c r="N114" s="2908"/>
      <c r="O114" s="2909"/>
      <c r="P114" s="2908"/>
      <c r="Q114" s="2908"/>
      <c r="R114" s="2910"/>
    </row>
    <row r="115" s="2903" customFormat="1" spans="2:18">
      <c r="B115" s="2908"/>
      <c r="C115" s="2908"/>
      <c r="D115" s="2908"/>
      <c r="E115" s="2908"/>
      <c r="F115" s="2908"/>
      <c r="G115" s="2909"/>
      <c r="H115" s="2908"/>
      <c r="I115" s="2909"/>
      <c r="J115" s="2908"/>
      <c r="K115" s="2908"/>
      <c r="L115" s="2909"/>
      <c r="M115" s="2908"/>
      <c r="N115" s="2908"/>
      <c r="O115" s="2909"/>
      <c r="P115" s="2908"/>
      <c r="Q115" s="2908"/>
      <c r="R115" s="2910"/>
    </row>
    <row r="116" s="2903" customFormat="1" spans="2:18">
      <c r="B116" s="2908"/>
      <c r="C116" s="2908"/>
      <c r="D116" s="2908"/>
      <c r="E116" s="2908"/>
      <c r="F116" s="2908"/>
      <c r="G116" s="2909"/>
      <c r="H116" s="2908"/>
      <c r="I116" s="2909"/>
      <c r="J116" s="2908"/>
      <c r="K116" s="2908"/>
      <c r="L116" s="2909"/>
      <c r="M116" s="2908"/>
      <c r="N116" s="2908"/>
      <c r="O116" s="2909"/>
      <c r="P116" s="2908"/>
      <c r="Q116" s="2908"/>
      <c r="R116" s="2910"/>
    </row>
    <row r="117" s="2903" customFormat="1" spans="2:18">
      <c r="B117" s="2908"/>
      <c r="C117" s="2908"/>
      <c r="D117" s="2908"/>
      <c r="E117" s="2908"/>
      <c r="F117" s="2908"/>
      <c r="G117" s="2909"/>
      <c r="H117" s="2908"/>
      <c r="I117" s="2909"/>
      <c r="J117" s="2908"/>
      <c r="K117" s="2908"/>
      <c r="L117" s="2909"/>
      <c r="M117" s="2908"/>
      <c r="N117" s="2908"/>
      <c r="O117" s="2909"/>
      <c r="P117" s="2908"/>
      <c r="Q117" s="2908"/>
      <c r="R117" s="2910"/>
    </row>
    <row r="118" s="2903" customFormat="1" spans="2:18">
      <c r="B118" s="2908"/>
      <c r="C118" s="2908"/>
      <c r="D118" s="2908"/>
      <c r="E118" s="2908"/>
      <c r="F118" s="2908"/>
      <c r="G118" s="2909"/>
      <c r="H118" s="2908"/>
      <c r="I118" s="2909"/>
      <c r="J118" s="2908"/>
      <c r="K118" s="2908"/>
      <c r="L118" s="2909"/>
      <c r="M118" s="2908"/>
      <c r="N118" s="2908"/>
      <c r="O118" s="2909"/>
      <c r="P118" s="2908"/>
      <c r="Q118" s="2908"/>
      <c r="R118" s="2910"/>
    </row>
    <row r="119" s="2903" customFormat="1" spans="2:18">
      <c r="B119" s="2908"/>
      <c r="C119" s="2908"/>
      <c r="D119" s="2908"/>
      <c r="E119" s="2908"/>
      <c r="F119" s="2908"/>
      <c r="G119" s="2909"/>
      <c r="H119" s="2908"/>
      <c r="I119" s="2909"/>
      <c r="J119" s="2908"/>
      <c r="K119" s="2908"/>
      <c r="L119" s="2909"/>
      <c r="M119" s="2908"/>
      <c r="N119" s="2908"/>
      <c r="O119" s="2909"/>
      <c r="P119" s="2908"/>
      <c r="Q119" s="2908"/>
      <c r="R119" s="2910"/>
    </row>
    <row r="120" s="2903" customFormat="1" spans="2:18">
      <c r="B120" s="2908"/>
      <c r="C120" s="2908"/>
      <c r="D120" s="2908"/>
      <c r="E120" s="2908"/>
      <c r="F120" s="2908"/>
      <c r="G120" s="2909"/>
      <c r="H120" s="2908"/>
      <c r="I120" s="2909"/>
      <c r="J120" s="2908"/>
      <c r="K120" s="2908"/>
      <c r="L120" s="2909"/>
      <c r="M120" s="2908"/>
      <c r="N120" s="2908"/>
      <c r="O120" s="2909"/>
      <c r="P120" s="2908"/>
      <c r="Q120" s="2908"/>
      <c r="R120" s="2910"/>
    </row>
    <row r="121" s="2903" customFormat="1" spans="2:18">
      <c r="B121" s="2908"/>
      <c r="C121" s="2908"/>
      <c r="D121" s="2908"/>
      <c r="E121" s="2908"/>
      <c r="F121" s="2908"/>
      <c r="G121" s="2909"/>
      <c r="H121" s="2908"/>
      <c r="I121" s="2909"/>
      <c r="J121" s="2908"/>
      <c r="K121" s="2908"/>
      <c r="L121" s="2909"/>
      <c r="M121" s="2908"/>
      <c r="N121" s="2908"/>
      <c r="O121" s="2909"/>
      <c r="P121" s="2908"/>
      <c r="Q121" s="2908"/>
      <c r="R121" s="2910"/>
    </row>
    <row r="122" s="2903" customFormat="1" spans="2:18">
      <c r="B122" s="2908"/>
      <c r="C122" s="2908"/>
      <c r="D122" s="2908"/>
      <c r="E122" s="2908"/>
      <c r="F122" s="2908"/>
      <c r="G122" s="2909"/>
      <c r="H122" s="2908"/>
      <c r="I122" s="2909"/>
      <c r="J122" s="2908"/>
      <c r="K122" s="2908"/>
      <c r="L122" s="2909"/>
      <c r="M122" s="2908"/>
      <c r="N122" s="2908"/>
      <c r="O122" s="2909"/>
      <c r="P122" s="2908"/>
      <c r="Q122" s="2908"/>
      <c r="R122" s="2910"/>
    </row>
    <row r="123" s="2903" customFormat="1" spans="2:18">
      <c r="B123" s="2908"/>
      <c r="C123" s="2908"/>
      <c r="D123" s="2908"/>
      <c r="E123" s="2908"/>
      <c r="F123" s="2908"/>
      <c r="G123" s="2909"/>
      <c r="H123" s="2908"/>
      <c r="I123" s="2909"/>
      <c r="J123" s="2908"/>
      <c r="K123" s="2908"/>
      <c r="L123" s="2909"/>
      <c r="M123" s="2908"/>
      <c r="N123" s="2908"/>
      <c r="O123" s="2909"/>
      <c r="P123" s="2908"/>
      <c r="Q123" s="2908"/>
      <c r="R123" s="2910"/>
    </row>
    <row r="124" s="2903" customFormat="1" spans="2:18">
      <c r="B124" s="2908"/>
      <c r="C124" s="2908"/>
      <c r="D124" s="2908"/>
      <c r="E124" s="2908"/>
      <c r="F124" s="2908"/>
      <c r="G124" s="2909"/>
      <c r="H124" s="2908"/>
      <c r="I124" s="2909"/>
      <c r="J124" s="2908"/>
      <c r="K124" s="2908"/>
      <c r="L124" s="2909"/>
      <c r="M124" s="2908"/>
      <c r="N124" s="2908"/>
      <c r="O124" s="2909"/>
      <c r="P124" s="2908"/>
      <c r="Q124" s="2908"/>
      <c r="R124" s="2910"/>
    </row>
    <row r="125" s="2903" customFormat="1" spans="2:18">
      <c r="B125" s="2908"/>
      <c r="C125" s="2908"/>
      <c r="D125" s="2908"/>
      <c r="E125" s="2908"/>
      <c r="F125" s="2908"/>
      <c r="G125" s="2909"/>
      <c r="H125" s="2908"/>
      <c r="I125" s="2909"/>
      <c r="J125" s="2908"/>
      <c r="K125" s="2908"/>
      <c r="L125" s="2909"/>
      <c r="M125" s="2908"/>
      <c r="N125" s="2908"/>
      <c r="O125" s="2909"/>
      <c r="P125" s="2908"/>
      <c r="Q125" s="2908"/>
      <c r="R125" s="2910"/>
    </row>
    <row r="126" s="2903" customFormat="1" spans="2:18">
      <c r="B126" s="2908"/>
      <c r="C126" s="2908"/>
      <c r="D126" s="2908"/>
      <c r="E126" s="2908"/>
      <c r="F126" s="2908"/>
      <c r="G126" s="2909"/>
      <c r="H126" s="2908"/>
      <c r="I126" s="2909"/>
      <c r="J126" s="2908"/>
      <c r="K126" s="2908"/>
      <c r="L126" s="2909"/>
      <c r="M126" s="2908"/>
      <c r="N126" s="2908"/>
      <c r="O126" s="2909"/>
      <c r="P126" s="2908"/>
      <c r="Q126" s="2908"/>
      <c r="R126" s="2910"/>
    </row>
    <row r="127" s="2903" customFormat="1" spans="2:18">
      <c r="B127" s="2908"/>
      <c r="C127" s="2908"/>
      <c r="D127" s="2908"/>
      <c r="E127" s="2908"/>
      <c r="F127" s="2908"/>
      <c r="G127" s="2909"/>
      <c r="H127" s="2908"/>
      <c r="I127" s="2909"/>
      <c r="J127" s="2908"/>
      <c r="K127" s="2908"/>
      <c r="L127" s="2909"/>
      <c r="M127" s="2908"/>
      <c r="N127" s="2908"/>
      <c r="O127" s="2909"/>
      <c r="P127" s="2908"/>
      <c r="Q127" s="2908"/>
      <c r="R127" s="2910"/>
    </row>
    <row r="128" s="2903" customFormat="1" spans="2:18">
      <c r="B128" s="2908"/>
      <c r="C128" s="2908"/>
      <c r="D128" s="2908"/>
      <c r="E128" s="2908"/>
      <c r="F128" s="2908"/>
      <c r="G128" s="2909"/>
      <c r="H128" s="2908"/>
      <c r="I128" s="2909"/>
      <c r="J128" s="2908"/>
      <c r="K128" s="2908"/>
      <c r="L128" s="2909"/>
      <c r="M128" s="2908"/>
      <c r="N128" s="2908"/>
      <c r="O128" s="2909"/>
      <c r="P128" s="2908"/>
      <c r="Q128" s="2908"/>
      <c r="R128" s="2910"/>
    </row>
    <row r="129" s="2903" customFormat="1" spans="2:18">
      <c r="B129" s="2908"/>
      <c r="C129" s="2908"/>
      <c r="D129" s="2908"/>
      <c r="E129" s="2908"/>
      <c r="F129" s="2908"/>
      <c r="G129" s="2909"/>
      <c r="H129" s="2908"/>
      <c r="I129" s="2909"/>
      <c r="J129" s="2908"/>
      <c r="K129" s="2908"/>
      <c r="L129" s="2909"/>
      <c r="M129" s="2908"/>
      <c r="N129" s="2908"/>
      <c r="O129" s="2909"/>
      <c r="P129" s="2908"/>
      <c r="Q129" s="2908"/>
      <c r="R129" s="2910"/>
    </row>
    <row r="130" s="2903" customFormat="1" spans="2:18">
      <c r="B130" s="2908"/>
      <c r="C130" s="2908"/>
      <c r="D130" s="2908"/>
      <c r="E130" s="2908"/>
      <c r="F130" s="2908"/>
      <c r="G130" s="2909"/>
      <c r="H130" s="2908"/>
      <c r="I130" s="2909"/>
      <c r="J130" s="2908"/>
      <c r="K130" s="2908"/>
      <c r="L130" s="2909"/>
      <c r="M130" s="2908"/>
      <c r="N130" s="2908"/>
      <c r="O130" s="2909"/>
      <c r="P130" s="2908"/>
      <c r="Q130" s="2908"/>
      <c r="R130" s="2910"/>
    </row>
    <row r="131" s="2903" customFormat="1" spans="2:18">
      <c r="B131" s="2908"/>
      <c r="C131" s="2908"/>
      <c r="D131" s="2908"/>
      <c r="E131" s="2908"/>
      <c r="F131" s="2908"/>
      <c r="G131" s="2909"/>
      <c r="H131" s="2908"/>
      <c r="I131" s="2909"/>
      <c r="J131" s="2908"/>
      <c r="K131" s="2908"/>
      <c r="L131" s="2909"/>
      <c r="M131" s="2908"/>
      <c r="N131" s="2908"/>
      <c r="O131" s="2909"/>
      <c r="P131" s="2908"/>
      <c r="Q131" s="2908"/>
      <c r="R131" s="2910"/>
    </row>
    <row r="132" s="2903" customFormat="1" spans="2:18">
      <c r="B132" s="2908"/>
      <c r="C132" s="2908"/>
      <c r="D132" s="2908"/>
      <c r="E132" s="2908"/>
      <c r="F132" s="2908"/>
      <c r="G132" s="2909"/>
      <c r="H132" s="2908"/>
      <c r="I132" s="2909"/>
      <c r="J132" s="2908"/>
      <c r="K132" s="2908"/>
      <c r="L132" s="2909"/>
      <c r="M132" s="2908"/>
      <c r="N132" s="2908"/>
      <c r="O132" s="2909"/>
      <c r="P132" s="2908"/>
      <c r="Q132" s="2908"/>
      <c r="R132" s="2910"/>
    </row>
    <row r="133" s="2903" customFormat="1" spans="2:18">
      <c r="B133" s="2908"/>
      <c r="C133" s="2908"/>
      <c r="D133" s="2908"/>
      <c r="E133" s="2908"/>
      <c r="F133" s="2908"/>
      <c r="G133" s="2909"/>
      <c r="H133" s="2908"/>
      <c r="I133" s="2909"/>
      <c r="J133" s="2908"/>
      <c r="K133" s="2908"/>
      <c r="L133" s="2909"/>
      <c r="M133" s="2908"/>
      <c r="N133" s="2908"/>
      <c r="O133" s="2909"/>
      <c r="P133" s="2908"/>
      <c r="Q133" s="2908"/>
      <c r="R133" s="2910"/>
    </row>
    <row r="134" s="2903" customFormat="1" spans="2:18">
      <c r="B134" s="2908"/>
      <c r="C134" s="2908"/>
      <c r="D134" s="2908"/>
      <c r="E134" s="2908"/>
      <c r="F134" s="2908"/>
      <c r="G134" s="2909"/>
      <c r="H134" s="2908"/>
      <c r="I134" s="2909"/>
      <c r="J134" s="2908"/>
      <c r="K134" s="2908"/>
      <c r="L134" s="2909"/>
      <c r="M134" s="2908"/>
      <c r="N134" s="2908"/>
      <c r="O134" s="2909"/>
      <c r="P134" s="2908"/>
      <c r="Q134" s="2908"/>
      <c r="R134" s="2910"/>
    </row>
    <row r="135" s="2903" customFormat="1" spans="2:18">
      <c r="B135" s="2908"/>
      <c r="C135" s="2908"/>
      <c r="D135" s="2908"/>
      <c r="E135" s="2908"/>
      <c r="F135" s="2908"/>
      <c r="G135" s="2909"/>
      <c r="H135" s="2908"/>
      <c r="I135" s="2909"/>
      <c r="J135" s="2908"/>
      <c r="K135" s="2908"/>
      <c r="L135" s="2909"/>
      <c r="M135" s="2908"/>
      <c r="N135" s="2908"/>
      <c r="O135" s="2909"/>
      <c r="P135" s="2908"/>
      <c r="Q135" s="2908"/>
      <c r="R135" s="2910"/>
    </row>
    <row r="136" s="2903" customFormat="1" spans="2:18">
      <c r="B136" s="2908"/>
      <c r="C136" s="2908"/>
      <c r="D136" s="2908"/>
      <c r="E136" s="2908"/>
      <c r="F136" s="2908"/>
      <c r="G136" s="2909"/>
      <c r="H136" s="2908"/>
      <c r="I136" s="2909"/>
      <c r="J136" s="2908"/>
      <c r="K136" s="2908"/>
      <c r="L136" s="2909"/>
      <c r="M136" s="2908"/>
      <c r="N136" s="2908"/>
      <c r="O136" s="2909"/>
      <c r="P136" s="2908"/>
      <c r="Q136" s="2908"/>
      <c r="R136" s="2910"/>
    </row>
    <row r="137" s="2903" customFormat="1" spans="2:18">
      <c r="B137" s="2908"/>
      <c r="C137" s="2908"/>
      <c r="D137" s="2908"/>
      <c r="E137" s="2908"/>
      <c r="F137" s="2908"/>
      <c r="G137" s="2909"/>
      <c r="H137" s="2908"/>
      <c r="I137" s="2909"/>
      <c r="J137" s="2908"/>
      <c r="K137" s="2908"/>
      <c r="L137" s="2909"/>
      <c r="M137" s="2908"/>
      <c r="N137" s="2908"/>
      <c r="O137" s="2909"/>
      <c r="P137" s="2908"/>
      <c r="Q137" s="2908"/>
      <c r="R137" s="2910"/>
    </row>
    <row r="138" s="2903" customFormat="1" spans="2:18">
      <c r="B138" s="2908"/>
      <c r="C138" s="2908"/>
      <c r="D138" s="2908"/>
      <c r="E138" s="2908"/>
      <c r="F138" s="2908"/>
      <c r="G138" s="2909"/>
      <c r="H138" s="2908"/>
      <c r="I138" s="2909"/>
      <c r="J138" s="2908"/>
      <c r="K138" s="2908"/>
      <c r="L138" s="2909"/>
      <c r="M138" s="2908"/>
      <c r="N138" s="2908"/>
      <c r="O138" s="2909"/>
      <c r="P138" s="2908"/>
      <c r="Q138" s="2908"/>
      <c r="R138" s="2910"/>
    </row>
    <row r="139" s="2903" customFormat="1" spans="2:18">
      <c r="B139" s="2908"/>
      <c r="C139" s="2908"/>
      <c r="D139" s="2908"/>
      <c r="E139" s="2908"/>
      <c r="F139" s="2908"/>
      <c r="G139" s="2909"/>
      <c r="H139" s="2908"/>
      <c r="I139" s="2909"/>
      <c r="J139" s="2908"/>
      <c r="K139" s="2908"/>
      <c r="L139" s="2909"/>
      <c r="M139" s="2908"/>
      <c r="N139" s="2908"/>
      <c r="O139" s="2909"/>
      <c r="P139" s="2908"/>
      <c r="Q139" s="2908"/>
      <c r="R139" s="2910"/>
    </row>
    <row r="140" s="2903" customFormat="1" spans="2:18">
      <c r="B140" s="2908"/>
      <c r="C140" s="2908"/>
      <c r="D140" s="2908"/>
      <c r="E140" s="2908"/>
      <c r="F140" s="2908"/>
      <c r="G140" s="2909"/>
      <c r="H140" s="2908"/>
      <c r="I140" s="2909"/>
      <c r="J140" s="2908"/>
      <c r="K140" s="2908"/>
      <c r="L140" s="2909"/>
      <c r="M140" s="2908"/>
      <c r="N140" s="2908"/>
      <c r="O140" s="2909"/>
      <c r="P140" s="2908"/>
      <c r="Q140" s="2908"/>
      <c r="R140" s="2910"/>
    </row>
    <row r="141" s="2903" customFormat="1" spans="2:18">
      <c r="B141" s="2908"/>
      <c r="C141" s="2908"/>
      <c r="D141" s="2908"/>
      <c r="E141" s="2908"/>
      <c r="F141" s="2908"/>
      <c r="G141" s="2909"/>
      <c r="H141" s="2908"/>
      <c r="I141" s="2909"/>
      <c r="J141" s="2908"/>
      <c r="K141" s="2908"/>
      <c r="L141" s="2909"/>
      <c r="M141" s="2908"/>
      <c r="N141" s="2908"/>
      <c r="O141" s="2909"/>
      <c r="P141" s="2908"/>
      <c r="Q141" s="2908"/>
      <c r="R141" s="2910"/>
    </row>
    <row r="142" s="2903" customFormat="1" spans="2:18">
      <c r="B142" s="2908"/>
      <c r="C142" s="2908"/>
      <c r="D142" s="2908"/>
      <c r="E142" s="2908"/>
      <c r="F142" s="2908"/>
      <c r="G142" s="2909"/>
      <c r="H142" s="2908"/>
      <c r="I142" s="2909"/>
      <c r="J142" s="2908"/>
      <c r="K142" s="2908"/>
      <c r="L142" s="2909"/>
      <c r="M142" s="2908"/>
      <c r="N142" s="2908"/>
      <c r="O142" s="2909"/>
      <c r="P142" s="2908"/>
      <c r="Q142" s="2908"/>
      <c r="R142" s="2910"/>
    </row>
    <row r="143" s="2903" customFormat="1" spans="2:18">
      <c r="B143" s="2908"/>
      <c r="C143" s="2908"/>
      <c r="D143" s="2908"/>
      <c r="E143" s="2908"/>
      <c r="F143" s="2908"/>
      <c r="G143" s="2909"/>
      <c r="H143" s="2908"/>
      <c r="I143" s="2909"/>
      <c r="J143" s="2908"/>
      <c r="K143" s="2908"/>
      <c r="L143" s="2909"/>
      <c r="M143" s="2908"/>
      <c r="N143" s="2908"/>
      <c r="O143" s="2909"/>
      <c r="P143" s="2908"/>
      <c r="Q143" s="2908"/>
      <c r="R143" s="2910"/>
    </row>
    <row r="144" s="2903" customFormat="1" spans="2:18">
      <c r="B144" s="2908"/>
      <c r="C144" s="2908"/>
      <c r="D144" s="2908"/>
      <c r="E144" s="2908"/>
      <c r="F144" s="2908"/>
      <c r="G144" s="2909"/>
      <c r="H144" s="2908"/>
      <c r="I144" s="2909"/>
      <c r="J144" s="2908"/>
      <c r="K144" s="2908"/>
      <c r="L144" s="2909"/>
      <c r="M144" s="2908"/>
      <c r="N144" s="2908"/>
      <c r="O144" s="2909"/>
      <c r="P144" s="2908"/>
      <c r="Q144" s="2908"/>
      <c r="R144" s="2910"/>
    </row>
    <row r="145" s="2903" customFormat="1" spans="2:18">
      <c r="B145" s="2908"/>
      <c r="C145" s="2908"/>
      <c r="D145" s="2908"/>
      <c r="E145" s="2908"/>
      <c r="F145" s="2908"/>
      <c r="G145" s="2909"/>
      <c r="H145" s="2908"/>
      <c r="I145" s="2909"/>
      <c r="J145" s="2908"/>
      <c r="K145" s="2908"/>
      <c r="L145" s="2909"/>
      <c r="M145" s="2908"/>
      <c r="N145" s="2908"/>
      <c r="O145" s="2909"/>
      <c r="P145" s="2908"/>
      <c r="Q145" s="2908"/>
      <c r="R145" s="2910"/>
    </row>
    <row r="146" s="2903" customFormat="1" spans="2:18">
      <c r="B146" s="2908"/>
      <c r="C146" s="2908"/>
      <c r="D146" s="2908"/>
      <c r="E146" s="2908"/>
      <c r="F146" s="2908"/>
      <c r="G146" s="2909"/>
      <c r="H146" s="2908"/>
      <c r="I146" s="2909"/>
      <c r="J146" s="2908"/>
      <c r="K146" s="2908"/>
      <c r="L146" s="2909"/>
      <c r="M146" s="2908"/>
      <c r="N146" s="2908"/>
      <c r="O146" s="2909"/>
      <c r="P146" s="2908"/>
      <c r="Q146" s="2908"/>
      <c r="R146" s="2910"/>
    </row>
    <row r="147" s="2903" customFormat="1" spans="2:18">
      <c r="B147" s="2908"/>
      <c r="C147" s="2908"/>
      <c r="D147" s="2908"/>
      <c r="E147" s="2908"/>
      <c r="F147" s="2908"/>
      <c r="G147" s="2909"/>
      <c r="H147" s="2908"/>
      <c r="I147" s="2909"/>
      <c r="J147" s="2908"/>
      <c r="K147" s="2908"/>
      <c r="L147" s="2909"/>
      <c r="M147" s="2908"/>
      <c r="N147" s="2908"/>
      <c r="O147" s="2909"/>
      <c r="P147" s="2908"/>
      <c r="Q147" s="2908"/>
      <c r="R147" s="2910"/>
    </row>
    <row r="148" s="2903" customFormat="1" spans="2:18">
      <c r="B148" s="2908"/>
      <c r="C148" s="2908"/>
      <c r="D148" s="2908"/>
      <c r="E148" s="2908"/>
      <c r="F148" s="2908"/>
      <c r="G148" s="2909"/>
      <c r="H148" s="2908"/>
      <c r="I148" s="2909"/>
      <c r="J148" s="2908"/>
      <c r="K148" s="2908"/>
      <c r="L148" s="2909"/>
      <c r="M148" s="2908"/>
      <c r="N148" s="2908"/>
      <c r="O148" s="2909"/>
      <c r="P148" s="2908"/>
      <c r="Q148" s="2908"/>
      <c r="R148" s="2910"/>
    </row>
    <row r="149" s="2903" customFormat="1" spans="2:18">
      <c r="B149" s="2908"/>
      <c r="C149" s="2908"/>
      <c r="D149" s="2908"/>
      <c r="E149" s="2908"/>
      <c r="F149" s="2908"/>
      <c r="G149" s="2909"/>
      <c r="H149" s="2908"/>
      <c r="I149" s="2909"/>
      <c r="J149" s="2908"/>
      <c r="K149" s="2908"/>
      <c r="L149" s="2909"/>
      <c r="M149" s="2908"/>
      <c r="N149" s="2908"/>
      <c r="O149" s="2909"/>
      <c r="P149" s="2908"/>
      <c r="Q149" s="2908"/>
      <c r="R149" s="2910"/>
    </row>
    <row r="150" s="2903" customFormat="1" spans="2:18">
      <c r="B150" s="2908"/>
      <c r="C150" s="2908"/>
      <c r="D150" s="2908"/>
      <c r="E150" s="2908"/>
      <c r="F150" s="2908"/>
      <c r="G150" s="2909"/>
      <c r="H150" s="2908"/>
      <c r="I150" s="2909"/>
      <c r="J150" s="2908"/>
      <c r="K150" s="2908"/>
      <c r="L150" s="2909"/>
      <c r="M150" s="2908"/>
      <c r="N150" s="2908"/>
      <c r="O150" s="2909"/>
      <c r="P150" s="2908"/>
      <c r="Q150" s="2908"/>
      <c r="R150" s="2910"/>
    </row>
    <row r="151" s="2903" customFormat="1" spans="2:18">
      <c r="B151" s="2908"/>
      <c r="C151" s="2908"/>
      <c r="D151" s="2908"/>
      <c r="E151" s="2908"/>
      <c r="F151" s="2908"/>
      <c r="G151" s="2909"/>
      <c r="H151" s="2908"/>
      <c r="I151" s="2909"/>
      <c r="J151" s="2908"/>
      <c r="K151" s="2908"/>
      <c r="L151" s="2909"/>
      <c r="M151" s="2908"/>
      <c r="N151" s="2908"/>
      <c r="O151" s="2909"/>
      <c r="P151" s="2908"/>
      <c r="Q151" s="2908"/>
      <c r="R151" s="2910"/>
    </row>
    <row r="152" s="2903" customFormat="1" spans="2:18">
      <c r="B152" s="2908"/>
      <c r="C152" s="2908"/>
      <c r="D152" s="2908"/>
      <c r="E152" s="2908"/>
      <c r="F152" s="2908"/>
      <c r="G152" s="2909"/>
      <c r="H152" s="2908"/>
      <c r="I152" s="2909"/>
      <c r="J152" s="2908"/>
      <c r="K152" s="2908"/>
      <c r="L152" s="2909"/>
      <c r="M152" s="2908"/>
      <c r="N152" s="2908"/>
      <c r="O152" s="2909"/>
      <c r="P152" s="2908"/>
      <c r="Q152" s="2908"/>
      <c r="R152" s="2910"/>
    </row>
    <row r="153" s="2903" customFormat="1" spans="2:18">
      <c r="B153" s="2908"/>
      <c r="C153" s="2908"/>
      <c r="D153" s="2908"/>
      <c r="E153" s="2908"/>
      <c r="F153" s="2908"/>
      <c r="G153" s="2909"/>
      <c r="H153" s="2908"/>
      <c r="I153" s="2909"/>
      <c r="J153" s="2908"/>
      <c r="K153" s="2908"/>
      <c r="L153" s="2909"/>
      <c r="M153" s="2908"/>
      <c r="N153" s="2908"/>
      <c r="O153" s="2909"/>
      <c r="P153" s="2908"/>
      <c r="Q153" s="2908"/>
      <c r="R153" s="2910"/>
    </row>
    <row r="154" s="2903" customFormat="1" spans="2:18">
      <c r="B154" s="2908"/>
      <c r="C154" s="2908"/>
      <c r="D154" s="2908"/>
      <c r="E154" s="2908"/>
      <c r="F154" s="2908"/>
      <c r="G154" s="2909"/>
      <c r="H154" s="2908"/>
      <c r="I154" s="2909"/>
      <c r="J154" s="2908"/>
      <c r="K154" s="2908"/>
      <c r="L154" s="2909"/>
      <c r="M154" s="2908"/>
      <c r="N154" s="2908"/>
      <c r="O154" s="2909"/>
      <c r="P154" s="2908"/>
      <c r="Q154" s="2908"/>
      <c r="R154" s="2910"/>
    </row>
    <row r="155" s="2903" customFormat="1" spans="2:18">
      <c r="B155" s="2908"/>
      <c r="C155" s="2908"/>
      <c r="D155" s="2908"/>
      <c r="E155" s="2908"/>
      <c r="F155" s="2908"/>
      <c r="G155" s="2909"/>
      <c r="H155" s="2908"/>
      <c r="I155" s="2909"/>
      <c r="J155" s="2908"/>
      <c r="K155" s="2908"/>
      <c r="L155" s="2909"/>
      <c r="M155" s="2908"/>
      <c r="N155" s="2908"/>
      <c r="O155" s="2909"/>
      <c r="P155" s="2908"/>
      <c r="Q155" s="2908"/>
      <c r="R155" s="2910"/>
    </row>
    <row r="156" s="2903" customFormat="1" spans="2:18">
      <c r="B156" s="2908"/>
      <c r="C156" s="2908"/>
      <c r="D156" s="2908"/>
      <c r="E156" s="2908"/>
      <c r="F156" s="2908"/>
      <c r="G156" s="2909"/>
      <c r="H156" s="2908"/>
      <c r="I156" s="2909"/>
      <c r="J156" s="2908"/>
      <c r="K156" s="2908"/>
      <c r="L156" s="2909"/>
      <c r="M156" s="2908"/>
      <c r="N156" s="2908"/>
      <c r="O156" s="2909"/>
      <c r="P156" s="2908"/>
      <c r="Q156" s="2908"/>
      <c r="R156" s="2910"/>
    </row>
    <row r="157" s="2903" customFormat="1" spans="2:18">
      <c r="B157" s="2908"/>
      <c r="C157" s="2908"/>
      <c r="D157" s="2908"/>
      <c r="E157" s="2908"/>
      <c r="F157" s="2908"/>
      <c r="G157" s="2909"/>
      <c r="H157" s="2908"/>
      <c r="I157" s="2909"/>
      <c r="J157" s="2908"/>
      <c r="K157" s="2908"/>
      <c r="L157" s="2909"/>
      <c r="M157" s="2908"/>
      <c r="N157" s="2908"/>
      <c r="O157" s="2909"/>
      <c r="P157" s="2908"/>
      <c r="Q157" s="2908"/>
      <c r="R157" s="2910"/>
    </row>
    <row r="158" s="2903" customFormat="1" spans="2:18">
      <c r="B158" s="2908"/>
      <c r="C158" s="2908"/>
      <c r="D158" s="2908"/>
      <c r="E158" s="2908"/>
      <c r="F158" s="2908"/>
      <c r="G158" s="2909"/>
      <c r="H158" s="2908"/>
      <c r="I158" s="2909"/>
      <c r="J158" s="2908"/>
      <c r="K158" s="2908"/>
      <c r="L158" s="2909"/>
      <c r="M158" s="2908"/>
      <c r="N158" s="2908"/>
      <c r="O158" s="2909"/>
      <c r="P158" s="2908"/>
      <c r="Q158" s="2908"/>
      <c r="R158" s="2910"/>
    </row>
    <row r="159" s="2903" customFormat="1" spans="2:18">
      <c r="B159" s="2908"/>
      <c r="C159" s="2908"/>
      <c r="D159" s="2908"/>
      <c r="E159" s="2908"/>
      <c r="F159" s="2908"/>
      <c r="G159" s="2909"/>
      <c r="H159" s="2908"/>
      <c r="I159" s="2909"/>
      <c r="J159" s="2908"/>
      <c r="K159" s="2908"/>
      <c r="L159" s="2909"/>
      <c r="M159" s="2908"/>
      <c r="N159" s="2908"/>
      <c r="O159" s="2909"/>
      <c r="P159" s="2908"/>
      <c r="Q159" s="2908"/>
      <c r="R159" s="2910"/>
    </row>
    <row r="160" s="2903" customFormat="1" spans="2:18">
      <c r="B160" s="2908"/>
      <c r="C160" s="2908"/>
      <c r="D160" s="2908"/>
      <c r="E160" s="2908"/>
      <c r="F160" s="2908"/>
      <c r="G160" s="2909"/>
      <c r="H160" s="2908"/>
      <c r="I160" s="2909"/>
      <c r="J160" s="2908"/>
      <c r="K160" s="2908"/>
      <c r="L160" s="2909"/>
      <c r="M160" s="2908"/>
      <c r="N160" s="2908"/>
      <c r="O160" s="2909"/>
      <c r="P160" s="2908"/>
      <c r="Q160" s="2908"/>
      <c r="R160" s="2910"/>
    </row>
    <row r="161" s="2903" customFormat="1" spans="2:18">
      <c r="B161" s="2908"/>
      <c r="C161" s="2908"/>
      <c r="D161" s="2908"/>
      <c r="E161" s="2908"/>
      <c r="F161" s="2908"/>
      <c r="G161" s="2909"/>
      <c r="H161" s="2908"/>
      <c r="I161" s="2909"/>
      <c r="J161" s="2908"/>
      <c r="K161" s="2908"/>
      <c r="L161" s="2909"/>
      <c r="M161" s="2908"/>
      <c r="N161" s="2908"/>
      <c r="O161" s="2909"/>
      <c r="P161" s="2908"/>
      <c r="Q161" s="2908"/>
      <c r="R161" s="2910"/>
    </row>
    <row r="162" s="2903" customFormat="1" spans="2:18">
      <c r="B162" s="2908"/>
      <c r="C162" s="2908"/>
      <c r="D162" s="2908"/>
      <c r="E162" s="2908"/>
      <c r="F162" s="2908"/>
      <c r="G162" s="2909"/>
      <c r="H162" s="2908"/>
      <c r="I162" s="2909"/>
      <c r="J162" s="2908"/>
      <c r="K162" s="2908"/>
      <c r="L162" s="2909"/>
      <c r="M162" s="2908"/>
      <c r="N162" s="2908"/>
      <c r="O162" s="2909"/>
      <c r="P162" s="2908"/>
      <c r="Q162" s="2908"/>
      <c r="R162" s="2910"/>
    </row>
    <row r="163" s="2903" customFormat="1" spans="2:18">
      <c r="B163" s="2908"/>
      <c r="C163" s="2908"/>
      <c r="D163" s="2908"/>
      <c r="E163" s="2908"/>
      <c r="F163" s="2908"/>
      <c r="G163" s="2909"/>
      <c r="H163" s="2908"/>
      <c r="I163" s="2909"/>
      <c r="J163" s="2908"/>
      <c r="K163" s="2908"/>
      <c r="L163" s="2909"/>
      <c r="M163" s="2908"/>
      <c r="N163" s="2908"/>
      <c r="O163" s="2909"/>
      <c r="P163" s="2908"/>
      <c r="Q163" s="2908"/>
      <c r="R163" s="2910"/>
    </row>
    <row r="164" s="2903" customFormat="1" spans="2:18">
      <c r="B164" s="2908"/>
      <c r="C164" s="2908"/>
      <c r="D164" s="2908"/>
      <c r="E164" s="2908"/>
      <c r="F164" s="2908"/>
      <c r="G164" s="2909"/>
      <c r="H164" s="2908"/>
      <c r="I164" s="2909"/>
      <c r="J164" s="2908"/>
      <c r="K164" s="2908"/>
      <c r="L164" s="2909"/>
      <c r="M164" s="2908"/>
      <c r="N164" s="2908"/>
      <c r="O164" s="2909"/>
      <c r="P164" s="2908"/>
      <c r="Q164" s="2908"/>
      <c r="R164" s="2910"/>
    </row>
    <row r="165" s="2903" customFormat="1" spans="2:18">
      <c r="B165" s="2908"/>
      <c r="C165" s="2908"/>
      <c r="D165" s="2908"/>
      <c r="E165" s="2908"/>
      <c r="F165" s="2908"/>
      <c r="G165" s="2909"/>
      <c r="H165" s="2908"/>
      <c r="I165" s="2909"/>
      <c r="J165" s="2908"/>
      <c r="K165" s="2908"/>
      <c r="L165" s="2909"/>
      <c r="M165" s="2908"/>
      <c r="N165" s="2908"/>
      <c r="O165" s="2909"/>
      <c r="P165" s="2908"/>
      <c r="Q165" s="2908"/>
      <c r="R165" s="2910"/>
    </row>
    <row r="166" s="2903" customFormat="1" spans="2:18">
      <c r="B166" s="2908"/>
      <c r="C166" s="2908"/>
      <c r="D166" s="2908"/>
      <c r="E166" s="2908"/>
      <c r="F166" s="2908"/>
      <c r="G166" s="2909"/>
      <c r="H166" s="2908"/>
      <c r="I166" s="2909"/>
      <c r="J166" s="2908"/>
      <c r="K166" s="2908"/>
      <c r="L166" s="2909"/>
      <c r="M166" s="2908"/>
      <c r="N166" s="2908"/>
      <c r="O166" s="2909"/>
      <c r="P166" s="2908"/>
      <c r="Q166" s="2908"/>
      <c r="R166" s="2910"/>
    </row>
    <row r="167" s="2903" customFormat="1" spans="2:18">
      <c r="B167" s="2908"/>
      <c r="C167" s="2908"/>
      <c r="D167" s="2908"/>
      <c r="E167" s="2908"/>
      <c r="F167" s="2908"/>
      <c r="G167" s="2909"/>
      <c r="H167" s="2908"/>
      <c r="I167" s="2909"/>
      <c r="J167" s="2908"/>
      <c r="K167" s="2908"/>
      <c r="L167" s="2909"/>
      <c r="M167" s="2908"/>
      <c r="N167" s="2908"/>
      <c r="O167" s="2909"/>
      <c r="P167" s="2908"/>
      <c r="Q167" s="2908"/>
      <c r="R167" s="2910"/>
    </row>
    <row r="168" s="2903" customFormat="1" spans="2:18">
      <c r="B168" s="2908"/>
      <c r="C168" s="2908"/>
      <c r="D168" s="2908"/>
      <c r="E168" s="2908"/>
      <c r="F168" s="2908"/>
      <c r="G168" s="2909"/>
      <c r="H168" s="2908"/>
      <c r="I168" s="2909"/>
      <c r="J168" s="2908"/>
      <c r="K168" s="2908"/>
      <c r="L168" s="2909"/>
      <c r="M168" s="2908"/>
      <c r="N168" s="2908"/>
      <c r="O168" s="2909"/>
      <c r="P168" s="2908"/>
      <c r="Q168" s="2908"/>
      <c r="R168" s="2910"/>
    </row>
    <row r="169" s="2903" customFormat="1" spans="2:18">
      <c r="B169" s="2908"/>
      <c r="C169" s="2908"/>
      <c r="D169" s="2908"/>
      <c r="E169" s="2908"/>
      <c r="F169" s="2908"/>
      <c r="G169" s="2909"/>
      <c r="H169" s="2908"/>
      <c r="I169" s="2909"/>
      <c r="J169" s="2908"/>
      <c r="K169" s="2908"/>
      <c r="L169" s="2909"/>
      <c r="M169" s="2908"/>
      <c r="N169" s="2908"/>
      <c r="O169" s="2909"/>
      <c r="P169" s="2908"/>
      <c r="Q169" s="2908"/>
      <c r="R169" s="2910"/>
    </row>
    <row r="170" s="2903" customFormat="1" spans="2:18">
      <c r="B170" s="2908"/>
      <c r="C170" s="2908"/>
      <c r="D170" s="2908"/>
      <c r="E170" s="2908"/>
      <c r="F170" s="2908"/>
      <c r="G170" s="2909"/>
      <c r="H170" s="2908"/>
      <c r="I170" s="2909"/>
      <c r="J170" s="2908"/>
      <c r="K170" s="2908"/>
      <c r="L170" s="2909"/>
      <c r="M170" s="2908"/>
      <c r="N170" s="2908"/>
      <c r="O170" s="2909"/>
      <c r="P170" s="2908"/>
      <c r="Q170" s="2908"/>
      <c r="R170" s="2910"/>
    </row>
    <row r="171" s="2903" customFormat="1" spans="2:18">
      <c r="B171" s="2908"/>
      <c r="C171" s="2908"/>
      <c r="D171" s="2908"/>
      <c r="E171" s="2908"/>
      <c r="F171" s="2908"/>
      <c r="G171" s="2909"/>
      <c r="H171" s="2908"/>
      <c r="I171" s="2909"/>
      <c r="J171" s="2908"/>
      <c r="K171" s="2908"/>
      <c r="L171" s="2909"/>
      <c r="M171" s="2908"/>
      <c r="N171" s="2908"/>
      <c r="O171" s="2909"/>
      <c r="P171" s="2908"/>
      <c r="Q171" s="2908"/>
      <c r="R171" s="2910"/>
    </row>
    <row r="172" s="2903" customFormat="1" spans="2:18">
      <c r="B172" s="2908"/>
      <c r="C172" s="2908"/>
      <c r="D172" s="2908"/>
      <c r="E172" s="2908"/>
      <c r="F172" s="2908"/>
      <c r="G172" s="2909"/>
      <c r="H172" s="2908"/>
      <c r="I172" s="2909"/>
      <c r="J172" s="2908"/>
      <c r="K172" s="2908"/>
      <c r="L172" s="2909"/>
      <c r="M172" s="2908"/>
      <c r="N172" s="2908"/>
      <c r="O172" s="2909"/>
      <c r="P172" s="2908"/>
      <c r="Q172" s="2908"/>
      <c r="R172" s="2910"/>
    </row>
    <row r="173" s="2903" customFormat="1" spans="2:18">
      <c r="B173" s="2908"/>
      <c r="C173" s="2908"/>
      <c r="D173" s="2908"/>
      <c r="E173" s="2908"/>
      <c r="F173" s="2908"/>
      <c r="G173" s="2909"/>
      <c r="H173" s="2908"/>
      <c r="I173" s="2909"/>
      <c r="J173" s="2908"/>
      <c r="K173" s="2908"/>
      <c r="L173" s="2909"/>
      <c r="M173" s="2908"/>
      <c r="N173" s="2908"/>
      <c r="O173" s="2909"/>
      <c r="P173" s="2908"/>
      <c r="Q173" s="2908"/>
      <c r="R173" s="2910"/>
    </row>
    <row r="174" s="2903" customFormat="1" spans="2:18">
      <c r="B174" s="2908"/>
      <c r="C174" s="2908"/>
      <c r="D174" s="2908"/>
      <c r="E174" s="2908"/>
      <c r="F174" s="2908"/>
      <c r="G174" s="2909"/>
      <c r="H174" s="2908"/>
      <c r="I174" s="2909"/>
      <c r="J174" s="2908"/>
      <c r="K174" s="2908"/>
      <c r="L174" s="2909"/>
      <c r="M174" s="2908"/>
      <c r="N174" s="2908"/>
      <c r="O174" s="2909"/>
      <c r="P174" s="2908"/>
      <c r="Q174" s="2908"/>
      <c r="R174" s="2910"/>
    </row>
    <row r="175" s="2903" customFormat="1" spans="2:18">
      <c r="B175" s="2908"/>
      <c r="C175" s="2908"/>
      <c r="D175" s="2908"/>
      <c r="E175" s="2908"/>
      <c r="F175" s="2908"/>
      <c r="G175" s="2909"/>
      <c r="H175" s="2908"/>
      <c r="I175" s="2909"/>
      <c r="J175" s="2908"/>
      <c r="K175" s="2908"/>
      <c r="L175" s="2909"/>
      <c r="M175" s="2908"/>
      <c r="N175" s="2908"/>
      <c r="O175" s="2909"/>
      <c r="P175" s="2908"/>
      <c r="Q175" s="2908"/>
      <c r="R175" s="2910"/>
    </row>
    <row r="176" s="2903" customFormat="1" spans="2:18">
      <c r="B176" s="2908"/>
      <c r="C176" s="2908"/>
      <c r="D176" s="2908"/>
      <c r="E176" s="2908"/>
      <c r="F176" s="2908"/>
      <c r="G176" s="2909"/>
      <c r="H176" s="2908"/>
      <c r="I176" s="2909"/>
      <c r="J176" s="2908"/>
      <c r="K176" s="2908"/>
      <c r="L176" s="2909"/>
      <c r="M176" s="2908"/>
      <c r="N176" s="2908"/>
      <c r="O176" s="2909"/>
      <c r="P176" s="2908"/>
      <c r="Q176" s="2908"/>
      <c r="R176" s="2910"/>
    </row>
    <row r="177" s="2903" customFormat="1" spans="2:18">
      <c r="B177" s="2908"/>
      <c r="C177" s="2908"/>
      <c r="D177" s="2908"/>
      <c r="E177" s="2908"/>
      <c r="F177" s="2908"/>
      <c r="G177" s="2909"/>
      <c r="H177" s="2908"/>
      <c r="I177" s="2909"/>
      <c r="J177" s="2908"/>
      <c r="K177" s="2908"/>
      <c r="L177" s="2909"/>
      <c r="M177" s="2908"/>
      <c r="N177" s="2908"/>
      <c r="O177" s="2909"/>
      <c r="P177" s="2908"/>
      <c r="Q177" s="2908"/>
      <c r="R177" s="2910"/>
    </row>
    <row r="178" s="2903" customFormat="1" spans="2:18">
      <c r="B178" s="2908"/>
      <c r="C178" s="2908"/>
      <c r="D178" s="2908"/>
      <c r="E178" s="2908"/>
      <c r="F178" s="2908"/>
      <c r="G178" s="2909"/>
      <c r="H178" s="2908"/>
      <c r="I178" s="2909"/>
      <c r="J178" s="2908"/>
      <c r="K178" s="2908"/>
      <c r="L178" s="2909"/>
      <c r="M178" s="2908"/>
      <c r="N178" s="2908"/>
      <c r="O178" s="2909"/>
      <c r="P178" s="2908"/>
      <c r="Q178" s="2908"/>
      <c r="R178" s="2910"/>
    </row>
    <row r="179" s="2903" customFormat="1" spans="2:18">
      <c r="B179" s="2908"/>
      <c r="C179" s="2908"/>
      <c r="D179" s="2908"/>
      <c r="E179" s="2908"/>
      <c r="F179" s="2908"/>
      <c r="G179" s="2909"/>
      <c r="H179" s="2908"/>
      <c r="I179" s="2909"/>
      <c r="J179" s="2908"/>
      <c r="K179" s="2908"/>
      <c r="L179" s="2909"/>
      <c r="M179" s="2908"/>
      <c r="N179" s="2908"/>
      <c r="O179" s="2909"/>
      <c r="P179" s="2908"/>
      <c r="Q179" s="2908"/>
      <c r="R179" s="2910"/>
    </row>
    <row r="180" s="2903" customFormat="1" spans="2:18">
      <c r="B180" s="2908"/>
      <c r="C180" s="2908"/>
      <c r="D180" s="2908"/>
      <c r="E180" s="2908"/>
      <c r="F180" s="2908"/>
      <c r="G180" s="2909"/>
      <c r="H180" s="2908"/>
      <c r="I180" s="2909"/>
      <c r="J180" s="2908"/>
      <c r="K180" s="2908"/>
      <c r="L180" s="2909"/>
      <c r="M180" s="2908"/>
      <c r="N180" s="2908"/>
      <c r="O180" s="2909"/>
      <c r="P180" s="2908"/>
      <c r="Q180" s="2908"/>
      <c r="R180" s="2910"/>
    </row>
    <row r="181" s="2903" customFormat="1" spans="2:18">
      <c r="B181" s="2908"/>
      <c r="C181" s="2908"/>
      <c r="D181" s="2908"/>
      <c r="E181" s="2908"/>
      <c r="F181" s="2908"/>
      <c r="G181" s="2909"/>
      <c r="H181" s="2908"/>
      <c r="I181" s="2909"/>
      <c r="J181" s="2908"/>
      <c r="K181" s="2908"/>
      <c r="L181" s="2909"/>
      <c r="M181" s="2908"/>
      <c r="N181" s="2908"/>
      <c r="O181" s="2909"/>
      <c r="P181" s="2908"/>
      <c r="Q181" s="2908"/>
      <c r="R181" s="2910"/>
    </row>
    <row r="182" s="2903" customFormat="1" spans="2:18">
      <c r="B182" s="2908"/>
      <c r="C182" s="2908"/>
      <c r="D182" s="2908"/>
      <c r="E182" s="2908"/>
      <c r="F182" s="2908"/>
      <c r="G182" s="2909"/>
      <c r="H182" s="2908"/>
      <c r="I182" s="2909"/>
      <c r="J182" s="2908"/>
      <c r="K182" s="2908"/>
      <c r="L182" s="2909"/>
      <c r="M182" s="2908"/>
      <c r="N182" s="2908"/>
      <c r="O182" s="2909"/>
      <c r="P182" s="2908"/>
      <c r="Q182" s="2908"/>
      <c r="R182" s="2910"/>
    </row>
    <row r="183" s="2903" customFormat="1" spans="2:18">
      <c r="B183" s="2908"/>
      <c r="C183" s="2908"/>
      <c r="D183" s="2908"/>
      <c r="E183" s="2908"/>
      <c r="F183" s="2908"/>
      <c r="G183" s="2909"/>
      <c r="H183" s="2908"/>
      <c r="I183" s="2909"/>
      <c r="J183" s="2908"/>
      <c r="K183" s="2908"/>
      <c r="L183" s="2909"/>
      <c r="M183" s="2908"/>
      <c r="N183" s="2908"/>
      <c r="O183" s="2909"/>
      <c r="P183" s="2908"/>
      <c r="Q183" s="2908"/>
      <c r="R183" s="2910"/>
    </row>
    <row r="184" s="2903" customFormat="1" spans="2:18">
      <c r="B184" s="2908"/>
      <c r="C184" s="2908"/>
      <c r="D184" s="2908"/>
      <c r="E184" s="2908"/>
      <c r="F184" s="2908"/>
      <c r="G184" s="2909"/>
      <c r="H184" s="2908"/>
      <c r="I184" s="2909"/>
      <c r="J184" s="2908"/>
      <c r="K184" s="2908"/>
      <c r="L184" s="2909"/>
      <c r="M184" s="2908"/>
      <c r="N184" s="2908"/>
      <c r="O184" s="2909"/>
      <c r="P184" s="2908"/>
      <c r="Q184" s="2908"/>
      <c r="R184" s="2910"/>
    </row>
    <row r="185" s="2903" customFormat="1" spans="2:18">
      <c r="B185" s="2908"/>
      <c r="C185" s="2908"/>
      <c r="D185" s="2908"/>
      <c r="E185" s="2908"/>
      <c r="F185" s="2908"/>
      <c r="G185" s="2909"/>
      <c r="H185" s="2908"/>
      <c r="I185" s="2909"/>
      <c r="J185" s="2908"/>
      <c r="K185" s="2908"/>
      <c r="L185" s="2909"/>
      <c r="M185" s="2908"/>
      <c r="N185" s="2908"/>
      <c r="O185" s="2909"/>
      <c r="P185" s="2908"/>
      <c r="Q185" s="2908"/>
      <c r="R185" s="2910"/>
    </row>
    <row r="186" spans="1:7">
      <c r="A186" s="2903"/>
      <c r="B186" s="2908"/>
      <c r="C186" s="2908"/>
      <c r="E186" s="2908"/>
      <c r="F186" s="2908"/>
      <c r="G186" s="2909"/>
    </row>
    <row r="187" spans="1:7">
      <c r="A187" s="2903"/>
      <c r="B187" s="2908"/>
      <c r="C187" s="2908"/>
      <c r="E187" s="2908"/>
      <c r="F187" s="2908"/>
      <c r="G187" s="290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J25" sqref="J25"/>
    </sheetView>
  </sheetViews>
  <sheetFormatPr defaultColWidth="14.625" defaultRowHeight="13.5"/>
  <cols>
    <col min="1" max="1" width="24.375" style="2885" customWidth="1"/>
    <col min="2" max="16384" width="14.625" style="2885"/>
  </cols>
  <sheetData>
    <row r="1" ht="16.5" spans="1:7">
      <c r="A1" s="2886" t="s">
        <v>575</v>
      </c>
      <c r="B1" s="2886">
        <f>SUM(B14:B23)</f>
        <v>92.26</v>
      </c>
      <c r="C1" s="2887"/>
      <c r="D1" s="2887"/>
      <c r="E1" s="2887"/>
      <c r="F1" s="2887"/>
      <c r="G1" s="2888"/>
    </row>
    <row r="2" ht="16.5" spans="1:7">
      <c r="A2" s="2886" t="s">
        <v>576</v>
      </c>
      <c r="B2" s="2886">
        <f>SUM(C14:C23)</f>
        <v>0</v>
      </c>
      <c r="C2" s="2887"/>
      <c r="D2" s="2887"/>
      <c r="E2" s="2887"/>
      <c r="F2" s="2887"/>
      <c r="G2" s="2888"/>
    </row>
    <row r="3" ht="16.5" spans="1:7">
      <c r="A3" s="2886" t="s">
        <v>577</v>
      </c>
      <c r="B3" s="2889">
        <f>项目基本情况!D2</f>
        <v>40008</v>
      </c>
      <c r="C3" s="2887"/>
      <c r="D3" s="2887"/>
      <c r="E3" s="2887"/>
      <c r="F3" s="2887"/>
      <c r="G3" s="2888"/>
    </row>
    <row r="4" ht="33" spans="1:7">
      <c r="A4" s="2886" t="s">
        <v>578</v>
      </c>
      <c r="B4" s="2886" t="s">
        <v>579</v>
      </c>
      <c r="C4" s="2886" t="s">
        <v>580</v>
      </c>
      <c r="D4" s="2886" t="s">
        <v>581</v>
      </c>
      <c r="E4" s="2887"/>
      <c r="F4" s="2888"/>
      <c r="G4" s="2888"/>
    </row>
    <row r="5" ht="16.5" spans="1:7">
      <c r="A5" s="2886" t="s">
        <v>582</v>
      </c>
      <c r="B5" s="2886">
        <f ca="1">SUM(D14:D23)</f>
        <v>120.5377</v>
      </c>
      <c r="C5" s="2886">
        <f ca="1">ROUND(B5*10000/$B$1,0)</f>
        <v>13065</v>
      </c>
      <c r="D5" s="2886" t="e">
        <f ca="1">ROUND(B5*10000/$B$2,0)</f>
        <v>#DIV/0!</v>
      </c>
      <c r="E5" s="2887"/>
      <c r="F5" s="2888"/>
      <c r="G5" s="2888"/>
    </row>
    <row r="6" ht="16.5" spans="1:7">
      <c r="A6" s="2886" t="s">
        <v>583</v>
      </c>
      <c r="B6" s="2886">
        <f ca="1">SUM(G14:G23)</f>
        <v>120.5377</v>
      </c>
      <c r="C6" s="2886">
        <f ca="1" t="shared" ref="C6:C8" si="0">ROUND(B6*10000/$B$1,0)</f>
        <v>13065</v>
      </c>
      <c r="D6" s="2886" t="e">
        <f ca="1" t="shared" ref="D6:D8" si="1">ROUND(B6*10000/$B$2,0)</f>
        <v>#DIV/0!</v>
      </c>
      <c r="E6" s="2887"/>
      <c r="F6" s="2888"/>
      <c r="G6" s="2888"/>
    </row>
    <row r="7" ht="16.5" spans="1:7">
      <c r="A7" s="2886" t="s">
        <v>584</v>
      </c>
      <c r="B7" s="2886" t="e">
        <f ca="1">SUM(H14:H23)</f>
        <v>#VALUE!</v>
      </c>
      <c r="C7" s="2886" t="e">
        <f ca="1">ROUND(B7*10000/$B$1,0)</f>
        <v>#VALUE!</v>
      </c>
      <c r="D7" s="2886" t="e">
        <f ca="1" t="shared" si="1"/>
        <v>#VALUE!</v>
      </c>
      <c r="E7" s="2887"/>
      <c r="F7" s="2888"/>
      <c r="G7" s="2888"/>
    </row>
    <row r="8" ht="16.5" spans="1:7">
      <c r="A8" s="2886" t="s">
        <v>585</v>
      </c>
      <c r="B8" s="2886" t="e">
        <f ca="1">SUM(I14:I23)</f>
        <v>#VALUE!</v>
      </c>
      <c r="C8" s="2886" t="e">
        <f ca="1" t="shared" si="0"/>
        <v>#VALUE!</v>
      </c>
      <c r="D8" s="2886" t="e">
        <f ca="1" t="shared" si="1"/>
        <v>#VALUE!</v>
      </c>
      <c r="E8" s="2887"/>
      <c r="F8" s="2888"/>
      <c r="G8" s="2888"/>
    </row>
    <row r="9" ht="16.5" spans="1:7">
      <c r="A9" s="2886" t="s">
        <v>586</v>
      </c>
      <c r="B9" s="2890"/>
      <c r="C9" s="2887"/>
      <c r="D9" s="2887"/>
      <c r="E9" s="2887"/>
      <c r="F9" s="2888"/>
      <c r="G9" s="2888"/>
    </row>
    <row r="10" ht="16.5" spans="1:7">
      <c r="A10" s="2886" t="s">
        <v>587</v>
      </c>
      <c r="B10" s="2890"/>
      <c r="C10" s="2887"/>
      <c r="D10" s="2887"/>
      <c r="E10" s="2887"/>
      <c r="F10" s="2888"/>
      <c r="G10" s="2888"/>
    </row>
    <row r="11" ht="16.5" spans="1:7">
      <c r="A11" s="2886" t="s">
        <v>588</v>
      </c>
      <c r="B11" s="2890"/>
      <c r="C11" s="2887"/>
      <c r="D11" s="2887"/>
      <c r="E11" s="2887"/>
      <c r="F11" s="2888"/>
      <c r="G11" s="2888"/>
    </row>
    <row r="12" ht="16.5" spans="1:7">
      <c r="A12" s="2887"/>
      <c r="B12" s="2887"/>
      <c r="C12" s="2887"/>
      <c r="D12" s="2887"/>
      <c r="E12" s="2887"/>
      <c r="F12" s="2888"/>
      <c r="G12" s="2888"/>
    </row>
    <row r="13" ht="33" spans="1:9">
      <c r="A13" s="2891" t="s">
        <v>589</v>
      </c>
      <c r="B13" s="2892" t="s">
        <v>575</v>
      </c>
      <c r="C13" s="2892" t="s">
        <v>576</v>
      </c>
      <c r="D13" s="2892" t="s">
        <v>590</v>
      </c>
      <c r="E13" s="2886" t="s">
        <v>580</v>
      </c>
      <c r="F13" s="2886" t="s">
        <v>581</v>
      </c>
      <c r="G13" s="2892" t="s">
        <v>591</v>
      </c>
      <c r="H13" s="2892" t="s">
        <v>592</v>
      </c>
      <c r="I13" s="2892" t="s">
        <v>593</v>
      </c>
    </row>
    <row r="14" ht="16.5" spans="1:9">
      <c r="A14" s="2893" t="s">
        <v>594</v>
      </c>
      <c r="B14" s="2894">
        <f>项目基本情况!C12</f>
        <v>92.26</v>
      </c>
      <c r="C14" s="2894">
        <f>项目基本情况!C13</f>
        <v>0</v>
      </c>
      <c r="D14" s="2894">
        <f ca="1">IF('数据-取费表'!B3="万元",IF(A14="估价对象1（结果表）",结果表!H121,'结果表 (1修多)'!H125),IF(A14="估价对象1（结果表）",结果表!H121,'结果表 (1修多)'!H125)/10000)</f>
        <v>120.5377</v>
      </c>
      <c r="E14" s="2894">
        <f ca="1">ROUND(D14*10000/B14,0)</f>
        <v>13065</v>
      </c>
      <c r="F14" s="2894" t="e">
        <f ca="1">ROUND(D14*10000/C14,0)</f>
        <v>#DIV/0!</v>
      </c>
      <c r="G14" s="2894">
        <f ca="1">IF('数据-取费表'!B3="万元",IF(A14="估价对象1（结果表）",结果表!D125,'结果表 (1修多)'!D129),IF(A14="估价对象1（结果表）",结果表!D125,'结果表 (1修多)'!D129)/10000)</f>
        <v>120.5377</v>
      </c>
      <c r="H14" s="2894" t="e">
        <f ca="1">IF('数据-取费表'!B3="万元",IF(A14="估价对象1（结果表）",结果表!D127,'结果表 (1修多)'!D131),IF(A14="估价对象1（结果表）",结果表!D127,'结果表 (1修多)'!D131)/10000)</f>
        <v>#VALUE!</v>
      </c>
      <c r="I14" s="2894" t="e">
        <f ca="1">IF('数据-取费表'!B3="万元",IF(A14="估价对象1（结果表）",结果表!D129,'结果表 (1修多)'!D133),IF(A14="估价对象1（结果表）",结果表!D129,'结果表 (1修多)'!D133)/10000)</f>
        <v>#VALUE!</v>
      </c>
    </row>
    <row r="15" ht="16.5" spans="1:9">
      <c r="A15" s="2895" t="s">
        <v>595</v>
      </c>
      <c r="B15" s="2896"/>
      <c r="C15" s="2896"/>
      <c r="D15" s="2896"/>
      <c r="E15" s="2894" t="e">
        <f t="shared" ref="E15:E23" si="2">ROUND(D15*10000/B15,0)</f>
        <v>#DIV/0!</v>
      </c>
      <c r="F15" s="2894" t="e">
        <f t="shared" ref="F15:F23" si="3">ROUND(D15*10000/C15,0)</f>
        <v>#DIV/0!</v>
      </c>
      <c r="G15" s="2897"/>
      <c r="H15" s="2897"/>
      <c r="I15" s="2896"/>
    </row>
    <row r="16" ht="16.5" spans="1:9">
      <c r="A16" s="2895" t="s">
        <v>596</v>
      </c>
      <c r="B16" s="2896"/>
      <c r="C16" s="2896"/>
      <c r="D16" s="2896"/>
      <c r="E16" s="2894" t="e">
        <f t="shared" si="2"/>
        <v>#DIV/0!</v>
      </c>
      <c r="F16" s="2894" t="e">
        <f t="shared" si="3"/>
        <v>#DIV/0!</v>
      </c>
      <c r="G16" s="2897"/>
      <c r="H16" s="2897"/>
      <c r="I16" s="2896"/>
    </row>
    <row r="17" ht="16.5" spans="1:9">
      <c r="A17" s="2895" t="s">
        <v>597</v>
      </c>
      <c r="B17" s="2896"/>
      <c r="C17" s="2896"/>
      <c r="D17" s="2896"/>
      <c r="E17" s="2894" t="e">
        <f t="shared" si="2"/>
        <v>#DIV/0!</v>
      </c>
      <c r="F17" s="2894" t="e">
        <f t="shared" si="3"/>
        <v>#DIV/0!</v>
      </c>
      <c r="G17" s="2897"/>
      <c r="H17" s="2897"/>
      <c r="I17" s="2896"/>
    </row>
    <row r="18" ht="16.5" spans="1:9">
      <c r="A18" s="2895" t="s">
        <v>598</v>
      </c>
      <c r="B18" s="2896"/>
      <c r="C18" s="2896"/>
      <c r="D18" s="2896"/>
      <c r="E18" s="2894" t="e">
        <f t="shared" si="2"/>
        <v>#DIV/0!</v>
      </c>
      <c r="F18" s="2894" t="e">
        <f t="shared" si="3"/>
        <v>#DIV/0!</v>
      </c>
      <c r="G18" s="2896"/>
      <c r="H18" s="2896"/>
      <c r="I18" s="2896"/>
    </row>
    <row r="19" ht="16.5" spans="1:9">
      <c r="A19" s="2895" t="s">
        <v>599</v>
      </c>
      <c r="B19" s="2896"/>
      <c r="C19" s="2896"/>
      <c r="D19" s="2896"/>
      <c r="E19" s="2894" t="e">
        <f t="shared" si="2"/>
        <v>#DIV/0!</v>
      </c>
      <c r="F19" s="2894" t="e">
        <f t="shared" si="3"/>
        <v>#DIV/0!</v>
      </c>
      <c r="G19" s="2896"/>
      <c r="H19" s="2896"/>
      <c r="I19" s="2896"/>
    </row>
    <row r="20" ht="16.5" spans="1:9">
      <c r="A20" s="2895" t="s">
        <v>600</v>
      </c>
      <c r="B20" s="2896"/>
      <c r="C20" s="2896"/>
      <c r="D20" s="2896"/>
      <c r="E20" s="2894" t="e">
        <f t="shared" si="2"/>
        <v>#DIV/0!</v>
      </c>
      <c r="F20" s="2894" t="e">
        <f t="shared" si="3"/>
        <v>#DIV/0!</v>
      </c>
      <c r="G20" s="2896"/>
      <c r="H20" s="2896"/>
      <c r="I20" s="2896"/>
    </row>
    <row r="21" ht="16.5" spans="1:9">
      <c r="A21" s="2895" t="s">
        <v>601</v>
      </c>
      <c r="B21" s="2896"/>
      <c r="C21" s="2896"/>
      <c r="D21" s="2896"/>
      <c r="E21" s="2894" t="e">
        <f t="shared" si="2"/>
        <v>#DIV/0!</v>
      </c>
      <c r="F21" s="2894" t="e">
        <f t="shared" si="3"/>
        <v>#DIV/0!</v>
      </c>
      <c r="G21" s="2896"/>
      <c r="H21" s="2896"/>
      <c r="I21" s="2896"/>
    </row>
    <row r="22" ht="16.5" spans="1:9">
      <c r="A22" s="2895" t="s">
        <v>602</v>
      </c>
      <c r="B22" s="2896"/>
      <c r="C22" s="2896"/>
      <c r="D22" s="2896"/>
      <c r="E22" s="2894" t="e">
        <f t="shared" si="2"/>
        <v>#DIV/0!</v>
      </c>
      <c r="F22" s="2894" t="e">
        <f t="shared" si="3"/>
        <v>#DIV/0!</v>
      </c>
      <c r="G22" s="2896"/>
      <c r="H22" s="2896"/>
      <c r="I22" s="2896"/>
    </row>
    <row r="23" ht="16.5" spans="1:9">
      <c r="A23" s="2895" t="s">
        <v>603</v>
      </c>
      <c r="B23" s="2896"/>
      <c r="C23" s="2896"/>
      <c r="D23" s="2896"/>
      <c r="E23" s="2898" t="e">
        <f t="shared" si="2"/>
        <v>#DIV/0!</v>
      </c>
      <c r="F23" s="2898" t="e">
        <f t="shared" si="3"/>
        <v>#DIV/0!</v>
      </c>
      <c r="G23" s="2896"/>
      <c r="H23" s="2896"/>
      <c r="I23" s="289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17" sqref="L17"/>
    </sheetView>
  </sheetViews>
  <sheetFormatPr defaultColWidth="12.625" defaultRowHeight="21.75" customHeight="1"/>
  <cols>
    <col min="1" max="2" width="12.625" style="2428"/>
    <col min="3" max="4" width="12.625" style="2428" customWidth="1"/>
    <col min="5" max="9" width="12.625" style="2428"/>
    <col min="10" max="10" width="3.6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796" t="str">
        <f>项目基本情况!B1</f>
        <v>北京市预评估</v>
      </c>
      <c r="B2" s="2796"/>
      <c r="C2" s="2796"/>
      <c r="D2" s="2796"/>
      <c r="E2" s="2796"/>
      <c r="F2" s="2796"/>
      <c r="G2" s="2796"/>
      <c r="H2" s="2796"/>
      <c r="I2" s="2796"/>
      <c r="J2" s="2826"/>
    </row>
    <row r="3" ht="13.5" spans="1:10">
      <c r="A3" s="2433" t="s">
        <v>605</v>
      </c>
      <c r="B3" s="1981"/>
      <c r="C3" s="1981"/>
      <c r="D3" s="1981"/>
      <c r="E3" s="1981"/>
      <c r="F3" s="1981"/>
      <c r="G3" s="1981"/>
      <c r="H3" s="1981"/>
      <c r="I3" s="1981"/>
      <c r="J3" s="2564"/>
    </row>
    <row r="4" ht="14.25" spans="1:15">
      <c r="A4" s="2434" t="s">
        <v>606</v>
      </c>
      <c r="B4" s="2434" t="s">
        <v>607</v>
      </c>
      <c r="C4" s="2435" t="s">
        <v>608</v>
      </c>
      <c r="D4" s="2435" t="s">
        <v>609</v>
      </c>
      <c r="E4" s="1963" t="s">
        <v>610</v>
      </c>
      <c r="F4" s="1964"/>
      <c r="G4" s="1964"/>
      <c r="H4" s="1964"/>
      <c r="I4" s="2548"/>
      <c r="J4" s="2565"/>
      <c r="L4" s="2431" t="str">
        <f>IF(ISNUMBER(FIND("比较法",结果表!C4)),"比较法",IF(ISNUMBER(FIND("成本法",结果表!C4)),"成本法",IF(ISNUMBER(FIND("假设开发法",结果表!C4)),"假设开发法",IF(ISNUMBER(FIND("收益法",结果表!C4)),"收益法","基准地价系数修正法"))))</f>
        <v>比较法</v>
      </c>
      <c r="M4" s="2431" t="str">
        <f>IF(ISNUMBER(FIND("比较法",结果表!D4)),"比较法",IF(ISNUMBER(FIND("成本法",结果表!D4)),"成本法",IF(ISNUMBER(FIND("假设开发法",结果表!D4)),"假设开发法",IF(ISNUMBER(FIND("收益法",结果表!D4)),"收益法","基准地价系数修正法"))))</f>
        <v>成本法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v>5</v>
      </c>
      <c r="D14" s="2437">
        <f>10-C14</f>
        <v>5</v>
      </c>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5</v>
      </c>
      <c r="D17" s="2441">
        <f>SUM(D5:D16)</f>
        <v>5</v>
      </c>
      <c r="E17" s="2442"/>
      <c r="F17" s="2442"/>
      <c r="G17" s="2442"/>
      <c r="H17" s="2442"/>
      <c r="I17" s="2442"/>
      <c r="J17" s="2566"/>
    </row>
    <row r="18" ht="30" customHeight="1" spans="1:10">
      <c r="A18" s="2443" t="s">
        <v>629</v>
      </c>
      <c r="B18" s="2444"/>
      <c r="C18" s="2445">
        <f>ROUND(C17/SUM(C17:D17),2)</f>
        <v>0.5</v>
      </c>
      <c r="D18" s="2445">
        <f>1-C18</f>
        <v>0.5</v>
      </c>
      <c r="E18" s="2446" t="s">
        <v>630</v>
      </c>
      <c r="F18" s="2447"/>
      <c r="G18" s="2447"/>
      <c r="H18" s="2447"/>
      <c r="I18" s="2447"/>
      <c r="J18" s="2566"/>
    </row>
    <row r="19" ht="14.25" spans="1:10">
      <c r="A19" s="2448" t="s">
        <v>631</v>
      </c>
      <c r="B19" s="2449" t="s">
        <v>632</v>
      </c>
      <c r="C19" s="2450">
        <f ca="1">SUMIF(INDIRECT("'"&amp;C4&amp;"'"&amp;"!A:A"),结果表!B19,INDIRECT("'"&amp;C4&amp;"'"&amp;"!B:B"))</f>
        <v>1258057</v>
      </c>
      <c r="D19" s="2451">
        <f ca="1">SUMIF(INDIRECT("'"&amp;D4&amp;"'"&amp;"!A:A"),结果表!B19,INDIRECT("'"&amp;D4&amp;"'"&amp;"!B:B"))</f>
        <v>1152618</v>
      </c>
      <c r="E19" s="2448" t="s">
        <v>633</v>
      </c>
      <c r="F19" s="2449" t="s">
        <v>632</v>
      </c>
      <c r="G19" s="2452">
        <f ca="1">ROUND(C19*$C$18+D19*$D$18,0)</f>
        <v>1205338</v>
      </c>
      <c r="H19" s="2453" t="str">
        <f>'数据-取费表'!B3</f>
        <v>元</v>
      </c>
      <c r="I19" s="2827"/>
      <c r="J19" s="2828"/>
    </row>
    <row r="20" ht="15" spans="1:10">
      <c r="A20" s="2454"/>
      <c r="B20" s="1311" t="s">
        <v>634</v>
      </c>
      <c r="C20" s="1218">
        <f ca="1">SUMIF(INDIRECT("'"&amp;C4&amp;"'"&amp;"!A:A"),结果表!B20,INDIRECT("'"&amp;C4&amp;"'"&amp;"!B:B"))</f>
        <v>13636</v>
      </c>
      <c r="D20" s="2391">
        <f ca="1">SUMIF(INDIRECT("'"&amp;D4&amp;"'"&amp;"!A:A"),结果表!B20,INDIRECT("'"&amp;D4&amp;"'"&amp;"!B:B"))</f>
        <v>12493</v>
      </c>
      <c r="E20" s="2454"/>
      <c r="F20" s="1311" t="s">
        <v>634</v>
      </c>
      <c r="G20" s="1242">
        <f ca="1">ROUND(C20*$C$18+D20*$D$18,0)</f>
        <v>13065</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f ca="1">IF(C19&lt;D19,D19/C19-1,C19/D19-1)</f>
        <v>0.091477835674959</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c r="B27" s="2470">
        <v>0</v>
      </c>
      <c r="C27" s="2470">
        <v>0</v>
      </c>
      <c r="D27" s="2471">
        <f>ROUND(C27*B27/10000,0)</f>
        <v>0</v>
      </c>
      <c r="E27" s="2082"/>
      <c r="F27" s="2082"/>
      <c r="G27" s="2082"/>
      <c r="H27" s="2082"/>
      <c r="I27" s="2082"/>
      <c r="J27" s="2566"/>
    </row>
    <row r="28" ht="14.25" spans="1:10">
      <c r="A28" s="2469"/>
      <c r="B28" s="2470"/>
      <c r="C28" s="2470"/>
      <c r="D28" s="2471">
        <f t="shared" ref="D28:D29" si="0">ROUND(C28*B28/10000,0)</f>
        <v>0</v>
      </c>
      <c r="E28" s="2082"/>
      <c r="F28" s="2082"/>
      <c r="G28" s="2082"/>
      <c r="H28" s="2082"/>
      <c r="I28" s="2082"/>
      <c r="J28" s="2566"/>
    </row>
    <row r="29" ht="14.25" spans="1:10">
      <c r="A29" s="2469"/>
      <c r="B29" s="2470"/>
      <c r="C29" s="2470"/>
      <c r="D29" s="2471">
        <f t="shared" si="0"/>
        <v>0</v>
      </c>
      <c r="E29" s="2082"/>
      <c r="F29" s="2082"/>
      <c r="G29" s="2082"/>
      <c r="H29" s="2082"/>
      <c r="I29" s="2082"/>
      <c r="J29" s="2566"/>
    </row>
    <row r="30" ht="15" spans="1:10">
      <c r="A30" s="2474" t="s">
        <v>642</v>
      </c>
      <c r="B30" s="2474"/>
      <c r="C30" s="2474"/>
      <c r="D30" s="2474"/>
      <c r="E30" s="2475" t="s">
        <v>643</v>
      </c>
      <c r="F30" s="2442"/>
      <c r="G30" s="2442"/>
      <c r="H30" s="2442"/>
      <c r="I30" s="2442"/>
      <c r="J30" s="2566"/>
    </row>
    <row r="31" s="2424" customFormat="1" ht="26.45"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795" customFormat="1" ht="16.5" spans="1:36">
      <c r="A32" s="2797" t="s">
        <v>645</v>
      </c>
      <c r="B32" s="2798" t="str">
        <f>'数据-取费表'!B4</f>
        <v>楼面单价</v>
      </c>
      <c r="C32" s="2799">
        <f ca="1">IF(B32="总价",G19-C24,G20-C25)</f>
        <v>13065</v>
      </c>
      <c r="D32" s="2800" t="str">
        <f>IF(B32="楼面单价","元/平方米",H19)</f>
        <v>元/平方米</v>
      </c>
      <c r="E32" s="2801"/>
      <c r="F32" s="2801"/>
      <c r="G32" s="2801"/>
      <c r="H32" s="2801"/>
      <c r="I32" s="2801"/>
      <c r="J32" s="2829"/>
      <c r="K32" s="2830"/>
      <c r="L32" s="2830"/>
      <c r="M32" s="2830"/>
      <c r="N32" s="2830"/>
      <c r="O32" s="2830"/>
      <c r="P32" s="2830"/>
      <c r="Q32" s="2830"/>
      <c r="R32" s="2830"/>
      <c r="S32" s="2830"/>
      <c r="T32" s="2830"/>
      <c r="U32" s="2830"/>
      <c r="V32" s="2830"/>
      <c r="W32" s="2830"/>
      <c r="X32" s="2830"/>
      <c r="Y32" s="2830"/>
      <c r="Z32" s="2830"/>
      <c r="AA32" s="2830"/>
      <c r="AB32" s="2865"/>
      <c r="AC32" s="2865"/>
      <c r="AD32" s="2865"/>
      <c r="AE32" s="2865"/>
      <c r="AF32" s="2865"/>
      <c r="AG32" s="2865"/>
      <c r="AH32" s="2865"/>
      <c r="AI32" s="2865"/>
      <c r="AJ32" s="2865"/>
    </row>
    <row r="33" ht="15" spans="1:10">
      <c r="A33" s="2802" t="s">
        <v>646</v>
      </c>
      <c r="B33" s="1966"/>
      <c r="C33" s="2803"/>
      <c r="D33" s="2804"/>
      <c r="E33" s="2805" t="s">
        <v>647</v>
      </c>
      <c r="F33" s="2806" t="str">
        <f>IF(B32="楼面单价","取值（单价）","取值（总价）")</f>
        <v>取值（单价）</v>
      </c>
      <c r="G33" s="2082"/>
      <c r="H33" s="2082"/>
      <c r="I33" s="2082"/>
      <c r="J33" s="2566"/>
    </row>
    <row r="34" ht="15" spans="1:10">
      <c r="A34" s="2807"/>
      <c r="B34" s="2808" t="s">
        <v>648</v>
      </c>
      <c r="C34" s="2809" t="e">
        <f ca="1">IF(D33="自定义",F34,C32-C35)</f>
        <v>#DIV/0!</v>
      </c>
      <c r="D34" s="2810" t="e">
        <f ca="1">IF(D33="自定义",ROUND(C34/C32,3),1-D35)</f>
        <v>#DIV/0!</v>
      </c>
      <c r="E34" s="2811" t="s">
        <v>649</v>
      </c>
      <c r="F34" s="2812">
        <v>2000</v>
      </c>
      <c r="G34" s="2082"/>
      <c r="H34" s="2082"/>
      <c r="I34" s="2082"/>
      <c r="J34" s="2566"/>
    </row>
    <row r="35" ht="15.75" spans="1:10">
      <c r="A35" s="2491"/>
      <c r="B35" s="2813" t="s">
        <v>650</v>
      </c>
      <c r="C35" s="2814" t="e">
        <f ca="1">IF(D33="自定义",F35,ROUND(C32*D35,0))</f>
        <v>#DIV/0!</v>
      </c>
      <c r="D35" s="2815" t="e">
        <f ca="1">IF(D33="自定义",ROUND(C35/C32,3),IF(D33="成本法成本比率",成本法!C56,IF(D33="收益法收益比率",收益法!J38,收益法!J41)))</f>
        <v>#DIV/0!</v>
      </c>
      <c r="E35" s="2816" t="s">
        <v>651</v>
      </c>
      <c r="F35" s="2512">
        <v>4460</v>
      </c>
      <c r="G35" s="2082"/>
      <c r="H35" s="2082"/>
      <c r="I35" s="2082"/>
      <c r="J35" s="2566"/>
    </row>
    <row r="36" ht="15.75" spans="1:10">
      <c r="A36" s="1122" t="s">
        <v>652</v>
      </c>
      <c r="B36" s="2489" t="s">
        <v>653</v>
      </c>
      <c r="C36" s="2494">
        <v>0</v>
      </c>
      <c r="D36" s="2495"/>
      <c r="E36" s="2496"/>
      <c r="F36" s="2496"/>
      <c r="G36" s="2082"/>
      <c r="H36" s="2082"/>
      <c r="I36" s="2082"/>
      <c r="J36" s="2566"/>
    </row>
    <row r="37" ht="15.75" spans="1:10">
      <c r="A37" s="1134"/>
      <c r="B37" s="1293" t="s">
        <v>654</v>
      </c>
      <c r="C37" s="2497">
        <v>0</v>
      </c>
      <c r="D37" s="2498"/>
      <c r="E37" s="2498"/>
      <c r="F37" s="2496"/>
      <c r="G37" s="2498"/>
      <c r="H37" s="2498"/>
      <c r="I37" s="2498"/>
      <c r="J37" s="2571"/>
    </row>
    <row r="38" ht="15.75" spans="1:10">
      <c r="A38" s="2499"/>
      <c r="B38" s="2492" t="s">
        <v>655</v>
      </c>
      <c r="C38" s="2500">
        <v>0</v>
      </c>
      <c r="D38" s="2501" t="s">
        <v>656</v>
      </c>
      <c r="E38" s="2498"/>
      <c r="F38" s="2496"/>
      <c r="G38" s="2498"/>
      <c r="H38" s="2498"/>
      <c r="I38" s="2498"/>
      <c r="J38" s="2571"/>
    </row>
    <row r="39" ht="14.25" spans="1:10">
      <c r="A39" s="2454" t="s">
        <v>657</v>
      </c>
      <c r="B39" s="2502" t="s">
        <v>639</v>
      </c>
      <c r="C39" s="2503" t="s">
        <v>640</v>
      </c>
      <c r="D39" s="2503" t="s">
        <v>658</v>
      </c>
      <c r="E39" s="2504" t="s">
        <v>641</v>
      </c>
      <c r="F39" s="2496"/>
      <c r="G39" s="2498"/>
      <c r="H39" s="2498"/>
      <c r="I39" s="2498"/>
      <c r="J39" s="2571"/>
    </row>
    <row r="40" ht="14.25" spans="1:10">
      <c r="A40" s="2505" t="s">
        <v>659</v>
      </c>
      <c r="B40" s="2506"/>
      <c r="C40" s="2507"/>
      <c r="D40" s="2507"/>
      <c r="E40" s="2508"/>
      <c r="F40" s="2496"/>
      <c r="G40" s="2498"/>
      <c r="H40" s="2498"/>
      <c r="I40" s="2498"/>
      <c r="J40" s="2571"/>
    </row>
    <row r="41" ht="14.25" spans="1:10">
      <c r="A41" s="2505" t="s">
        <v>660</v>
      </c>
      <c r="B41" s="2506"/>
      <c r="C41" s="2507"/>
      <c r="D41" s="2507"/>
      <c r="E41" s="2508"/>
      <c r="F41" s="2496"/>
      <c r="G41" s="2498"/>
      <c r="H41" s="2498"/>
      <c r="I41" s="2498"/>
      <c r="J41" s="2571"/>
    </row>
    <row r="42" ht="15" spans="1:10">
      <c r="A42" s="2509"/>
      <c r="B42" s="2510"/>
      <c r="C42" s="2511"/>
      <c r="D42" s="2511"/>
      <c r="E42" s="2512"/>
      <c r="F42" s="2496"/>
      <c r="G42" s="2498"/>
      <c r="H42" s="2498"/>
      <c r="I42" s="2498"/>
      <c r="J42" s="2571"/>
    </row>
    <row r="43" ht="13.5" spans="1:10">
      <c r="A43" s="2560"/>
      <c r="B43" s="2560"/>
      <c r="C43" s="2560"/>
      <c r="D43" s="2560"/>
      <c r="E43" s="2560"/>
      <c r="F43" s="2817"/>
      <c r="G43" s="2817"/>
      <c r="H43" s="2817"/>
      <c r="I43" s="2831"/>
      <c r="J43" s="2573"/>
    </row>
    <row r="44" ht="18.75" spans="1:17">
      <c r="A44" s="2515" t="s">
        <v>661</v>
      </c>
      <c r="B44" s="2516"/>
      <c r="C44" s="2516"/>
      <c r="D44" s="2818"/>
      <c r="E44" s="2818"/>
      <c r="F44" s="2819"/>
      <c r="G44" s="2819"/>
      <c r="H44" s="2819"/>
      <c r="I44" s="2574" t="s">
        <v>662</v>
      </c>
      <c r="J44" s="2832"/>
      <c r="K44" s="2576" t="s">
        <v>663</v>
      </c>
      <c r="L44" s="2577"/>
      <c r="M44" s="2577"/>
      <c r="N44" s="2577"/>
      <c r="O44" s="2577"/>
      <c r="P44" s="2577"/>
      <c r="Q44" s="2427"/>
    </row>
    <row r="45" ht="14.25" customHeight="1" spans="1:17">
      <c r="A45" s="2518" t="s">
        <v>664</v>
      </c>
      <c r="B45" s="2519"/>
      <c r="C45" s="2520"/>
      <c r="D45" s="1942">
        <f ca="1">ROUND(I102*F45,0)</f>
        <v>1205377</v>
      </c>
      <c r="E45" s="2031" t="s">
        <v>665</v>
      </c>
      <c r="F45" s="2521">
        <v>1</v>
      </c>
      <c r="G45" s="2522" t="s">
        <v>666</v>
      </c>
      <c r="H45" s="2082"/>
      <c r="I45" s="2082"/>
      <c r="J45" s="2566"/>
      <c r="K45" s="2833" t="s">
        <v>667</v>
      </c>
      <c r="L45" s="2833"/>
      <c r="M45" s="2833"/>
      <c r="N45" s="2833"/>
      <c r="O45" s="2833"/>
      <c r="P45" s="2833"/>
      <c r="Q45" s="2427"/>
    </row>
    <row r="46" ht="14.25" customHeight="1" spans="1:17">
      <c r="A46" s="2523" t="s">
        <v>668</v>
      </c>
      <c r="B46" s="2524"/>
      <c r="C46" s="2524"/>
      <c r="D46" s="2524"/>
      <c r="E46" s="2524"/>
      <c r="F46" s="2524"/>
      <c r="G46" s="2525"/>
      <c r="H46" s="2526"/>
      <c r="I46" s="2082"/>
      <c r="J46" s="2566"/>
      <c r="K46" s="2834">
        <v>1</v>
      </c>
      <c r="L46" s="2835" t="s">
        <v>97</v>
      </c>
      <c r="M46" s="2835"/>
      <c r="N46" s="2836" t="str">
        <f>项目基本情况!B1</f>
        <v>北京市预评估</v>
      </c>
      <c r="O46" s="2836"/>
      <c r="P46" s="2836"/>
      <c r="Q46" s="2427"/>
    </row>
    <row r="47" ht="12" customHeight="1" spans="1:17">
      <c r="A47" s="2527" t="s">
        <v>669</v>
      </c>
      <c r="B47" s="2528"/>
      <c r="C47" s="2529"/>
      <c r="D47" s="1980" t="s">
        <v>670</v>
      </c>
      <c r="E47" s="1930" t="s">
        <v>671</v>
      </c>
      <c r="F47" s="2148" t="s">
        <v>672</v>
      </c>
      <c r="G47" s="2530" t="s">
        <v>673</v>
      </c>
      <c r="H47" s="2526"/>
      <c r="I47" s="2082"/>
      <c r="J47" s="2566"/>
      <c r="K47" s="2834">
        <v>2</v>
      </c>
      <c r="L47" s="2835" t="s">
        <v>674</v>
      </c>
      <c r="M47" s="2835"/>
      <c r="N47" s="2837">
        <f>'数据-取费表'!B2</f>
        <v>40008</v>
      </c>
      <c r="O47" s="2837"/>
      <c r="P47" s="2837"/>
      <c r="Q47" s="2427"/>
    </row>
    <row r="48" ht="24.75" spans="1:17">
      <c r="A48" s="2531" t="s">
        <v>675</v>
      </c>
      <c r="B48" s="1985"/>
      <c r="C48" s="1985"/>
      <c r="D48" s="2044">
        <f ca="1">IF(H48="情况1",0,IF(H48="情况2",D52,IF(H48="情况3",D53,IF(H48="情况4",D54))))</f>
        <v>67501</v>
      </c>
      <c r="E48" s="1985" t="str">
        <f>IF(H48="情况4","(销售额-原购置价)×税（费）率","销售额×税（费）率")</f>
        <v>销售额×税（费）率</v>
      </c>
      <c r="F48" s="2532">
        <f>IF(H48="情况1","免征",'数据-取费表'!E29)</f>
        <v>0.056</v>
      </c>
      <c r="G48" s="2533" t="s">
        <v>676</v>
      </c>
      <c r="H48" s="2534" t="s">
        <v>677</v>
      </c>
      <c r="I48" s="2526"/>
      <c r="J48" s="2583"/>
      <c r="K48" s="2834">
        <v>3</v>
      </c>
      <c r="L48" s="2835" t="s">
        <v>678</v>
      </c>
      <c r="M48" s="2835"/>
      <c r="N48" s="2836">
        <f ca="1">I102</f>
        <v>1205377</v>
      </c>
      <c r="O48" s="2836"/>
      <c r="P48" s="2836"/>
      <c r="Q48" s="2427"/>
    </row>
    <row r="49" ht="25.5" customHeight="1" spans="1:17">
      <c r="A49" s="2531" t="s">
        <v>679</v>
      </c>
      <c r="B49" s="1964" t="s">
        <v>680</v>
      </c>
      <c r="C49" s="1964"/>
      <c r="D49" s="2535">
        <v>0</v>
      </c>
      <c r="E49" s="1991" t="s">
        <v>681</v>
      </c>
      <c r="F49" s="2536" t="s">
        <v>121</v>
      </c>
      <c r="G49" s="2537"/>
      <c r="H49" s="2538" t="s">
        <v>682</v>
      </c>
      <c r="I49" s="2585"/>
      <c r="J49" s="2586"/>
      <c r="K49" s="2834">
        <v>4</v>
      </c>
      <c r="L49" s="2835" t="str">
        <f>IF(项目基本情况!F5="房地产抵押价值","房地产抵押价值","抵押担保权已注销时的房地产抵押价值")</f>
        <v>抵押担保权已注销时的房地产抵押价值</v>
      </c>
      <c r="M49" s="2835"/>
      <c r="N49" s="2836" t="str">
        <f ca="1">IF(项目基本情况!F5="房地产抵押价值",I110,I112)</f>
        <v>——</v>
      </c>
      <c r="O49" s="2836"/>
      <c r="P49" s="2836"/>
      <c r="Q49" s="2427"/>
    </row>
    <row r="50" ht="25.5" customHeight="1" spans="1:17">
      <c r="A50" s="2539"/>
      <c r="B50" s="1964" t="s">
        <v>683</v>
      </c>
      <c r="C50" s="1964"/>
      <c r="D50" s="2540"/>
      <c r="E50" s="2001"/>
      <c r="F50" s="2536"/>
      <c r="G50" s="2541"/>
      <c r="H50" s="2542" t="s">
        <v>684</v>
      </c>
      <c r="I50" s="2585"/>
      <c r="J50" s="2586"/>
      <c r="K50" s="2835" t="s">
        <v>685</v>
      </c>
      <c r="L50" s="2835"/>
      <c r="M50" s="2835"/>
      <c r="N50" s="2835"/>
      <c r="O50" s="2835"/>
      <c r="P50" s="2835"/>
      <c r="Q50" s="2427"/>
    </row>
    <row r="51" ht="20.45" customHeight="1" spans="1:17">
      <c r="A51" s="2543"/>
      <c r="B51" s="1964" t="s">
        <v>686</v>
      </c>
      <c r="C51" s="1964"/>
      <c r="D51" s="1980"/>
      <c r="E51" s="447"/>
      <c r="F51" s="2536"/>
      <c r="G51" s="2544"/>
      <c r="H51" s="2542" t="s">
        <v>687</v>
      </c>
      <c r="I51" s="2585"/>
      <c r="J51" s="2586"/>
      <c r="K51" s="2835" t="s">
        <v>688</v>
      </c>
      <c r="L51" s="2835" t="s">
        <v>689</v>
      </c>
      <c r="M51" s="2835"/>
      <c r="N51" s="2835" t="s">
        <v>690</v>
      </c>
      <c r="O51" s="2835" t="s">
        <v>691</v>
      </c>
      <c r="P51" s="2835" t="s">
        <v>692</v>
      </c>
      <c r="Q51" s="2427"/>
    </row>
    <row r="52" ht="24" customHeight="1" spans="1:17">
      <c r="A52" s="2545" t="s">
        <v>693</v>
      </c>
      <c r="B52" s="1964" t="s">
        <v>694</v>
      </c>
      <c r="C52" s="1964"/>
      <c r="D52" s="1980">
        <f ca="1">ROUND(D45*'数据-取费表'!E29/(1+'数据-取费表'!F30),0)</f>
        <v>67501</v>
      </c>
      <c r="E52" s="1985" t="s">
        <v>695</v>
      </c>
      <c r="F52" s="2546">
        <f>'数据-取费表'!E29</f>
        <v>0.056</v>
      </c>
      <c r="G52" s="2547"/>
      <c r="H52" s="2082"/>
      <c r="I52" s="2587"/>
      <c r="J52" s="2586"/>
      <c r="K52" s="2834">
        <v>1</v>
      </c>
      <c r="L52" s="2834" t="s">
        <v>696</v>
      </c>
      <c r="M52" s="2834"/>
      <c r="N52" s="2838">
        <f ca="1">D48</f>
        <v>67501</v>
      </c>
      <c r="O52" s="2834" t="str">
        <f>E48</f>
        <v>销售额×税（费）率</v>
      </c>
      <c r="P52" s="2839">
        <f>F48</f>
        <v>0.056</v>
      </c>
      <c r="Q52" s="2427"/>
    </row>
    <row r="53" ht="12" customHeight="1" spans="1:17">
      <c r="A53" s="2545" t="s">
        <v>697</v>
      </c>
      <c r="B53" s="1963" t="s">
        <v>698</v>
      </c>
      <c r="C53" s="2548"/>
      <c r="D53" s="1980">
        <f ca="1">ROUND(D45*'数据-取费表'!E29/(1+'数据-取费表'!F30),0)</f>
        <v>67501</v>
      </c>
      <c r="E53" s="1985" t="s">
        <v>695</v>
      </c>
      <c r="F53" s="2546">
        <f>'数据-取费表'!E29</f>
        <v>0.056</v>
      </c>
      <c r="G53" s="2547"/>
      <c r="H53" s="2082"/>
      <c r="I53" s="2587"/>
      <c r="J53" s="2586"/>
      <c r="K53" s="2834">
        <v>2</v>
      </c>
      <c r="L53" s="2834" t="s">
        <v>699</v>
      </c>
      <c r="M53" s="2834"/>
      <c r="N53" s="2838">
        <f ca="1" t="shared" ref="N53:P54" si="1">D55</f>
        <v>0</v>
      </c>
      <c r="O53" s="2834" t="str">
        <f t="shared" si="1"/>
        <v>销售额×税（费）率</v>
      </c>
      <c r="P53" s="2839" t="str">
        <f t="shared" si="1"/>
        <v>免征</v>
      </c>
      <c r="Q53" s="2427"/>
    </row>
    <row r="54" ht="12" customHeight="1" spans="1:17">
      <c r="A54" s="2545" t="s">
        <v>700</v>
      </c>
      <c r="B54" s="1963" t="s">
        <v>701</v>
      </c>
      <c r="C54" s="2548"/>
      <c r="D54" s="1980">
        <f ca="1">C68</f>
        <v>67501</v>
      </c>
      <c r="E54" s="447" t="s">
        <v>702</v>
      </c>
      <c r="F54" s="2546">
        <f>'数据-取费表'!E29</f>
        <v>0.056</v>
      </c>
      <c r="G54" s="2547"/>
      <c r="H54" s="2549"/>
      <c r="I54" s="2587"/>
      <c r="J54" s="2586"/>
      <c r="K54" s="2834">
        <v>3</v>
      </c>
      <c r="L54" s="2834" t="s">
        <v>703</v>
      </c>
      <c r="M54" s="2834"/>
      <c r="N54" s="2838">
        <f ca="1" t="shared" si="1"/>
        <v>0</v>
      </c>
      <c r="O54" s="2834" t="str">
        <f t="shared" si="1"/>
        <v>增值额×税（费）率</v>
      </c>
      <c r="P54" s="2840" t="str">
        <f t="shared" si="1"/>
        <v>免征</v>
      </c>
      <c r="Q54" s="2427"/>
    </row>
    <row r="55" ht="24" customHeight="1" spans="1:17">
      <c r="A55" s="2545" t="s">
        <v>704</v>
      </c>
      <c r="B55" s="1985"/>
      <c r="C55" s="1985"/>
      <c r="D55" s="2044">
        <f ca="1">IF(H55="个人住宅",0,ROUND(D45*I55,0))</f>
        <v>0</v>
      </c>
      <c r="E55" s="1985" t="s">
        <v>705</v>
      </c>
      <c r="F55" s="2546" t="str">
        <f>IF(H55="正常",I55,"免征")</f>
        <v>免征</v>
      </c>
      <c r="G55" s="2547"/>
      <c r="H55" s="2534" t="s">
        <v>706</v>
      </c>
      <c r="I55" s="2591">
        <f>'数据-取费表'!E37</f>
        <v>0.0005</v>
      </c>
      <c r="J55" s="2586"/>
      <c r="K55" s="2834" t="str">
        <f>IF(H59="非个人房产","",4)</f>
        <v/>
      </c>
      <c r="L55" s="2834" t="str">
        <f>IF(H59="非个人房产","——","个人所得税")</f>
        <v>——</v>
      </c>
      <c r="M55" s="2834"/>
      <c r="N55" s="2841" t="str">
        <f ca="1">D59</f>
        <v>——</v>
      </c>
      <c r="O55" s="2842" t="str">
        <f>E59</f>
        <v>——</v>
      </c>
      <c r="P55" s="2843" t="str">
        <f>F59</f>
        <v>——</v>
      </c>
      <c r="Q55" s="2427"/>
    </row>
    <row r="56" ht="24.75" spans="1:17">
      <c r="A56" s="2545" t="s">
        <v>707</v>
      </c>
      <c r="B56" s="1985"/>
      <c r="C56" s="1985"/>
      <c r="D56" s="2044">
        <f ca="1">IF(H56="个人住宅",D57,D58)</f>
        <v>0</v>
      </c>
      <c r="E56" s="1985" t="s">
        <v>708</v>
      </c>
      <c r="F56" s="2546" t="str">
        <f>IF(H56="正常",F58,"免征")</f>
        <v>免征</v>
      </c>
      <c r="G56" s="2550" t="s">
        <v>709</v>
      </c>
      <c r="H56" s="2551" t="s">
        <v>706</v>
      </c>
      <c r="I56" s="2552"/>
      <c r="J56" s="2586"/>
      <c r="K56" s="2834" t="str">
        <f>IF(项目基本情况!I6="上海银行",IF(K55="",4,K55+1),"")</f>
        <v/>
      </c>
      <c r="L56" s="2844" t="str">
        <f>IF(项目基本情况!I6="上海银行","其他处置费用","")</f>
        <v/>
      </c>
      <c r="M56" s="2845"/>
      <c r="N56" s="2838" t="str">
        <f ca="1">IF(项目基本情况!I6="上海银行",N69,"")</f>
        <v/>
      </c>
      <c r="O56" s="2844" t="str">
        <f>IF(项目基本情况!I6="上海银行","包含处置中涉及的律师、诉讼、拍卖、评估等费用","")</f>
        <v/>
      </c>
      <c r="P56" s="2846"/>
      <c r="Q56" s="2427"/>
    </row>
    <row r="57" ht="13.5" spans="1:17">
      <c r="A57" s="2545" t="s">
        <v>679</v>
      </c>
      <c r="B57" s="1963" t="s">
        <v>710</v>
      </c>
      <c r="C57" s="2548"/>
      <c r="D57" s="2535">
        <v>0</v>
      </c>
      <c r="E57" s="1991" t="s">
        <v>681</v>
      </c>
      <c r="F57" s="1930"/>
      <c r="G57" s="2547"/>
      <c r="H57" s="2552"/>
      <c r="I57" s="2552"/>
      <c r="J57" s="2586"/>
      <c r="K57" s="2834">
        <f>IF(AND(K55="",K56=""),4,IF(项目基本情况!I6="上海银行",K56+1,K55+1))</f>
        <v>4</v>
      </c>
      <c r="L57" s="2834" t="s">
        <v>430</v>
      </c>
      <c r="M57" s="2847" t="s">
        <v>711</v>
      </c>
      <c r="N57" s="2848"/>
      <c r="O57" s="2849">
        <f ca="1">SUMIF(N52:N56,"&lt;9e307")</f>
        <v>67501</v>
      </c>
      <c r="P57" s="2850"/>
      <c r="Q57" s="2613" t="e">
        <f ca="1">O57/N49</f>
        <v>#VALUE!</v>
      </c>
    </row>
    <row r="58" ht="24.75" spans="1:17">
      <c r="A58" s="2545" t="s">
        <v>693</v>
      </c>
      <c r="B58" s="1963" t="s">
        <v>712</v>
      </c>
      <c r="C58" s="1964"/>
      <c r="D58" s="2044">
        <f ca="1">IF(H58="转让取得",C81,C97)</f>
        <v>716356</v>
      </c>
      <c r="E58" s="1985" t="s">
        <v>708</v>
      </c>
      <c r="F58" s="1930" t="s">
        <v>121</v>
      </c>
      <c r="G58" s="2547"/>
      <c r="H58" s="2551" t="s">
        <v>713</v>
      </c>
      <c r="I58" s="2552"/>
      <c r="J58" s="2586"/>
      <c r="K58" s="2834"/>
      <c r="L58" s="2834"/>
      <c r="M58" s="2847" t="s">
        <v>714</v>
      </c>
      <c r="N58" s="2851"/>
      <c r="O58" s="2852" t="str">
        <f ca="1">IF(H19="元",NUMBERSTRING(INT(O57),2)&amp;"元整",NUMBERSTRING(INT(O57*10000),2)&amp;"元整")</f>
        <v>陆万柒仟伍佰零壹元整</v>
      </c>
      <c r="P58" s="2853"/>
      <c r="Q58" s="2427"/>
    </row>
    <row r="59" ht="24.75" spans="1:17">
      <c r="A59" s="2553" t="s">
        <v>715</v>
      </c>
      <c r="B59" s="2554"/>
      <c r="C59" s="2554"/>
      <c r="D59" s="2820" t="str">
        <f ca="1">IF(H59="非个人房产","——",IF(H59="个人住宅（满五唯一有凭证）",0,IF(H59="个人其他（无凭证）",ROUND(D45*F59,0),ROUND(C67*F59,0))))</f>
        <v>——</v>
      </c>
      <c r="E59" s="2554" t="str">
        <f>IF(H59="非个人房产","——",IF(H59="个人其他（无凭证）","销售额×税（费）率",IF(H59="个人住宅（满五唯一有凭证）","免征","差额计税")))</f>
        <v>——</v>
      </c>
      <c r="F59" s="2821" t="str">
        <f>IF(OR(H59="非个人房产",H59="个人住宅（满五唯一有凭证）"),"——",IF(H59="个人其他（有凭证）",20%,1%))</f>
        <v>——</v>
      </c>
      <c r="G59" s="2557" t="s">
        <v>716</v>
      </c>
      <c r="H59" s="2558" t="s">
        <v>717</v>
      </c>
      <c r="I59" s="2854" t="s">
        <v>718</v>
      </c>
      <c r="J59" s="2586"/>
      <c r="K59" s="2842">
        <f>K57+1</f>
        <v>5</v>
      </c>
      <c r="L59" s="2834" t="s">
        <v>585</v>
      </c>
      <c r="M59" s="2834" t="s">
        <v>711</v>
      </c>
      <c r="N59" s="2855"/>
      <c r="O59" s="2856" t="e">
        <f ca="1">N49-O57</f>
        <v>#VALUE!</v>
      </c>
      <c r="P59" s="2857"/>
      <c r="Q59" s="2427"/>
    </row>
    <row r="60" ht="12" customHeight="1" spans="1:17">
      <c r="A60" s="2559"/>
      <c r="B60" s="2431"/>
      <c r="C60" s="2431"/>
      <c r="D60" s="2431"/>
      <c r="E60" s="2669"/>
      <c r="F60" s="2822"/>
      <c r="G60" s="2822"/>
      <c r="H60" s="2823"/>
      <c r="I60" s="1756"/>
      <c r="K60" s="2858"/>
      <c r="L60" s="2834"/>
      <c r="M60" s="2847" t="s">
        <v>714</v>
      </c>
      <c r="N60" s="2851"/>
      <c r="O60" s="2852" t="e">
        <f ca="1">IF(H19="元",NUMBERSTRING(INT(O59),2)&amp;"元整",NUMBERSTRING(INT(O59*10000),2)&amp;"元整")</f>
        <v>#VALUE!</v>
      </c>
      <c r="P60" s="2853"/>
      <c r="Q60" s="2427"/>
    </row>
    <row r="61" ht="14.25" spans="1:17">
      <c r="A61" s="2824" t="s">
        <v>719</v>
      </c>
      <c r="B61" s="2824"/>
      <c r="C61" s="2824"/>
      <c r="D61" s="2824"/>
      <c r="E61" s="2824"/>
      <c r="F61" s="2822"/>
      <c r="G61" s="2822"/>
      <c r="H61" s="2825"/>
      <c r="I61" s="1756"/>
      <c r="K61" s="2834">
        <f>K59+1</f>
        <v>6</v>
      </c>
      <c r="L61" s="2834" t="s">
        <v>720</v>
      </c>
      <c r="M61" s="2834"/>
      <c r="N61" s="2859"/>
      <c r="O61" s="2860" t="e">
        <f ca="1">IF(H19="元",ROUND(O59/项目基本情况!C12,0),ROUND(O59*10000/项目基本情况!C12,0))</f>
        <v>#VALUE!</v>
      </c>
      <c r="P61" s="2861"/>
      <c r="Q61" s="2427"/>
    </row>
    <row r="62" ht="13.5" spans="1:17">
      <c r="A62" s="459" t="s">
        <v>721</v>
      </c>
      <c r="B62" s="425"/>
      <c r="C62" s="425"/>
      <c r="D62" s="425" t="s">
        <v>722</v>
      </c>
      <c r="E62" s="2562" t="s">
        <v>673</v>
      </c>
      <c r="F62" s="2822"/>
      <c r="G62" s="2822"/>
      <c r="H62" s="2825"/>
      <c r="I62" s="1756"/>
      <c r="K62" s="2862"/>
      <c r="L62" s="2862"/>
      <c r="M62" s="2862"/>
      <c r="N62" s="2862"/>
      <c r="O62" s="2862"/>
      <c r="P62" s="2862"/>
      <c r="Q62" s="2427"/>
    </row>
    <row r="63" ht="13.5" spans="1:17">
      <c r="A63" s="2615">
        <v>1</v>
      </c>
      <c r="B63" s="2616" t="s">
        <v>723</v>
      </c>
      <c r="C63" s="2617">
        <f ca="1">ROUND((C64+C65)/(1+'数据-取费表'!F30),0)</f>
        <v>1205377</v>
      </c>
      <c r="D63" s="2616"/>
      <c r="E63" s="2618"/>
      <c r="F63" s="2822"/>
      <c r="G63" s="2822"/>
      <c r="H63" s="2825"/>
      <c r="I63" s="1756"/>
      <c r="K63" s="2863" t="s">
        <v>724</v>
      </c>
      <c r="L63" s="2863" t="s">
        <v>725</v>
      </c>
      <c r="M63" s="2863" t="e">
        <f ca="1">IF(N49&gt;10000,N49*0.5%,IF(AND(N49&gt;1000,N49&lt;=10000),N49*1%,IF(AND(N49&gt;100,N49&lt;=1000),N49*3%,IF(AND(N49&gt;10,N49&lt;=100),N49*5%,N49*8%))))</f>
        <v>#VALUE!</v>
      </c>
      <c r="N63" s="2864" t="e">
        <f ca="1">ROUND(M63,1)</f>
        <v>#VALUE!</v>
      </c>
      <c r="O63" s="2862"/>
      <c r="P63" s="2862"/>
      <c r="Q63" s="2427"/>
    </row>
    <row r="64" ht="13.5" spans="1:17">
      <c r="A64" s="2619" t="s">
        <v>726</v>
      </c>
      <c r="B64" s="410" t="s">
        <v>727</v>
      </c>
      <c r="C64" s="2620">
        <f ca="1">D45</f>
        <v>1205377</v>
      </c>
      <c r="D64" s="410" t="s">
        <v>121</v>
      </c>
      <c r="E64" s="2621"/>
      <c r="F64" s="2822"/>
      <c r="G64" s="2822"/>
      <c r="H64" s="2825"/>
      <c r="I64" s="1756"/>
      <c r="K64" s="2863"/>
      <c r="L64" s="2863" t="s">
        <v>728</v>
      </c>
      <c r="M64" s="2863" t="e">
        <f ca="1">IF(N49&gt;2000,N49*0.5%,IF(AND(N49&gt;1000,N49&lt;=2000),N49*0.6%,IF(AND(N49&gt;500,N49&lt;=1000),N49*0.7%,IF(AND(N49&gt;200,N49&lt;=500),N49*0.8%,IF(AND(N49&gt;100,N49&lt;=200),N49*0.9%,IF(AND(N49&gt;50,N49&lt;=100),N49*1%,IF(AND(N49&gt;20,N49&lt;=50),N49*1.5%,IF(AND(N49&gt;10,N49&lt;=20),N49*2%,IF(AND(N49&gt;1,N49&lt;=10),N49*2.5%)))))))))</f>
        <v>#VALUE!</v>
      </c>
      <c r="N64" s="2864" t="e">
        <f ca="1" t="shared" ref="N64:N65" si="2">ROUND(M64,1)</f>
        <v>#VALUE!</v>
      </c>
      <c r="O64" s="2862" t="s">
        <v>729</v>
      </c>
      <c r="P64" s="2862"/>
      <c r="Q64" s="2427"/>
    </row>
    <row r="65" ht="13.5" spans="1:17">
      <c r="A65" s="2619" t="s">
        <v>730</v>
      </c>
      <c r="B65" s="410" t="s">
        <v>731</v>
      </c>
      <c r="C65" s="2622"/>
      <c r="D65" s="410"/>
      <c r="E65" s="2621"/>
      <c r="F65" s="2822"/>
      <c r="G65" s="2822"/>
      <c r="H65" s="2825"/>
      <c r="I65" s="1756"/>
      <c r="K65" s="2863"/>
      <c r="L65" s="2863" t="s">
        <v>732</v>
      </c>
      <c r="M65" s="2863" t="e">
        <f ca="1">IF(N49&gt;1000,N49*0.1%,IF(AND(N49&gt;500,N49&lt;=1000),N49*0.5%,IF(AND(N49&gt;50,N49&lt;=500),N49*1%,IF(AND(N49&gt;1,N49&lt;=50),N49*1.5%))))</f>
        <v>#VALUE!</v>
      </c>
      <c r="N65" s="2864" t="e">
        <f ca="1" t="shared" si="2"/>
        <v>#VALUE!</v>
      </c>
      <c r="O65" s="2862" t="s">
        <v>729</v>
      </c>
      <c r="P65" s="2862"/>
      <c r="Q65" s="2427"/>
    </row>
    <row r="66" ht="13.5" spans="1:17">
      <c r="A66" s="2623" t="s">
        <v>733</v>
      </c>
      <c r="B66" s="516" t="s">
        <v>734</v>
      </c>
      <c r="C66" s="2624"/>
      <c r="D66" s="516" t="s">
        <v>121</v>
      </c>
      <c r="E66" s="2625" t="s">
        <v>735</v>
      </c>
      <c r="F66" s="2822"/>
      <c r="G66" s="2822"/>
      <c r="H66" s="2825"/>
      <c r="I66" s="1756"/>
      <c r="K66" s="2863"/>
      <c r="L66" s="2863" t="s">
        <v>736</v>
      </c>
      <c r="M66" s="2863" t="e">
        <f ca="1">N49*0.5%</f>
        <v>#VALUE!</v>
      </c>
      <c r="N66" s="2864" t="e">
        <f ca="1">IF(M66&gt;0.5,0.5,ROUND(M66,0))</f>
        <v>#VALUE!</v>
      </c>
      <c r="O66" s="2862" t="s">
        <v>737</v>
      </c>
      <c r="P66" s="2862"/>
      <c r="Q66" s="2427"/>
    </row>
    <row r="67" ht="13.5" spans="1:17">
      <c r="A67" s="2623" t="s">
        <v>738</v>
      </c>
      <c r="B67" s="516" t="s">
        <v>739</v>
      </c>
      <c r="C67" s="2626">
        <f ca="1">C63-C66</f>
        <v>1205377</v>
      </c>
      <c r="D67" s="410" t="s">
        <v>121</v>
      </c>
      <c r="E67" s="2621"/>
      <c r="F67" s="2822"/>
      <c r="G67" s="2822"/>
      <c r="H67" s="2825"/>
      <c r="I67" s="1756"/>
      <c r="K67" s="2863"/>
      <c r="L67" s="2863" t="s">
        <v>740</v>
      </c>
      <c r="M67" s="2863" t="e">
        <f ca="1">IF(N49&gt;=10000,(8.25+(N49-10000)*0.01%),IF(AND(N49&gt;=8000,N49&lt;10000),(7.85+(N49-8000)*0.02%),IF(AND(N49&gt;=5000,N49&lt;8000),(6.65+(N49-5000)*0.04%),IF(AND(N49&gt;=2000,N49&lt;5000),(4.25+(PN49-2000)*0.08%),IF(AND(N49&gt;=1000,N49&lt;2000),(2.75+(N49-1000)*0.15%),IF(AND(N49&gt;=100,N49&lt;1000),(0.5+(N49-100)*0.25%),IF(AND(N49&gt;0,N49&lt;100),N49*0.5%)))))))</f>
        <v>#VALUE!</v>
      </c>
      <c r="N67" s="2864" t="e">
        <f ca="1">ROUND(M67*0.9,1)</f>
        <v>#VALUE!</v>
      </c>
      <c r="O67" s="2862"/>
      <c r="P67" s="2862"/>
      <c r="Q67" s="2427"/>
    </row>
    <row r="68" ht="14.25" spans="1:17">
      <c r="A68" s="2627" t="s">
        <v>741</v>
      </c>
      <c r="B68" s="537" t="s">
        <v>742</v>
      </c>
      <c r="C68" s="2628">
        <f ca="1">IF(C67&lt;=0,0,ROUND(C67*D68,0))</f>
        <v>67501</v>
      </c>
      <c r="D68" s="631">
        <f>'数据-取费表'!E29</f>
        <v>0.056</v>
      </c>
      <c r="E68" s="2629"/>
      <c r="F68" s="2822"/>
      <c r="G68" s="2822"/>
      <c r="H68" s="2825"/>
      <c r="I68" s="1756"/>
      <c r="K68" s="2863"/>
      <c r="L68" s="2863" t="s">
        <v>743</v>
      </c>
      <c r="M68" s="2863" t="e">
        <f ca="1">IF(N49&gt;10000,N49*0.5%,IF(AND(N49&gt;5000,N49&lt;=10000),N49*1%,IF(AND(N49&gt;1000,N49&lt;=5000),N49*2%,IF(AND(N49&gt;200,N49&lt;=1000),N49*3%,N49*5%))))</f>
        <v>#VALUE!</v>
      </c>
      <c r="N68" s="2864" t="e">
        <f ca="1">ROUND(M68,1)</f>
        <v>#VALUE!</v>
      </c>
      <c r="O68" s="2862"/>
      <c r="P68" s="2862"/>
      <c r="Q68" s="2427"/>
    </row>
    <row r="69" s="2425" customFormat="1" ht="7.5" customHeight="1" spans="1:36">
      <c r="A69" s="2630"/>
      <c r="B69" s="507"/>
      <c r="C69" s="2866"/>
      <c r="D69" s="2867"/>
      <c r="E69" s="2513"/>
      <c r="F69" s="2669"/>
      <c r="G69" s="2669"/>
      <c r="H69" s="2670"/>
      <c r="I69" s="2431"/>
      <c r="J69" s="2429"/>
      <c r="K69" s="2863"/>
      <c r="L69" s="2863" t="s">
        <v>433</v>
      </c>
      <c r="M69" s="2863"/>
      <c r="N69" s="2864" t="e">
        <f ca="1">ROUND(SUM(N63:N68),0)</f>
        <v>#VALUE!</v>
      </c>
      <c r="O69" s="2876" t="e">
        <f ca="1">N69/N49</f>
        <v>#VALUE!</v>
      </c>
      <c r="P69" s="2862"/>
      <c r="Q69" s="2427"/>
      <c r="R69" s="1712"/>
      <c r="S69" s="1712"/>
      <c r="T69" s="1712"/>
      <c r="U69" s="1712"/>
      <c r="V69" s="1712"/>
      <c r="W69" s="1712"/>
      <c r="X69" s="1712"/>
      <c r="Y69" s="1712"/>
      <c r="Z69" s="1712"/>
      <c r="AA69" s="1712"/>
      <c r="AB69" s="2427"/>
      <c r="AC69" s="2427"/>
      <c r="AD69" s="2427"/>
      <c r="AE69" s="2427"/>
      <c r="AF69" s="2427"/>
      <c r="AG69" s="2427"/>
      <c r="AH69" s="2427"/>
      <c r="AI69" s="2427"/>
      <c r="AJ69" s="2427"/>
    </row>
    <row r="70" s="2426" customFormat="1" ht="15" spans="1:36">
      <c r="A70" s="2868" t="s">
        <v>744</v>
      </c>
      <c r="B70" s="2869"/>
      <c r="C70" s="2869"/>
      <c r="D70" s="2869"/>
      <c r="E70" s="2869"/>
      <c r="F70" s="2869"/>
      <c r="G70" s="2869"/>
      <c r="H70" s="2869"/>
      <c r="I70" s="2732"/>
      <c r="J70" s="2733"/>
      <c r="P70" s="367"/>
      <c r="Q70" s="367"/>
      <c r="R70" s="367"/>
      <c r="S70" s="367"/>
      <c r="T70" s="367"/>
      <c r="U70" s="367"/>
      <c r="V70" s="367"/>
      <c r="W70" s="367"/>
      <c r="X70" s="367"/>
      <c r="Y70" s="367"/>
      <c r="Z70" s="367"/>
      <c r="AA70" s="367"/>
      <c r="AB70" s="2739"/>
      <c r="AC70" s="2739"/>
      <c r="AD70" s="2739"/>
      <c r="AE70" s="2739"/>
      <c r="AF70" s="2739"/>
      <c r="AG70" s="2739"/>
      <c r="AH70" s="2739"/>
      <c r="AI70" s="2739"/>
      <c r="AJ70" s="2739"/>
    </row>
    <row r="71" s="2426" customFormat="1" ht="14.25" spans="1:36">
      <c r="A71" s="459" t="s">
        <v>721</v>
      </c>
      <c r="B71" s="425"/>
      <c r="C71" s="425"/>
      <c r="D71" s="425" t="s">
        <v>722</v>
      </c>
      <c r="E71" s="2633" t="s">
        <v>673</v>
      </c>
      <c r="F71" s="2634"/>
      <c r="G71" s="2634"/>
      <c r="H71" s="2635"/>
      <c r="I71" s="2877"/>
      <c r="J71" s="2878"/>
      <c r="P71" s="367"/>
      <c r="Q71" s="367"/>
      <c r="R71" s="367"/>
      <c r="S71" s="367"/>
      <c r="T71" s="367"/>
      <c r="U71" s="367"/>
      <c r="V71" s="367"/>
      <c r="W71" s="367"/>
      <c r="X71" s="367"/>
      <c r="Y71" s="367"/>
      <c r="Z71" s="367"/>
      <c r="AA71" s="367"/>
      <c r="AB71" s="2739"/>
      <c r="AC71" s="2739"/>
      <c r="AD71" s="2739"/>
      <c r="AE71" s="2739"/>
      <c r="AF71" s="2739"/>
      <c r="AG71" s="2739"/>
      <c r="AH71" s="2739"/>
      <c r="AI71" s="2739"/>
      <c r="AJ71" s="2739"/>
    </row>
    <row r="72" s="2426" customFormat="1" ht="14.25" spans="1:36">
      <c r="A72" s="2636">
        <v>1</v>
      </c>
      <c r="B72" s="516" t="s">
        <v>745</v>
      </c>
      <c r="C72" s="2626">
        <f ca="1">ROUND(D45/(1+'数据-取费表'!F30),0)</f>
        <v>1205377</v>
      </c>
      <c r="D72" s="410" t="s">
        <v>121</v>
      </c>
      <c r="E72" s="2044" t="s">
        <v>746</v>
      </c>
      <c r="F72" s="1964"/>
      <c r="G72" s="1964"/>
      <c r="H72" s="2637"/>
      <c r="I72" s="2877"/>
      <c r="J72" s="2878"/>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2638">
        <v>2</v>
      </c>
      <c r="B73" s="2148" t="s">
        <v>747</v>
      </c>
      <c r="C73" s="2626">
        <f ca="1">C74+C78</f>
        <v>7232</v>
      </c>
      <c r="D73" s="410" t="s">
        <v>121</v>
      </c>
      <c r="E73" s="1963"/>
      <c r="F73" s="1964"/>
      <c r="G73" s="1964"/>
      <c r="H73" s="2637"/>
      <c r="I73" s="2877"/>
      <c r="J73" s="2878"/>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24" spans="1:36">
      <c r="A74" s="2619" t="s">
        <v>748</v>
      </c>
      <c r="B74" s="410" t="s">
        <v>749</v>
      </c>
      <c r="C74" s="410">
        <f>ROUND(IF(G77="2016年5月1日后购买",C75/(1+'数据-取费表'!F30)+C76+C77,C75+C76+C77),0)</f>
        <v>0</v>
      </c>
      <c r="D74" s="410" t="s">
        <v>121</v>
      </c>
      <c r="E74" s="1963"/>
      <c r="F74" s="1964"/>
      <c r="G74" s="1964"/>
      <c r="H74" s="2637"/>
      <c r="I74" s="2877"/>
      <c r="J74" s="2878"/>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19" t="s">
        <v>750</v>
      </c>
      <c r="B75" s="410" t="s">
        <v>751</v>
      </c>
      <c r="C75" s="540"/>
      <c r="D75" s="410" t="s">
        <v>121</v>
      </c>
      <c r="E75" s="2639" t="s">
        <v>752</v>
      </c>
      <c r="F75" s="2640" t="s">
        <v>753</v>
      </c>
      <c r="G75" s="2639" t="s">
        <v>754</v>
      </c>
      <c r="H75" s="2641"/>
      <c r="I75" s="2743"/>
      <c r="J75" s="2744"/>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24.75" customHeight="1" spans="1:36">
      <c r="A76" s="2619" t="s">
        <v>755</v>
      </c>
      <c r="B76" s="432" t="s">
        <v>756</v>
      </c>
      <c r="C76" s="410">
        <f>IF(F75="购房发票",ROUND(C75*H75*D76,0),0)</f>
        <v>0</v>
      </c>
      <c r="D76" s="2642">
        <v>0.05</v>
      </c>
      <c r="E76" s="1963" t="s">
        <v>757</v>
      </c>
      <c r="F76" s="1964"/>
      <c r="G76" s="1964"/>
      <c r="H76" s="2643"/>
      <c r="I76" s="2877"/>
      <c r="J76" s="2878"/>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24.75" customHeight="1" spans="1:36">
      <c r="A77" s="2619" t="s">
        <v>758</v>
      </c>
      <c r="B77" s="410" t="s">
        <v>759</v>
      </c>
      <c r="C77" s="410">
        <f>ROUND(IF(G77="个人住宅",0,IF(G77="2016年5月1日前购买",C75*D77,C75*D77/(1+'数据-取费表'!F30))),0)</f>
        <v>0</v>
      </c>
      <c r="D77" s="2644">
        <f>'数据-取费表'!E36+'数据-取费表'!E37</f>
        <v>0.0305</v>
      </c>
      <c r="E77" s="2044" t="s">
        <v>760</v>
      </c>
      <c r="F77" s="1289"/>
      <c r="G77" s="2645" t="s">
        <v>761</v>
      </c>
      <c r="H77" s="2643" t="str">
        <f>IF(G77="个人买卖住房","免征印花税"," ")</f>
        <v> </v>
      </c>
      <c r="I77" s="2877"/>
      <c r="J77" s="2878"/>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762</v>
      </c>
      <c r="B78" s="410" t="s">
        <v>763</v>
      </c>
      <c r="C78" s="2646">
        <f ca="1">ROUND(D45*D78/(1+'数据-取费表'!F30),0)</f>
        <v>7232</v>
      </c>
      <c r="D78" s="2647">
        <f>'数据-取费表'!E31</f>
        <v>0.006</v>
      </c>
      <c r="E78" s="2648" t="s">
        <v>764</v>
      </c>
      <c r="F78" s="2649"/>
      <c r="G78" s="2649"/>
      <c r="H78" s="2650"/>
      <c r="I78" s="2879"/>
      <c r="J78" s="2880"/>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14.25" spans="1:36">
      <c r="A79" s="2623" t="s">
        <v>738</v>
      </c>
      <c r="B79" s="516" t="s">
        <v>765</v>
      </c>
      <c r="C79" s="2626">
        <f ca="1">C72-C73</f>
        <v>1198145</v>
      </c>
      <c r="D79" s="410" t="s">
        <v>121</v>
      </c>
      <c r="E79" s="1963"/>
      <c r="F79" s="1964"/>
      <c r="G79" s="1964"/>
      <c r="H79" s="2637"/>
      <c r="I79" s="2877"/>
      <c r="J79" s="2878"/>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 spans="1:36">
      <c r="A80" s="2623" t="s">
        <v>741</v>
      </c>
      <c r="B80" s="516" t="s">
        <v>766</v>
      </c>
      <c r="C80" s="2651">
        <f ca="1">IF(C79&lt;=0,0,C79/C73)</f>
        <v>165.672704646018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7"/>
      <c r="I80" s="2877"/>
      <c r="J80" s="2878"/>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24.75" spans="1:36">
      <c r="A81" s="2627" t="s">
        <v>767</v>
      </c>
      <c r="B81" s="537" t="s">
        <v>768</v>
      </c>
      <c r="C81" s="2652">
        <f ca="1">ROUND(IF(C79&lt;=0,0,IF(C80&gt;=200%,C79*60%-C73*35%,IF(C80&gt;=100%,C79*50%-C73*15%,IF(C80&gt;=50%,C79*40%-C73*5%,IF(C80&lt;50%,C79*30%,0))))),0)</f>
        <v>716356</v>
      </c>
      <c r="D81" s="456"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77"/>
      <c r="J81" s="2878"/>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7.5" customHeight="1" spans="1:36">
      <c r="A82" s="2870"/>
      <c r="B82" s="544"/>
      <c r="C82" s="2743"/>
      <c r="D82" s="2743"/>
      <c r="E82" s="544"/>
      <c r="F82" s="544"/>
      <c r="G82" s="544"/>
      <c r="H82" s="2655"/>
      <c r="I82" s="2879"/>
      <c r="J82" s="2880"/>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868" t="s">
        <v>769</v>
      </c>
      <c r="B83" s="2869"/>
      <c r="C83" s="2869"/>
      <c r="D83" s="2869"/>
      <c r="E83" s="2869"/>
      <c r="F83" s="2869"/>
      <c r="G83" s="2869"/>
      <c r="H83" s="2869"/>
      <c r="I83" s="2743"/>
      <c r="J83" s="2744"/>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14.25" spans="1:36">
      <c r="A84" s="459" t="s">
        <v>721</v>
      </c>
      <c r="B84" s="425"/>
      <c r="C84" s="425"/>
      <c r="D84" s="425" t="s">
        <v>722</v>
      </c>
      <c r="E84" s="2633" t="s">
        <v>673</v>
      </c>
      <c r="F84" s="2634"/>
      <c r="G84" s="2634"/>
      <c r="H84" s="2656"/>
      <c r="I84" s="2743"/>
      <c r="J84" s="2744"/>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24" spans="1:36">
      <c r="A85" s="2636">
        <v>1</v>
      </c>
      <c r="B85" s="516" t="s">
        <v>745</v>
      </c>
      <c r="C85" s="2626">
        <f ca="1">ROUND(D45/(1+'数据-取费表'!F30),0)</f>
        <v>1205377</v>
      </c>
      <c r="D85" s="410" t="s">
        <v>121</v>
      </c>
      <c r="E85" s="1963" t="s">
        <v>746</v>
      </c>
      <c r="F85" s="1964"/>
      <c r="G85" s="1964"/>
      <c r="H85" s="2657"/>
      <c r="I85" s="2743"/>
      <c r="J85" s="2744"/>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2638">
        <v>2</v>
      </c>
      <c r="B86" s="2148" t="s">
        <v>747</v>
      </c>
      <c r="C86" s="2626">
        <f ca="1">IF(H88="仅含出让金",C87+C90+C91+C92+C93+C94,C87+C91+C92+C93+C94)</f>
        <v>7232</v>
      </c>
      <c r="D86" s="2658"/>
      <c r="E86" s="1963"/>
      <c r="F86" s="1964"/>
      <c r="G86" s="1964"/>
      <c r="H86" s="2657"/>
      <c r="I86" s="2743"/>
      <c r="J86" s="2744"/>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19" t="s">
        <v>748</v>
      </c>
      <c r="B87" s="410" t="s">
        <v>770</v>
      </c>
      <c r="C87" s="2646">
        <f>C88+C89</f>
        <v>0</v>
      </c>
      <c r="D87" s="2647"/>
      <c r="E87" s="2648"/>
      <c r="F87" s="2649"/>
      <c r="G87" s="2649"/>
      <c r="H87" s="2650"/>
      <c r="I87" s="2743"/>
      <c r="J87" s="2744"/>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19" t="s">
        <v>750</v>
      </c>
      <c r="B88" s="410" t="s">
        <v>771</v>
      </c>
      <c r="C88" s="2659"/>
      <c r="D88" s="2647"/>
      <c r="E88" s="2591" t="s">
        <v>772</v>
      </c>
      <c r="F88" s="2649"/>
      <c r="G88" s="2660" t="s">
        <v>773</v>
      </c>
      <c r="H88" s="2661"/>
      <c r="I88" s="2743"/>
      <c r="J88" s="2744"/>
      <c r="K88" s="2738" t="s">
        <v>774</v>
      </c>
      <c r="L88" s="2739"/>
      <c r="M88" s="2739"/>
      <c r="N88" s="2739"/>
      <c r="O88" s="2739"/>
      <c r="P88" s="2739"/>
      <c r="Q88" s="2739"/>
      <c r="R88" s="2739"/>
      <c r="S88" s="2739"/>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755</v>
      </c>
      <c r="B89" s="410" t="s">
        <v>759</v>
      </c>
      <c r="C89" s="2646">
        <f>ROUND(C88*D89,0)</f>
        <v>0</v>
      </c>
      <c r="D89" s="2647">
        <f>'数据-取费表'!E36+'数据-取费表'!E37</f>
        <v>0.0305</v>
      </c>
      <c r="E89" s="2591" t="s">
        <v>775</v>
      </c>
      <c r="F89" s="2649"/>
      <c r="G89" s="2649"/>
      <c r="H89" s="2650"/>
      <c r="I89" s="2743"/>
      <c r="J89" s="2744"/>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24" customHeight="1" spans="1:36">
      <c r="A90" s="2619" t="s">
        <v>762</v>
      </c>
      <c r="B90" s="410" t="s">
        <v>776</v>
      </c>
      <c r="C90" s="2659"/>
      <c r="D90" s="2647"/>
      <c r="E90" s="2591" t="str">
        <f>IF(H88="-","土地取得成本中已包含该笔费用"," ")</f>
        <v> </v>
      </c>
      <c r="F90" s="2649"/>
      <c r="G90" s="2662" t="s">
        <v>777</v>
      </c>
      <c r="H90" s="2662"/>
      <c r="I90" s="2743"/>
      <c r="J90" s="2744"/>
      <c r="K90" s="2738" t="s">
        <v>778</v>
      </c>
      <c r="L90" s="2739"/>
      <c r="M90" s="2739"/>
      <c r="N90" s="2739"/>
      <c r="O90" s="2739"/>
      <c r="P90" s="2739"/>
      <c r="Q90" s="2739"/>
      <c r="R90" s="2739"/>
      <c r="S90" s="2739"/>
      <c r="T90" s="2739"/>
      <c r="U90" s="367"/>
      <c r="V90" s="367"/>
      <c r="W90" s="367"/>
      <c r="X90" s="367"/>
      <c r="Y90" s="367"/>
      <c r="Z90" s="367"/>
      <c r="AA90" s="367"/>
      <c r="AB90" s="2739"/>
      <c r="AC90" s="2739"/>
      <c r="AD90" s="2739"/>
      <c r="AE90" s="2739"/>
      <c r="AF90" s="2739"/>
      <c r="AG90" s="2739"/>
      <c r="AH90" s="2739"/>
      <c r="AI90" s="2739"/>
      <c r="AJ90" s="2739"/>
    </row>
    <row r="91" s="2426" customFormat="1" ht="30.75" customHeight="1" spans="1:36">
      <c r="A91" s="2619" t="s">
        <v>779</v>
      </c>
      <c r="B91" s="410" t="s">
        <v>780</v>
      </c>
      <c r="C91" s="2646">
        <f>IF(H91="——",成本法!C33,I91)</f>
        <v>0</v>
      </c>
      <c r="D91" s="2647"/>
      <c r="E91" s="2648" t="s">
        <v>781</v>
      </c>
      <c r="F91" s="2649"/>
      <c r="G91" s="2649"/>
      <c r="H91" s="2664" t="s">
        <v>782</v>
      </c>
      <c r="I91" s="2881"/>
      <c r="J91" s="2882"/>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25.5" customHeight="1" spans="1:36">
      <c r="A92" s="2619" t="s">
        <v>783</v>
      </c>
      <c r="B92" s="410" t="s">
        <v>784</v>
      </c>
      <c r="C92" s="2646">
        <f>ROUND((C87+C90+C91)*D92,0)</f>
        <v>0</v>
      </c>
      <c r="D92" s="2871">
        <v>0.1</v>
      </c>
      <c r="E92" s="2648" t="s">
        <v>785</v>
      </c>
      <c r="F92" s="2649"/>
      <c r="G92" s="2649"/>
      <c r="H92" s="2650"/>
      <c r="I92" s="2743"/>
      <c r="J92" s="2744"/>
      <c r="K92" s="2742" t="s">
        <v>786</v>
      </c>
      <c r="L92" s="2739"/>
      <c r="M92" s="2739"/>
      <c r="N92" s="2739"/>
      <c r="O92" s="2739"/>
      <c r="P92" s="2739"/>
      <c r="Q92" s="367"/>
      <c r="R92" s="367"/>
      <c r="S92" s="367"/>
      <c r="T92" s="367"/>
      <c r="U92" s="367"/>
      <c r="V92" s="367"/>
      <c r="W92" s="367"/>
      <c r="X92" s="367"/>
      <c r="Y92" s="367"/>
      <c r="Z92" s="367"/>
      <c r="AA92" s="367"/>
      <c r="AB92" s="2739"/>
      <c r="AC92" s="2739"/>
      <c r="AD92" s="2739"/>
      <c r="AE92" s="2739"/>
      <c r="AF92" s="2739"/>
      <c r="AG92" s="2739"/>
      <c r="AH92" s="2739"/>
      <c r="AI92" s="2739"/>
      <c r="AJ92" s="2739"/>
    </row>
    <row r="93" s="2426" customFormat="1" ht="25.5" customHeight="1" spans="1:36">
      <c r="A93" s="2619" t="s">
        <v>787</v>
      </c>
      <c r="B93" s="410" t="s">
        <v>763</v>
      </c>
      <c r="C93" s="2646">
        <f ca="1">ROUND(D45*D93/(1+'数据-取费表'!F30),0)</f>
        <v>7232</v>
      </c>
      <c r="D93" s="2647">
        <f>'数据-取费表'!E31</f>
        <v>0.006</v>
      </c>
      <c r="E93" s="2648" t="s">
        <v>764</v>
      </c>
      <c r="F93" s="2649"/>
      <c r="G93" s="2649"/>
      <c r="H93" s="2650"/>
      <c r="I93" s="2743"/>
      <c r="J93" s="2744"/>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788</v>
      </c>
      <c r="B94" s="410" t="s">
        <v>789</v>
      </c>
      <c r="C94" s="2646">
        <f>ROUND((C87+C90+C91)*D94,0)</f>
        <v>0</v>
      </c>
      <c r="D94" s="2647">
        <v>0.2</v>
      </c>
      <c r="E94" s="2648" t="s">
        <v>790</v>
      </c>
      <c r="F94" s="2649"/>
      <c r="G94" s="2649"/>
      <c r="H94" s="2650"/>
      <c r="I94" s="2743"/>
      <c r="J94" s="2744"/>
      <c r="K94" s="367"/>
      <c r="L94" s="367"/>
      <c r="M94" s="367"/>
      <c r="N94" s="367"/>
      <c r="O94" s="367"/>
      <c r="P94" s="367"/>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14.25" spans="1:36">
      <c r="A95" s="2623" t="s">
        <v>738</v>
      </c>
      <c r="B95" s="516" t="s">
        <v>765</v>
      </c>
      <c r="C95" s="2626">
        <f ca="1">ROUND(C85-C86,0)</f>
        <v>1198145</v>
      </c>
      <c r="D95" s="410" t="s">
        <v>121</v>
      </c>
      <c r="E95" s="1963"/>
      <c r="F95" s="1964"/>
      <c r="G95" s="1964"/>
      <c r="H95" s="2657"/>
      <c r="I95" s="2743"/>
      <c r="J95" s="2744"/>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4" spans="1:36">
      <c r="A96" s="2623" t="s">
        <v>741</v>
      </c>
      <c r="B96" s="516" t="s">
        <v>766</v>
      </c>
      <c r="C96" s="2651">
        <f ca="1">IF(C95&lt;=0,0,C95/C86)</f>
        <v>165.672704646018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7"/>
      <c r="I96" s="2743"/>
      <c r="J96" s="2744"/>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24.75" spans="1:36">
      <c r="A97" s="2627" t="s">
        <v>767</v>
      </c>
      <c r="B97" s="537" t="s">
        <v>768</v>
      </c>
      <c r="C97" s="2652">
        <f ca="1">ROUND(IF(C95&lt;=0,0,IF(C96&gt;=200%,C95*60%-C86*35%,IF(C96&gt;=100%,C95*50%-C86*15%,IF(C96&gt;=50%,C95*40%-C86*5%,IF(C96&lt;50%,C95*30%,0))))),0)</f>
        <v>716356</v>
      </c>
      <c r="D97" s="456"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8"/>
      <c r="I97" s="2743"/>
      <c r="J97" s="2744"/>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customHeight="1" spans="1:9">
      <c r="A98" s="2515" t="s">
        <v>791</v>
      </c>
      <c r="B98" s="2431"/>
      <c r="C98" s="2431"/>
      <c r="D98" s="2431"/>
      <c r="E98" s="2669"/>
      <c r="F98" s="2669"/>
      <c r="G98" s="2669"/>
      <c r="H98" s="2670"/>
      <c r="I98" s="2431"/>
    </row>
    <row r="99" ht="15.75" spans="1:10">
      <c r="A99" s="2671" t="s">
        <v>792</v>
      </c>
      <c r="B99" s="2672"/>
      <c r="C99" s="2672"/>
      <c r="D99" s="2673"/>
      <c r="E99" s="2431"/>
      <c r="F99" s="2872" t="s">
        <v>793</v>
      </c>
      <c r="G99" s="2873"/>
      <c r="H99" s="2873"/>
      <c r="I99" s="2883"/>
      <c r="J99" s="2884"/>
    </row>
    <row r="100" ht="15" spans="1:10">
      <c r="A100" s="2676" t="s">
        <v>794</v>
      </c>
      <c r="B100" s="2677"/>
      <c r="C100" s="2684" t="str">
        <f>C4</f>
        <v>比较法-住宅</v>
      </c>
      <c r="D100" s="2685" t="str">
        <f>D4</f>
        <v>成本法</v>
      </c>
      <c r="E100" s="2431"/>
      <c r="F100" s="2680" t="s">
        <v>795</v>
      </c>
      <c r="G100" s="2681"/>
      <c r="H100" s="2680" t="s">
        <v>796</v>
      </c>
      <c r="I100" s="2747"/>
      <c r="J100" s="2748"/>
    </row>
    <row r="101" ht="13.5" spans="1:10">
      <c r="A101" s="551" t="s">
        <v>797</v>
      </c>
      <c r="B101" s="518" t="str">
        <f>IF(H19="元","总价（元）","总价（万元）")</f>
        <v>总价（元）</v>
      </c>
      <c r="C101" s="2684">
        <f ca="1">C19</f>
        <v>1258057</v>
      </c>
      <c r="D101" s="2685">
        <f ca="1">D19</f>
        <v>1152618</v>
      </c>
      <c r="E101" s="2431"/>
      <c r="F101" s="2680" t="str">
        <f>项目基本情况!I1</f>
        <v>北京市房地产</v>
      </c>
      <c r="G101" s="2681"/>
      <c r="H101" s="2688">
        <f>项目基本情况!C12</f>
        <v>92.26</v>
      </c>
      <c r="I101" s="2747"/>
      <c r="J101" s="2748"/>
    </row>
    <row r="102" ht="13.5" spans="1:10">
      <c r="A102" s="551"/>
      <c r="B102" s="518" t="s">
        <v>798</v>
      </c>
      <c r="C102" s="2689">
        <f ca="1">C20</f>
        <v>13636</v>
      </c>
      <c r="D102" s="2690">
        <f ca="1">D20</f>
        <v>12493</v>
      </c>
      <c r="E102" s="2431"/>
      <c r="F102" s="2638" t="s">
        <v>799</v>
      </c>
      <c r="G102" s="2148"/>
      <c r="H102" s="2691" t="str">
        <f>C106</f>
        <v>总价（元）</v>
      </c>
      <c r="I102" s="2708">
        <f ca="1">H121</f>
        <v>1205377</v>
      </c>
      <c r="J102" s="2748"/>
    </row>
    <row r="103" ht="13.5" spans="1:10">
      <c r="A103" s="551" t="s">
        <v>800</v>
      </c>
      <c r="B103" s="519" t="str">
        <f>B101</f>
        <v>总价（元）</v>
      </c>
      <c r="C103" s="2695">
        <f ca="1">H121</f>
        <v>1205377</v>
      </c>
      <c r="D103" s="2692"/>
      <c r="E103" s="2431"/>
      <c r="F103" s="2638"/>
      <c r="G103" s="2148"/>
      <c r="H103" s="2691" t="s">
        <v>798</v>
      </c>
      <c r="I103" s="2621">
        <f ca="1">I121</f>
        <v>13065</v>
      </c>
      <c r="J103" s="2565"/>
    </row>
    <row r="104" ht="14.25" spans="1:10">
      <c r="A104" s="567"/>
      <c r="B104" s="2700" t="s">
        <v>798</v>
      </c>
      <c r="C104" s="2701">
        <f ca="1">I121</f>
        <v>13065</v>
      </c>
      <c r="D104" s="2702"/>
      <c r="E104" s="2431"/>
      <c r="F104" s="2638"/>
      <c r="G104" s="2148"/>
      <c r="H104" s="2691"/>
      <c r="I104" s="2749"/>
      <c r="J104" s="2750"/>
    </row>
    <row r="105" ht="15" spans="1:10">
      <c r="A105" s="2671" t="s">
        <v>801</v>
      </c>
      <c r="B105" s="2672"/>
      <c r="C105" s="2672"/>
      <c r="D105" s="2673"/>
      <c r="E105" s="2431"/>
      <c r="F105" s="2697" t="s">
        <v>802</v>
      </c>
      <c r="G105" s="2698"/>
      <c r="H105" s="2699" t="str">
        <f>C108</f>
        <v>总额（元）</v>
      </c>
      <c r="I105" s="2708">
        <f>SUMIF(I106:I108,"&lt;9E307")</f>
        <v>0</v>
      </c>
      <c r="J105" s="2748"/>
    </row>
    <row r="106" ht="14.25" spans="1:17">
      <c r="A106" s="2638" t="s">
        <v>799</v>
      </c>
      <c r="B106" s="2148"/>
      <c r="C106" s="2691" t="str">
        <f>B101</f>
        <v>总价（元）</v>
      </c>
      <c r="D106" s="2708">
        <f ca="1">H121</f>
        <v>1205377</v>
      </c>
      <c r="E106" s="2431"/>
      <c r="F106" s="2703" t="s">
        <v>803</v>
      </c>
      <c r="G106" s="2704"/>
      <c r="H106" s="2699" t="str">
        <f>C109</f>
        <v>总额（元）</v>
      </c>
      <c r="I106" s="2751">
        <f>IF(D36="同一抵押权人同一抵押物续贷",C36&amp;"（续贷，未扣减，详见特别提示）",C36)</f>
        <v>0</v>
      </c>
      <c r="J106" s="2565"/>
      <c r="L106" s="2752" t="str">
        <f>IF(D123=0,"本次评估不存在"&amp;A123&amp;"。","本次评估"&amp;A123&amp;"为"&amp;D123&amp;"元人民币。")</f>
        <v>本次评估不存在估价师所知悉的法定优先受偿款。</v>
      </c>
      <c r="M106" s="2431"/>
      <c r="N106" s="2431"/>
      <c r="O106" s="2431"/>
      <c r="P106" s="2431"/>
      <c r="Q106" s="2431"/>
    </row>
    <row r="107" ht="13.5" spans="1:10">
      <c r="A107" s="2638"/>
      <c r="B107" s="2148"/>
      <c r="C107" s="2691" t="s">
        <v>798</v>
      </c>
      <c r="D107" s="2621">
        <f ca="1">I121</f>
        <v>13065</v>
      </c>
      <c r="E107" s="2431"/>
      <c r="F107" s="2703" t="s">
        <v>804</v>
      </c>
      <c r="G107" s="2704"/>
      <c r="H107" s="2699" t="str">
        <f>C110</f>
        <v>总额（元）</v>
      </c>
      <c r="I107" s="2621">
        <f>C37</f>
        <v>0</v>
      </c>
      <c r="J107" s="2565"/>
    </row>
    <row r="108" ht="13.5" spans="1:10">
      <c r="A108" s="2709" t="s">
        <v>802</v>
      </c>
      <c r="B108" s="2710"/>
      <c r="C108" s="2699" t="str">
        <f>IF(H19="元","总额（元）","总额（万元）")</f>
        <v>总额（元）</v>
      </c>
      <c r="D108" s="2708">
        <f>IF(D36="正常操作",I106+I107+I108,I107+I108)</f>
        <v>0</v>
      </c>
      <c r="E108" s="2431"/>
      <c r="F108" s="2703" t="s">
        <v>805</v>
      </c>
      <c r="G108" s="2704"/>
      <c r="H108" s="2699" t="str">
        <f>C111</f>
        <v>总额（元）</v>
      </c>
      <c r="I108" s="2621">
        <f>C38</f>
        <v>0</v>
      </c>
      <c r="J108" s="2565"/>
    </row>
    <row r="109" ht="13.5" spans="1:10">
      <c r="A109" s="2703" t="s">
        <v>803</v>
      </c>
      <c r="B109" s="2704"/>
      <c r="C109" s="2699" t="str">
        <f>C108</f>
        <v>总额（元）</v>
      </c>
      <c r="D109" s="2621">
        <f>IF(D36="同一抵押权人同一抵押物续贷",C36&amp;"（未扣减，详见特别提示）",C36)</f>
        <v>0</v>
      </c>
      <c r="E109" s="2431"/>
      <c r="F109" s="2638"/>
      <c r="G109" s="2148"/>
      <c r="H109" s="552"/>
      <c r="I109" s="2753"/>
      <c r="J109" s="2754"/>
    </row>
    <row r="110" ht="28.5" customHeight="1" spans="1:10">
      <c r="A110" s="2703" t="s">
        <v>804</v>
      </c>
      <c r="B110" s="2704"/>
      <c r="C110" s="2699" t="str">
        <f>C108</f>
        <v>总额（元）</v>
      </c>
      <c r="D110" s="2621">
        <f>C37</f>
        <v>0</v>
      </c>
      <c r="E110" s="2431"/>
      <c r="F110" s="2711" t="str">
        <f>IF(项目基本情况!F5="已注销","——","3.房地产抵押价值")</f>
        <v>3.房地产抵押价值</v>
      </c>
      <c r="G110" s="2520"/>
      <c r="H110" s="2874" t="str">
        <f>C112</f>
        <v>总价（元）</v>
      </c>
      <c r="I110" s="2708">
        <f ca="1">IF(F110="——","——",I102-I105)</f>
        <v>1205377</v>
      </c>
      <c r="J110" s="2748"/>
    </row>
    <row r="111" ht="13.5" spans="1:10">
      <c r="A111" s="2703" t="s">
        <v>805</v>
      </c>
      <c r="B111" s="2704"/>
      <c r="C111" s="2699" t="str">
        <f>C108</f>
        <v>总额（元）</v>
      </c>
      <c r="D111" s="2621">
        <f>C38</f>
        <v>0</v>
      </c>
      <c r="E111" s="2431"/>
      <c r="F111" s="2712"/>
      <c r="G111" s="2529"/>
      <c r="H111" s="2691" t="s">
        <v>798</v>
      </c>
      <c r="I111" s="2755">
        <f ca="1">D113</f>
        <v>13065</v>
      </c>
      <c r="J111" s="2756"/>
    </row>
    <row r="112" ht="26.25" customHeight="1" spans="1:10">
      <c r="A112" s="2638" t="str">
        <f>IF(项目基本情况!F5="已注销","——","3.房地产抵押价值")</f>
        <v>3.房地产抵押价值</v>
      </c>
      <c r="B112" s="2148"/>
      <c r="C112" s="2691" t="str">
        <f>B101</f>
        <v>总价（元）</v>
      </c>
      <c r="D112" s="2708">
        <f ca="1">IF(A112="——","——",D106-D108)</f>
        <v>1205377</v>
      </c>
      <c r="E112" s="2431"/>
      <c r="F112" s="2711" t="str">
        <f>IF(项目基本情况!F5="已注销及未注销","4.抵押担保权已注销时的房地产抵押价值",IF(项目基本情况!F5="已注销","3.抵押担保权已注销时的房地产抵押价值","——"))</f>
        <v>——</v>
      </c>
      <c r="G112" s="2520"/>
      <c r="H112" s="2874" t="str">
        <f>C114</f>
        <v>总价（元）</v>
      </c>
      <c r="I112" s="2708" t="str">
        <f ca="1">IF(F112="——","——",I102-I107-I108)</f>
        <v>——</v>
      </c>
      <c r="J112" s="2748"/>
    </row>
    <row r="113" ht="13.5" spans="1:10">
      <c r="A113" s="2638"/>
      <c r="B113" s="2148"/>
      <c r="C113" s="2691" t="s">
        <v>798</v>
      </c>
      <c r="D113" s="2621">
        <f ca="1">ROUND(IF(D112=D106,D107,IF(H19="元",D112/项目基本情况!C12,D112*10000/项目基本情况!C12)),0)</f>
        <v>13065</v>
      </c>
      <c r="E113" s="2431"/>
      <c r="F113" s="2712"/>
      <c r="G113" s="2529"/>
      <c r="H113" s="2691" t="s">
        <v>798</v>
      </c>
      <c r="I113" s="2621" t="str">
        <f ca="1">D115</f>
        <v>——</v>
      </c>
      <c r="J113" s="2565"/>
    </row>
    <row r="114" ht="13.5" spans="1:10">
      <c r="A114" s="2638" t="str">
        <f>IF(项目基本情况!F5="已注销及未注销","4.抵押担保权已注销时的房地产抵押价值",IF(项目基本情况!F5="已注销","3.抵押担保权已注销时的房地产抵押价值","——"))</f>
        <v>——</v>
      </c>
      <c r="B114" s="2148"/>
      <c r="C114" s="2691" t="str">
        <f>B101</f>
        <v>总价（元）</v>
      </c>
      <c r="D114" s="2708" t="str">
        <f ca="1">IF(A114="——","——",D106-D110-D111)</f>
        <v>——</v>
      </c>
      <c r="E114" s="2431"/>
      <c r="F114" s="2711" t="str">
        <f>IF(项目基本情况!G5="抵押净值",IF(OR(项目基本情况!F5="已注销",项目基本情况!F5="房地产抵押价值"),"4.抵押净值","5.抵押净值"),"——")</f>
        <v>——</v>
      </c>
      <c r="G114" s="2520"/>
      <c r="H114" s="2691" t="str">
        <f>C116</f>
        <v>总价（元）</v>
      </c>
      <c r="I114" s="2708" t="str">
        <f ca="1">IF(F114="——","——",O59)</f>
        <v>——</v>
      </c>
      <c r="J114" s="2748"/>
    </row>
    <row r="115" ht="14.25" spans="1:10">
      <c r="A115" s="2638"/>
      <c r="B115" s="2148"/>
      <c r="C115" s="2691" t="s">
        <v>798</v>
      </c>
      <c r="D115" s="2621" t="str">
        <f ca="1">IF(A114="——","——",ROUND(IF(D114=D106,D107,IF(H19="元",D114/项目基本情况!C12,D114*10000/项目基本情况!C12)),0))</f>
        <v>——</v>
      </c>
      <c r="E115" s="2431"/>
      <c r="F115" s="2713"/>
      <c r="G115" s="2714"/>
      <c r="H115" s="2715" t="s">
        <v>798</v>
      </c>
      <c r="I115" s="2719" t="str">
        <f ca="1">D117</f>
        <v>——</v>
      </c>
      <c r="J115" s="2565"/>
    </row>
    <row r="116" ht="15.75" spans="1:16">
      <c r="A116" s="2638" t="str">
        <f>IF(项目基本情况!G5="抵押净值",IF(OR(项目基本情况!F5="已注销",项目基本情况!F5="房地产抵押价值"),"4.抵押净值","5.抵押净值"),"——")</f>
        <v>——</v>
      </c>
      <c r="B116" s="2148"/>
      <c r="C116" s="2691" t="str">
        <f>B101</f>
        <v>总价（元）</v>
      </c>
      <c r="D116" s="2708" t="str">
        <f ca="1">IF(A116="——","——",O59)</f>
        <v>——</v>
      </c>
      <c r="E116" s="2431"/>
      <c r="F116" s="2716"/>
      <c r="G116" s="2716"/>
      <c r="H116" s="2717"/>
      <c r="I116" s="2717"/>
      <c r="J116" s="2757"/>
      <c r="O116" s="1709"/>
      <c r="P116" s="1709"/>
    </row>
    <row r="117" ht="14.25" spans="1:16">
      <c r="A117" s="2718"/>
      <c r="B117" s="2652"/>
      <c r="C117" s="2715" t="s">
        <v>798</v>
      </c>
      <c r="D117" s="2719" t="str">
        <f ca="1">IF(D116=D112,D113,IF(A116="——","——",O61))</f>
        <v>——</v>
      </c>
      <c r="E117" s="2431"/>
      <c r="F117" s="2875" t="str">
        <f>IF(B32="总价","（以上估价结果中单价为总价除以建筑面积得出）","（以上估价结果中总价为楼面单价乘以建筑面积得出）")</f>
        <v>（以上估价结果中总价为楼面单价乘以建筑面积得出）</v>
      </c>
      <c r="G117" s="2875"/>
      <c r="H117" s="2875"/>
      <c r="I117" s="2875"/>
      <c r="J117" s="2758"/>
      <c r="O117" s="1709"/>
      <c r="P117" s="1709"/>
    </row>
    <row r="118" ht="15" spans="1:10">
      <c r="A118" s="2720" t="s">
        <v>806</v>
      </c>
      <c r="B118" s="2721"/>
      <c r="C118" s="2721"/>
      <c r="D118" s="2721"/>
      <c r="E118" s="2721"/>
      <c r="F118" s="2721"/>
      <c r="G118" s="2721"/>
      <c r="H118" s="2721"/>
      <c r="I118" s="2721"/>
      <c r="J118" s="2759"/>
    </row>
    <row r="119" ht="13.5" spans="1:10">
      <c r="A119" s="2545" t="s">
        <v>807</v>
      </c>
      <c r="B119" s="1991" t="s">
        <v>356</v>
      </c>
      <c r="C119" s="1991" t="s">
        <v>808</v>
      </c>
      <c r="D119" s="2722" t="s">
        <v>809</v>
      </c>
      <c r="E119" s="2723"/>
      <c r="F119" s="1985" t="s">
        <v>651</v>
      </c>
      <c r="G119" s="1985"/>
      <c r="H119" s="1985" t="s">
        <v>810</v>
      </c>
      <c r="I119" s="2621"/>
      <c r="J119" s="2565"/>
    </row>
    <row r="120" ht="13.5" spans="1:10">
      <c r="A120" s="2545"/>
      <c r="B120" s="447"/>
      <c r="C120" s="447"/>
      <c r="D120" s="1985" t="s">
        <v>811</v>
      </c>
      <c r="E120" s="1985" t="s">
        <v>812</v>
      </c>
      <c r="F120" s="1985" t="s">
        <v>811</v>
      </c>
      <c r="G120" s="1985" t="s">
        <v>812</v>
      </c>
      <c r="H120" s="1985" t="s">
        <v>811</v>
      </c>
      <c r="I120" s="2621" t="s">
        <v>812</v>
      </c>
      <c r="J120" s="2565"/>
    </row>
    <row r="121" ht="13.5" spans="1:10">
      <c r="A121" s="2545" t="str">
        <f>项目基本情况!I1</f>
        <v>北京市房地产</v>
      </c>
      <c r="B121" s="1985">
        <f>项目基本情况!C12</f>
        <v>92.26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1205377</v>
      </c>
      <c r="I121" s="2621">
        <f ca="1">ROUND(IF(B32="楼面单价",C32,IF(H19="元",H121/B121,H121*10000/B121)),0)</f>
        <v>13065</v>
      </c>
      <c r="J121" s="2565"/>
    </row>
    <row r="122" ht="13.5" spans="1:10">
      <c r="A122" s="2545" t="s">
        <v>813</v>
      </c>
      <c r="B122" s="1985"/>
      <c r="C122" s="1985"/>
      <c r="D122" s="2725" t="e">
        <f ca="1">IF(H19="元",NUMBERSTRING(INT(D121),2)&amp;"元整",NUMBERSTRING(INT(D121*10000),2)&amp;"元整")</f>
        <v>#DIV/0!</v>
      </c>
      <c r="E122" s="2726"/>
      <c r="F122" s="2725" t="e">
        <f ca="1">IF(H19="元",NUMBERSTRING(INT(F121),2)&amp;"元整",NUMBERSTRING(INT(F121*10000),2)&amp;"元整")</f>
        <v>#DIV/0!</v>
      </c>
      <c r="G122" s="2726"/>
      <c r="H122" s="2725" t="str">
        <f ca="1">IF(H19="元",NUMBERSTRING(INT(H121),2)&amp;"元整",NUMBERSTRING(INT(H121*10000),2)&amp;"元整")</f>
        <v>壹佰贰拾万伍仟叁佰柒拾柒元整</v>
      </c>
      <c r="I122" s="2760"/>
      <c r="J122" s="2761"/>
    </row>
    <row r="123" ht="13.5" spans="1:10">
      <c r="A123" s="2680" t="str">
        <f>IF(项目基本情况!D5="房地产市场价值","——",MID(A108,3,LEN(A108)-2))</f>
        <v>估价师所知悉的法定优先受偿款</v>
      </c>
      <c r="B123" s="2682"/>
      <c r="C123" s="2681"/>
      <c r="D123" s="2688">
        <f>I105</f>
        <v>0</v>
      </c>
      <c r="E123" s="2682"/>
      <c r="F123" s="2682"/>
      <c r="G123" s="2682"/>
      <c r="H123" s="2682"/>
      <c r="I123" s="2747"/>
      <c r="J123" s="2748"/>
    </row>
    <row r="124" ht="13.5" spans="1:10">
      <c r="A124" s="2727" t="s">
        <v>813</v>
      </c>
      <c r="B124" s="1964"/>
      <c r="C124" s="2548"/>
      <c r="D124" s="2728">
        <f>H109</f>
        <v>0</v>
      </c>
      <c r="E124" s="2729"/>
      <c r="F124" s="2729"/>
      <c r="G124" s="2729"/>
      <c r="H124" s="2729"/>
      <c r="I124" s="2762"/>
      <c r="J124" s="2763"/>
    </row>
    <row r="125" ht="13.5" spans="1:10">
      <c r="A125" s="2638" t="str">
        <f>IF(项目基本情况!D5="房地产市场价值","——",MID(A112,3,LEN(A112)-2))</f>
        <v>房地产抵押价值</v>
      </c>
      <c r="B125" s="2148"/>
      <c r="C125" s="2148"/>
      <c r="D125" s="2688">
        <f ca="1">I110</f>
        <v>1205377</v>
      </c>
      <c r="E125" s="2682"/>
      <c r="F125" s="2682"/>
      <c r="G125" s="2682"/>
      <c r="H125" s="2682"/>
      <c r="I125" s="2747"/>
      <c r="J125" s="2748"/>
    </row>
    <row r="126" ht="13.5" spans="1:10">
      <c r="A126" s="2545" t="s">
        <v>813</v>
      </c>
      <c r="B126" s="1985"/>
      <c r="C126" s="1985"/>
      <c r="D126" s="2728">
        <f ca="1">I111</f>
        <v>13065</v>
      </c>
      <c r="E126" s="2729"/>
      <c r="F126" s="2729"/>
      <c r="G126" s="2729"/>
      <c r="H126" s="2729"/>
      <c r="I126" s="2762"/>
      <c r="J126" s="2763"/>
    </row>
    <row r="127" ht="14.25" spans="1:10">
      <c r="A127" s="2638" t="str">
        <f>IF(项目基本情况!D5="房地产市场价值","——",MID(A114,3,LEN(A114)-2))</f>
        <v/>
      </c>
      <c r="B127" s="2148"/>
      <c r="C127" s="2148"/>
      <c r="D127" s="2518" t="str">
        <f ca="1">I112</f>
        <v>——</v>
      </c>
      <c r="E127" s="2519"/>
      <c r="F127" s="2519"/>
      <c r="G127" s="2519"/>
      <c r="H127" s="2519"/>
      <c r="I127" s="2786"/>
      <c r="J127" s="2748"/>
    </row>
    <row r="128" ht="15" spans="1:10">
      <c r="A128" s="2545" t="s">
        <v>813</v>
      </c>
      <c r="B128" s="1985"/>
      <c r="C128" s="1963"/>
      <c r="D128" s="2764" t="str">
        <f ca="1">I113</f>
        <v>——</v>
      </c>
      <c r="E128" s="2764"/>
      <c r="F128" s="2764"/>
      <c r="G128" s="2764"/>
      <c r="H128" s="2764"/>
      <c r="I128" s="2764"/>
      <c r="J128" s="2763"/>
    </row>
    <row r="129" ht="15" spans="1:10">
      <c r="A129" s="2638" t="str">
        <f>IF(项目基本情况!D5="房地产市场价值","——",MID(F114,3,LEN(F114)-2))</f>
        <v/>
      </c>
      <c r="B129" s="2148"/>
      <c r="C129" s="2688"/>
      <c r="D129" s="2765" t="str">
        <f ca="1">I114</f>
        <v>——</v>
      </c>
      <c r="E129" s="2765"/>
      <c r="F129" s="2765"/>
      <c r="G129" s="2765"/>
      <c r="H129" s="2765"/>
      <c r="I129" s="2765"/>
      <c r="J129" s="2748"/>
    </row>
    <row r="130" ht="15" spans="1:10">
      <c r="A130" s="2553" t="s">
        <v>813</v>
      </c>
      <c r="B130" s="2554"/>
      <c r="C130" s="2554"/>
      <c r="D130" s="2766">
        <f>H116</f>
        <v>0</v>
      </c>
      <c r="E130" s="2767"/>
      <c r="F130" s="2767"/>
      <c r="G130" s="2767"/>
      <c r="H130" s="2767"/>
      <c r="I130" s="2787"/>
      <c r="J130" s="2763"/>
    </row>
    <row r="131" ht="13.5" spans="1:10">
      <c r="A131" s="2513" t="str">
        <f>IF(H19="元","单位：平方米、元、元/平方米（币种：人民币）","单位：平方米、万元、元/平方米（币种：人民币）")</f>
        <v>单位：平方米、元、元/平方米（币种：人民币）</v>
      </c>
      <c r="B131" s="2513"/>
      <c r="C131" s="2513"/>
      <c r="D131" s="2513"/>
      <c r="E131" s="2513"/>
      <c r="F131" s="2513"/>
      <c r="G131" s="2513"/>
      <c r="H131" s="2513"/>
      <c r="I131" s="2513"/>
      <c r="J131" s="2788"/>
    </row>
    <row r="132" ht="14.25" spans="1:10">
      <c r="A132" s="2768" t="str">
        <f>IF(B32="总价","（以上估价结果中楼面单价为总价除以建筑面积得出）","（以上估价结果中总价为楼面单价乘以建筑面积得出）")</f>
        <v>（以上估价结果中总价为楼面单价乘以建筑面积得出）</v>
      </c>
      <c r="B132" s="2768"/>
      <c r="C132" s="2768"/>
      <c r="D132" s="2768"/>
      <c r="E132" s="2768"/>
      <c r="F132" s="2768"/>
      <c r="G132" s="2768"/>
      <c r="H132" s="2768"/>
      <c r="I132" s="2768"/>
      <c r="J132" s="2754"/>
    </row>
    <row r="133" customHeight="1" spans="1:10">
      <c r="A133" s="2769" t="s">
        <v>814</v>
      </c>
      <c r="B133" s="2770"/>
      <c r="C133" s="2771" t="s">
        <v>815</v>
      </c>
      <c r="D133" s="2772"/>
      <c r="E133" s="2772"/>
      <c r="F133" s="2772"/>
      <c r="G133" s="2772"/>
      <c r="H133" s="2773"/>
      <c r="I133" s="2789"/>
      <c r="J133" s="2790"/>
    </row>
    <row r="134" customHeight="1" spans="1:10">
      <c r="A134" s="2774">
        <v>1</v>
      </c>
      <c r="B134" s="2775"/>
      <c r="C134" s="2775"/>
      <c r="D134" s="2772"/>
      <c r="E134" s="2772"/>
      <c r="F134" s="2772"/>
      <c r="G134" s="2772"/>
      <c r="H134" s="2773"/>
      <c r="I134" s="2789"/>
      <c r="J134" s="2790"/>
    </row>
    <row r="135" customHeight="1" spans="1:10">
      <c r="A135" s="2774">
        <v>2</v>
      </c>
      <c r="B135" s="2775"/>
      <c r="C135" s="2775"/>
      <c r="D135" s="2772"/>
      <c r="E135" s="2772"/>
      <c r="F135" s="2772"/>
      <c r="G135" s="2772"/>
      <c r="H135" s="2773"/>
      <c r="I135" s="2789"/>
      <c r="J135" s="2790"/>
    </row>
    <row r="136" customHeight="1" spans="1:10">
      <c r="A136" s="2774">
        <v>3</v>
      </c>
      <c r="B136" s="2775"/>
      <c r="C136" s="2775"/>
      <c r="D136" s="2772"/>
      <c r="E136" s="2772"/>
      <c r="F136" s="1709"/>
      <c r="G136" s="1709"/>
      <c r="H136" s="1709"/>
      <c r="I136" s="1709"/>
      <c r="J136" s="2791"/>
    </row>
    <row r="137" customHeight="1" spans="1:10">
      <c r="A137" s="2776"/>
      <c r="B137" s="2777"/>
      <c r="C137" s="2777"/>
      <c r="D137" s="2778"/>
      <c r="E137" s="2778"/>
      <c r="F137" s="2778"/>
      <c r="G137" s="2778"/>
      <c r="H137" s="2779"/>
      <c r="I137" s="2792"/>
      <c r="J137" s="2790"/>
    </row>
    <row r="138" customHeight="1" spans="1:10">
      <c r="A138" s="2775"/>
      <c r="B138" s="2775"/>
      <c r="C138" s="2775"/>
      <c r="D138" s="2772"/>
      <c r="E138" s="2772"/>
      <c r="F138" s="2772"/>
      <c r="G138" s="2772"/>
      <c r="H138" s="2773"/>
      <c r="I138" s="1712"/>
      <c r="J138" s="2791"/>
    </row>
    <row r="139" customHeight="1" spans="1:10">
      <c r="A139" s="1712"/>
      <c r="B139" s="1712"/>
      <c r="C139" s="1712"/>
      <c r="D139" s="1712"/>
      <c r="E139" s="1712"/>
      <c r="F139" s="2780" t="s">
        <v>816</v>
      </c>
      <c r="G139" s="2781"/>
      <c r="H139" s="2781"/>
      <c r="I139" s="2793" t="s">
        <v>817</v>
      </c>
      <c r="J139" s="2794"/>
    </row>
    <row r="140" customHeight="1" spans="1:10">
      <c r="A140" s="1712"/>
      <c r="B140" s="2782" t="s">
        <v>818</v>
      </c>
      <c r="C140" s="1712"/>
      <c r="D140" s="1712"/>
      <c r="E140" s="1712"/>
      <c r="F140" s="1712"/>
      <c r="G140" s="1712"/>
      <c r="H140" s="1712"/>
      <c r="I140" s="1712"/>
      <c r="J140" s="2791"/>
    </row>
    <row r="141" customHeight="1" spans="1:10">
      <c r="A141" s="1712"/>
      <c r="B141" s="1712"/>
      <c r="C141" s="1712"/>
      <c r="D141" s="1712"/>
      <c r="E141" s="1712"/>
      <c r="F141" s="1712"/>
      <c r="G141" s="1712"/>
      <c r="H141" s="1712"/>
      <c r="I141" s="1712"/>
      <c r="J141" s="2791"/>
    </row>
    <row r="142" customHeight="1" spans="1:10">
      <c r="A142" s="1712"/>
      <c r="B142" s="2781"/>
      <c r="C142" s="2781"/>
      <c r="D142" s="2781"/>
      <c r="E142" s="2781"/>
      <c r="F142" s="2781"/>
      <c r="G142" s="2781"/>
      <c r="H142" s="2781"/>
      <c r="I142" s="2793" t="s">
        <v>819</v>
      </c>
      <c r="J142" s="2794"/>
    </row>
    <row r="143" customHeight="1" spans="1:10">
      <c r="A143" s="1712"/>
      <c r="B143" s="2782" t="s">
        <v>820</v>
      </c>
      <c r="C143" s="1712"/>
      <c r="D143" s="1712"/>
      <c r="E143" s="1712"/>
      <c r="F143" s="1712"/>
      <c r="G143" s="1712"/>
      <c r="H143" s="1712"/>
      <c r="I143" s="1712"/>
      <c r="J143" s="2791"/>
    </row>
    <row r="144" customHeight="1" spans="1:10">
      <c r="A144" s="1712"/>
      <c r="B144" s="2782"/>
      <c r="C144" s="1712"/>
      <c r="D144" s="1712"/>
      <c r="E144" s="1712"/>
      <c r="F144" s="1712"/>
      <c r="G144" s="1712"/>
      <c r="H144" s="1712"/>
      <c r="I144" s="1712"/>
      <c r="J144" s="2791"/>
    </row>
    <row r="145" customHeight="1" spans="1:10">
      <c r="A145" s="1712"/>
      <c r="B145" s="2781"/>
      <c r="C145" s="2781"/>
      <c r="D145" s="2781"/>
      <c r="E145" s="2781"/>
      <c r="F145" s="2781"/>
      <c r="G145" s="2781"/>
      <c r="H145" s="2781"/>
      <c r="I145" s="2793" t="s">
        <v>819</v>
      </c>
      <c r="J145" s="2794"/>
    </row>
    <row r="146" customHeight="1" spans="1:10">
      <c r="A146" s="1712"/>
      <c r="B146" s="2782"/>
      <c r="C146" s="2783"/>
      <c r="D146" s="2784"/>
      <c r="E146" s="2784"/>
      <c r="F146" s="2785"/>
      <c r="G146" s="1712"/>
      <c r="H146" s="1712"/>
      <c r="I146" s="1712"/>
      <c r="J146" s="2791"/>
    </row>
    <row r="147" s="1709" customFormat="1" customHeight="1" spans="1:36">
      <c r="A147" s="1712"/>
      <c r="B147" s="2782"/>
      <c r="C147" s="2783"/>
      <c r="D147" s="2784"/>
      <c r="E147" s="2784"/>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1"/>
    </row>
    <row r="151" s="1712" customFormat="1" customHeight="1" spans="10:10">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1712" customFormat="1" customHeight="1" spans="10:10">
      <c r="J383" s="2791"/>
    </row>
    <row r="384" s="1712" customFormat="1" customHeight="1" spans="10:10">
      <c r="J384" s="2791"/>
    </row>
    <row r="385" s="1712" customFormat="1" customHeight="1" spans="10:10">
      <c r="J385" s="2791"/>
    </row>
    <row r="386" s="1712" customFormat="1" customHeight="1" spans="10:10">
      <c r="J386" s="2791"/>
    </row>
    <row r="387" s="1712" customFormat="1" customHeight="1" spans="10:10">
      <c r="J387" s="2791"/>
    </row>
    <row r="388" s="1712" customFormat="1" customHeight="1" spans="10:10">
      <c r="J388" s="2791"/>
    </row>
    <row r="389" s="1712" customFormat="1" customHeight="1" spans="10:10">
      <c r="J389" s="2791"/>
    </row>
    <row r="390" s="1712" customFormat="1" customHeight="1" spans="10:10">
      <c r="J390" s="2791"/>
    </row>
    <row r="391" s="1712" customFormat="1" customHeight="1" spans="10:10">
      <c r="J391" s="2791"/>
    </row>
    <row r="392" s="1712" customFormat="1" customHeight="1" spans="10:10">
      <c r="J392" s="2791"/>
    </row>
    <row r="393" s="1712" customFormat="1" customHeight="1" spans="10:10">
      <c r="J393" s="2791"/>
    </row>
    <row r="394" s="1712" customFormat="1" customHeight="1" spans="10:10">
      <c r="J394" s="2791"/>
    </row>
    <row r="395" s="1712" customFormat="1" customHeight="1" spans="10:10">
      <c r="J395" s="2791"/>
    </row>
    <row r="396" s="1712" customFormat="1" customHeight="1" spans="10:10">
      <c r="J396" s="2791"/>
    </row>
    <row r="397" s="1712" customFormat="1" customHeight="1" spans="10:10">
      <c r="J397" s="2791"/>
    </row>
    <row r="398" s="1712" customFormat="1" customHeight="1" spans="10:10">
      <c r="J398" s="2791"/>
    </row>
    <row r="399" s="1712" customFormat="1" customHeight="1" spans="10:10">
      <c r="J399" s="2791"/>
    </row>
    <row r="400" s="1712" customFormat="1" customHeight="1" spans="10:10">
      <c r="J400" s="2791"/>
    </row>
    <row r="401" s="1712" customFormat="1" customHeight="1" spans="10:10">
      <c r="J401" s="2791"/>
    </row>
    <row r="402" s="1712" customFormat="1" customHeight="1" spans="10:10">
      <c r="J402" s="2791"/>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6:27">
      <c r="F516" s="2428"/>
      <c r="G516" s="2428"/>
      <c r="H516" s="2428"/>
      <c r="I516" s="2428"/>
      <c r="J516" s="242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D92">
      <formula1>"0,5%,10%"</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428"/>
    <col min="2" max="2" width="17.625" style="2428" customWidth="1"/>
    <col min="3" max="4" width="12.625" style="2428" customWidth="1"/>
    <col min="5" max="9" width="12.625" style="2428"/>
    <col min="10" max="10" width="4.1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432" t="s">
        <v>821</v>
      </c>
      <c r="B2" s="2432"/>
      <c r="C2" s="2432"/>
      <c r="D2" s="2432"/>
      <c r="E2" s="2432"/>
      <c r="F2" s="2432"/>
      <c r="G2" s="2432"/>
      <c r="H2" s="2432"/>
      <c r="I2" s="2432"/>
      <c r="J2" s="2563"/>
    </row>
    <row r="3" ht="13.5" spans="1:10">
      <c r="A3" s="2433" t="s">
        <v>605</v>
      </c>
      <c r="B3" s="1981"/>
      <c r="C3" s="1981"/>
      <c r="D3" s="1981"/>
      <c r="E3" s="1981"/>
      <c r="F3" s="1981"/>
      <c r="G3" s="1981"/>
      <c r="H3" s="1981"/>
      <c r="I3" s="1981"/>
      <c r="J3" s="2564"/>
    </row>
    <row r="4" ht="14.25" spans="1:15">
      <c r="A4" s="2434" t="s">
        <v>606</v>
      </c>
      <c r="B4" s="2434" t="s">
        <v>607</v>
      </c>
      <c r="C4" s="2435"/>
      <c r="D4" s="2435"/>
      <c r="E4" s="1963" t="s">
        <v>610</v>
      </c>
      <c r="F4" s="1964"/>
      <c r="G4" s="1964"/>
      <c r="H4" s="1964"/>
      <c r="I4" s="2548"/>
      <c r="J4" s="2565"/>
      <c r="L4" s="2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c r="D14" s="2437"/>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0</v>
      </c>
      <c r="D17" s="2441">
        <f>SUM(D5:D16)</f>
        <v>0</v>
      </c>
      <c r="E17" s="2442"/>
      <c r="F17" s="2442"/>
      <c r="G17" s="2442"/>
      <c r="H17" s="2442"/>
      <c r="I17" s="2442"/>
      <c r="J17" s="2566"/>
    </row>
    <row r="18" ht="32.45" customHeight="1" spans="1:10">
      <c r="A18" s="2443" t="s">
        <v>629</v>
      </c>
      <c r="B18" s="2444"/>
      <c r="C18" s="2445" t="e">
        <f>ROUND(C17/SUM(C17:D17),2)</f>
        <v>#DIV/0!</v>
      </c>
      <c r="D18" s="2445" t="e">
        <f>1-C18</f>
        <v>#DIV/0!</v>
      </c>
      <c r="E18" s="2446" t="s">
        <v>630</v>
      </c>
      <c r="F18" s="2447"/>
      <c r="G18" s="2447"/>
      <c r="H18" s="2447"/>
      <c r="I18" s="2447"/>
      <c r="J18" s="2566"/>
    </row>
    <row r="19" ht="14.25" spans="1:10">
      <c r="A19" s="2448" t="s">
        <v>631</v>
      </c>
      <c r="B19" s="2449" t="s">
        <v>632</v>
      </c>
      <c r="C19" s="2450" t="e">
        <f ca="1">SUMIF(INDIRECT("'"&amp;C4&amp;"'"&amp;"!A:A"),'结果表 (1修多)'!B19,INDIRECT("'"&amp;C4&amp;"'"&amp;"!B:B"))</f>
        <v>#REF!</v>
      </c>
      <c r="D19" s="2451" t="e">
        <f ca="1">SUMIF(INDIRECT("'"&amp;D4&amp;"'"&amp;"!A:A"),'结果表 (1修多)'!B19,INDIRECT("'"&amp;D4&amp;"'"&amp;"!B:B"))</f>
        <v>#REF!</v>
      </c>
      <c r="E19" s="2448" t="s">
        <v>633</v>
      </c>
      <c r="F19" s="2449" t="s">
        <v>632</v>
      </c>
      <c r="G19" s="2452" t="e">
        <f ca="1">ROUND(C19*$C$18+D19*$D$18,0)</f>
        <v>#REF!</v>
      </c>
      <c r="H19" s="2453" t="str">
        <f>'数据-取费表'!B3</f>
        <v>元</v>
      </c>
      <c r="I19" s="2442"/>
      <c r="J19" s="2566"/>
    </row>
    <row r="20" ht="15" spans="1:10">
      <c r="A20" s="2454"/>
      <c r="B20" s="1311" t="s">
        <v>634</v>
      </c>
      <c r="C20" s="1218" t="e">
        <f ca="1">SUMIF(INDIRECT("'"&amp;C4&amp;"'"&amp;"!A:A"),'结果表 (1修多)'!B20,INDIRECT("'"&amp;C4&amp;"'"&amp;"!B:B"))</f>
        <v>#REF!</v>
      </c>
      <c r="D20" s="2391" t="e">
        <f ca="1">SUMIF(INDIRECT("'"&amp;D4&amp;"'"&amp;"!A:A"),'结果表 (1修多)'!B20,INDIRECT("'"&amp;D4&amp;"'"&amp;"!B:B"))</f>
        <v>#REF!</v>
      </c>
      <c r="E20" s="2454"/>
      <c r="F20" s="1311" t="s">
        <v>634</v>
      </c>
      <c r="G20" s="1242" t="e">
        <f ca="1">ROUND(C20*$C$18+D20*$D$18,0)</f>
        <v>#REF!</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t="e">
        <f ca="1">IF(C19&lt;D19,D19/C19-1,C19/D19-1)</f>
        <v>#REF!</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t="s">
        <v>822</v>
      </c>
      <c r="B27" s="2470">
        <v>0</v>
      </c>
      <c r="C27" s="2470">
        <v>0</v>
      </c>
      <c r="D27" s="2471">
        <f>ROUND(C27*B27/10000,0)</f>
        <v>0</v>
      </c>
      <c r="E27" s="2082"/>
      <c r="F27" s="2082"/>
      <c r="G27" s="2082"/>
      <c r="H27" s="2082"/>
      <c r="I27" s="2082"/>
      <c r="J27" s="2566"/>
    </row>
    <row r="28" ht="14.25" spans="1:10">
      <c r="A28" s="2469"/>
      <c r="B28" s="2470"/>
      <c r="C28" s="2470"/>
      <c r="D28" s="2471">
        <f>ROUND(C28*B28/10000,0)</f>
        <v>0</v>
      </c>
      <c r="E28" s="2082"/>
      <c r="F28" s="2082"/>
      <c r="G28" s="2082"/>
      <c r="H28" s="2082"/>
      <c r="I28" s="2082"/>
      <c r="J28" s="2566"/>
    </row>
    <row r="29" ht="14.25" spans="1:10">
      <c r="A29" s="2469"/>
      <c r="B29" s="2470"/>
      <c r="C29" s="2470"/>
      <c r="D29" s="2471">
        <f t="shared" ref="D29" si="0">ROUND(C29*B29/10000,0)</f>
        <v>0</v>
      </c>
      <c r="E29" s="2082"/>
      <c r="F29" s="2082"/>
      <c r="G29" s="2082"/>
      <c r="H29" s="2082"/>
      <c r="I29" s="2082"/>
      <c r="J29" s="2566"/>
    </row>
    <row r="30" ht="15" spans="1:10">
      <c r="A30" s="2473" t="s">
        <v>642</v>
      </c>
      <c r="B30" s="2474"/>
      <c r="C30" s="2474"/>
      <c r="D30" s="2474"/>
      <c r="E30" s="2475" t="s">
        <v>643</v>
      </c>
      <c r="F30" s="2442"/>
      <c r="G30" s="2442"/>
      <c r="H30" s="2442"/>
      <c r="I30" s="2442"/>
      <c r="J30" s="2566"/>
    </row>
    <row r="31" s="2424" customFormat="1" ht="27.6"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425" customFormat="1" ht="16.5" spans="1:36">
      <c r="A32" s="2478" t="s">
        <v>823</v>
      </c>
      <c r="B32" s="2478"/>
      <c r="C32" s="2478"/>
      <c r="D32" s="2478"/>
      <c r="E32" s="2478"/>
      <c r="F32" s="2478"/>
      <c r="G32" s="2478"/>
      <c r="H32" s="2478"/>
      <c r="I32" s="2478"/>
      <c r="J32" s="2570"/>
      <c r="K32" s="1712"/>
      <c r="L32" s="1712"/>
      <c r="M32" s="1712"/>
      <c r="N32" s="1712"/>
      <c r="O32" s="1712"/>
      <c r="P32" s="1712"/>
      <c r="Q32" s="1712"/>
      <c r="R32" s="1712"/>
      <c r="S32" s="1712"/>
      <c r="T32" s="1712"/>
      <c r="U32" s="1712"/>
      <c r="V32" s="1712"/>
      <c r="W32" s="1712"/>
      <c r="X32" s="1712"/>
      <c r="Y32" s="1712"/>
      <c r="Z32" s="1712"/>
      <c r="AA32" s="1712"/>
      <c r="AB32" s="2427"/>
      <c r="AC32" s="2427"/>
      <c r="AD32" s="2427"/>
      <c r="AE32" s="2427"/>
      <c r="AF32" s="2427"/>
      <c r="AG32" s="2427"/>
      <c r="AH32" s="2427"/>
      <c r="AI32" s="2427"/>
      <c r="AJ32" s="2427"/>
    </row>
    <row r="33" ht="15" spans="1:10">
      <c r="A33" s="2479"/>
      <c r="B33" s="2480" t="s">
        <v>824</v>
      </c>
      <c r="C33" s="2481">
        <f>典型户型修正!R27</f>
        <v>0</v>
      </c>
      <c r="D33" s="2442" t="s">
        <v>635</v>
      </c>
      <c r="E33" s="2082"/>
      <c r="F33" s="2082"/>
      <c r="G33" s="2082"/>
      <c r="H33" s="2082"/>
      <c r="I33" s="2082"/>
      <c r="J33" s="2566"/>
    </row>
    <row r="34" ht="14.25" spans="1:10">
      <c r="A34" s="2482" t="s">
        <v>825</v>
      </c>
      <c r="B34" s="2483" t="s">
        <v>826</v>
      </c>
      <c r="C34" s="2484">
        <f ca="1">典型户型修正!B2</f>
        <v>0</v>
      </c>
      <c r="D34" s="2485" t="str">
        <f>IF('数据-取费表'!B3="万元","万元","元")</f>
        <v>元</v>
      </c>
      <c r="E34" s="2082"/>
      <c r="F34" s="2082"/>
      <c r="G34" s="2082"/>
      <c r="H34" s="2082"/>
      <c r="I34" s="2082"/>
      <c r="J34" s="2566"/>
    </row>
    <row r="35" ht="15.75" spans="1:10">
      <c r="A35" s="2486"/>
      <c r="B35" s="2487" t="s">
        <v>827</v>
      </c>
      <c r="C35" s="2458" t="e">
        <f ca="1">典型户型修正!B3</f>
        <v>#DIV/0!</v>
      </c>
      <c r="D35" s="2442" t="s">
        <v>635</v>
      </c>
      <c r="E35" s="2082"/>
      <c r="F35" s="2082"/>
      <c r="G35" s="2082"/>
      <c r="H35" s="2082"/>
      <c r="I35" s="2082"/>
      <c r="J35" s="2566"/>
    </row>
    <row r="36" ht="15" spans="1:10">
      <c r="A36" s="2488"/>
      <c r="B36" s="2489" t="s">
        <v>648</v>
      </c>
      <c r="C36" s="2490">
        <f>IF('数据-取费表'!B3="万元",典型户型修正!V25,典型户型修正!U25)</f>
        <v>0</v>
      </c>
      <c r="D36" s="2442" t="str">
        <f>D34</f>
        <v>元</v>
      </c>
      <c r="E36" s="2082"/>
      <c r="F36" s="2082"/>
      <c r="G36" s="2082"/>
      <c r="H36" s="2082"/>
      <c r="I36" s="2082"/>
      <c r="J36" s="2566"/>
    </row>
    <row r="37" ht="15.75" spans="1:10">
      <c r="A37" s="2491"/>
      <c r="B37" s="2492" t="s">
        <v>650</v>
      </c>
      <c r="C37" s="2493">
        <f>IF('数据-取费表'!B3="万元",典型户型修正!Y25,典型户型修正!X25)</f>
        <v>0</v>
      </c>
      <c r="D37" s="2442" t="str">
        <f>D34</f>
        <v>元</v>
      </c>
      <c r="E37" s="2082"/>
      <c r="F37" s="2082"/>
      <c r="G37" s="2082"/>
      <c r="H37" s="2082"/>
      <c r="I37" s="2082"/>
      <c r="J37" s="2566"/>
    </row>
    <row r="38" ht="15.75" spans="1:10">
      <c r="A38" s="1122" t="s">
        <v>652</v>
      </c>
      <c r="B38" s="2489" t="s">
        <v>653</v>
      </c>
      <c r="C38" s="2494"/>
      <c r="D38" s="2495"/>
      <c r="E38" s="2496"/>
      <c r="F38" s="2496"/>
      <c r="G38" s="2082"/>
      <c r="H38" s="2082"/>
      <c r="I38" s="2082"/>
      <c r="J38" s="2566"/>
    </row>
    <row r="39" ht="15.75" spans="1:10">
      <c r="A39" s="1134"/>
      <c r="B39" s="1293" t="s">
        <v>654</v>
      </c>
      <c r="C39" s="2497"/>
      <c r="D39" s="2498"/>
      <c r="E39" s="2498"/>
      <c r="F39" s="2496"/>
      <c r="G39" s="2498"/>
      <c r="H39" s="2498"/>
      <c r="I39" s="2498"/>
      <c r="J39" s="2571"/>
    </row>
    <row r="40" ht="15.75" spans="1:10">
      <c r="A40" s="2499"/>
      <c r="B40" s="2492" t="s">
        <v>655</v>
      </c>
      <c r="C40" s="2500"/>
      <c r="D40" s="2501" t="s">
        <v>656</v>
      </c>
      <c r="E40" s="2498"/>
      <c r="F40" s="2496"/>
      <c r="G40" s="2498"/>
      <c r="H40" s="2498"/>
      <c r="I40" s="2498"/>
      <c r="J40" s="2571"/>
    </row>
    <row r="41" ht="14.25" spans="1:10">
      <c r="A41" s="2454" t="s">
        <v>657</v>
      </c>
      <c r="B41" s="2502" t="s">
        <v>639</v>
      </c>
      <c r="C41" s="2503" t="s">
        <v>640</v>
      </c>
      <c r="D41" s="2503" t="s">
        <v>658</v>
      </c>
      <c r="E41" s="2504" t="s">
        <v>641</v>
      </c>
      <c r="F41" s="2496"/>
      <c r="G41" s="2498"/>
      <c r="H41" s="2498"/>
      <c r="I41" s="2498"/>
      <c r="J41" s="2571"/>
    </row>
    <row r="42" ht="14.25" spans="1:10">
      <c r="A42" s="2505" t="s">
        <v>659</v>
      </c>
      <c r="B42" s="2506"/>
      <c r="C42" s="2507"/>
      <c r="D42" s="2507"/>
      <c r="E42" s="2508"/>
      <c r="F42" s="2496"/>
      <c r="G42" s="2498"/>
      <c r="H42" s="2498"/>
      <c r="I42" s="2498"/>
      <c r="J42" s="2571"/>
    </row>
    <row r="43" ht="14.25" spans="1:10">
      <c r="A43" s="2505" t="s">
        <v>660</v>
      </c>
      <c r="B43" s="2506"/>
      <c r="C43" s="2507"/>
      <c r="D43" s="2507"/>
      <c r="E43" s="2508"/>
      <c r="F43" s="2496"/>
      <c r="G43" s="2498"/>
      <c r="H43" s="2498"/>
      <c r="I43" s="2498"/>
      <c r="J43" s="2571"/>
    </row>
    <row r="44" ht="15" spans="1:10">
      <c r="A44" s="2509"/>
      <c r="B44" s="2510"/>
      <c r="C44" s="2511"/>
      <c r="D44" s="2511"/>
      <c r="E44" s="2512"/>
      <c r="F44" s="2496"/>
      <c r="G44" s="2498"/>
      <c r="H44" s="2498"/>
      <c r="I44" s="2498"/>
      <c r="J44" s="2571"/>
    </row>
    <row r="45" ht="13.5" spans="1:10">
      <c r="A45" s="2513"/>
      <c r="B45" s="2513"/>
      <c r="C45" s="2513"/>
      <c r="D45" s="2513"/>
      <c r="E45" s="2513"/>
      <c r="F45" s="2514"/>
      <c r="G45" s="2514"/>
      <c r="H45" s="2514"/>
      <c r="I45" s="2572"/>
      <c r="J45" s="2573"/>
    </row>
    <row r="46" ht="18.75" spans="1:16">
      <c r="A46" s="2515" t="s">
        <v>661</v>
      </c>
      <c r="B46" s="2516"/>
      <c r="C46" s="2516"/>
      <c r="D46" s="2517"/>
      <c r="E46" s="2517"/>
      <c r="F46" s="2517"/>
      <c r="G46" s="2517"/>
      <c r="H46" s="2517"/>
      <c r="I46" s="2574" t="s">
        <v>662</v>
      </c>
      <c r="J46" s="2575"/>
      <c r="K46" s="2576" t="s">
        <v>663</v>
      </c>
      <c r="L46" s="2577"/>
      <c r="M46" s="2577"/>
      <c r="N46" s="2577"/>
      <c r="O46" s="2577"/>
      <c r="P46" s="2577"/>
    </row>
    <row r="47" ht="14.25" customHeight="1" spans="1:16">
      <c r="A47" s="2518" t="s">
        <v>664</v>
      </c>
      <c r="B47" s="2519"/>
      <c r="C47" s="2520"/>
      <c r="D47" s="1942">
        <f ca="1">ROUND(I104*F47,0)</f>
        <v>0</v>
      </c>
      <c r="E47" s="2031" t="s">
        <v>665</v>
      </c>
      <c r="F47" s="2521">
        <v>1</v>
      </c>
      <c r="G47" s="2522" t="s">
        <v>666</v>
      </c>
      <c r="H47" s="2082"/>
      <c r="I47" s="2082"/>
      <c r="J47" s="2566"/>
      <c r="K47" s="2578" t="s">
        <v>828</v>
      </c>
      <c r="L47" s="2578"/>
      <c r="M47" s="2578"/>
      <c r="N47" s="2578"/>
      <c r="O47" s="2578"/>
      <c r="P47" s="2578"/>
    </row>
    <row r="48" ht="14.25" customHeight="1" spans="1:16">
      <c r="A48" s="2523" t="s">
        <v>668</v>
      </c>
      <c r="B48" s="2524"/>
      <c r="C48" s="2524"/>
      <c r="D48" s="2524"/>
      <c r="E48" s="2524"/>
      <c r="F48" s="2524"/>
      <c r="G48" s="2525"/>
      <c r="H48" s="2526"/>
      <c r="I48" s="2082"/>
      <c r="J48" s="2566"/>
      <c r="K48" s="2579">
        <v>1</v>
      </c>
      <c r="L48" s="2580" t="s">
        <v>829</v>
      </c>
      <c r="M48" s="2580"/>
      <c r="N48" s="2581"/>
      <c r="O48" s="2581"/>
      <c r="P48" s="2581"/>
    </row>
    <row r="49" ht="12" customHeight="1" spans="1:16">
      <c r="A49" s="2527" t="s">
        <v>669</v>
      </c>
      <c r="B49" s="2528"/>
      <c r="C49" s="2529"/>
      <c r="D49" s="1980" t="s">
        <v>670</v>
      </c>
      <c r="E49" s="1930" t="s">
        <v>671</v>
      </c>
      <c r="F49" s="2148" t="s">
        <v>672</v>
      </c>
      <c r="G49" s="2530" t="s">
        <v>673</v>
      </c>
      <c r="H49" s="2526"/>
      <c r="I49" s="2082"/>
      <c r="J49" s="2566"/>
      <c r="K49" s="2579">
        <v>2</v>
      </c>
      <c r="L49" s="2580" t="s">
        <v>830</v>
      </c>
      <c r="M49" s="2580"/>
      <c r="N49" s="2582">
        <f>'数据-取费表'!B2</f>
        <v>40008</v>
      </c>
      <c r="O49" s="2582"/>
      <c r="P49" s="2582"/>
    </row>
    <row r="50" ht="24.75" spans="1:16">
      <c r="A50" s="2531" t="s">
        <v>675</v>
      </c>
      <c r="B50" s="1985"/>
      <c r="C50" s="1985"/>
      <c r="D50" s="2044">
        <f ca="1">IF(H50="情况1",0,IF(H50="情况2",D54,IF(H50="情况3",D55,IF(H50="情况4",D56))))</f>
        <v>0</v>
      </c>
      <c r="E50" s="1985" t="str">
        <f>IF(H50="情况4","(销售额-原购置价)×税（费）率","销售额×税（费）率")</f>
        <v>销售额×税（费）率</v>
      </c>
      <c r="F50" s="2532">
        <f>IF(H50="情况1","免征",'数据-取费表'!E29)</f>
        <v>0.056</v>
      </c>
      <c r="G50" s="2533" t="s">
        <v>676</v>
      </c>
      <c r="H50" s="2534" t="s">
        <v>677</v>
      </c>
      <c r="I50" s="2526"/>
      <c r="J50" s="2583"/>
      <c r="K50" s="2579">
        <v>3</v>
      </c>
      <c r="L50" s="2580" t="s">
        <v>831</v>
      </c>
      <c r="M50" s="2580"/>
      <c r="N50" s="2584">
        <f ca="1">I104</f>
        <v>0</v>
      </c>
      <c r="O50" s="2584"/>
      <c r="P50" s="2584"/>
    </row>
    <row r="51" ht="25.5" customHeight="1" spans="1:16">
      <c r="A51" s="2531" t="s">
        <v>679</v>
      </c>
      <c r="B51" s="1964" t="s">
        <v>680</v>
      </c>
      <c r="C51" s="1964"/>
      <c r="D51" s="2535">
        <v>0</v>
      </c>
      <c r="E51" s="1991" t="s">
        <v>681</v>
      </c>
      <c r="F51" s="2536" t="s">
        <v>121</v>
      </c>
      <c r="G51" s="2537"/>
      <c r="H51" s="2538" t="s">
        <v>832</v>
      </c>
      <c r="I51" s="2585"/>
      <c r="J51" s="2586"/>
      <c r="K51" s="2579">
        <v>4</v>
      </c>
      <c r="L51" s="2580" t="str">
        <f>IF(项目基本情况!F5="房地产抵押价值","房地产抵押价值","抵押担保权已注销时的房地产抵押价值")</f>
        <v>抵押担保权已注销时的房地产抵押价值</v>
      </c>
      <c r="M51" s="2580"/>
      <c r="N51" s="2584" t="str">
        <f ca="1">IF(项目基本情况!F5="房地产抵押价值",I112,I114)</f>
        <v>——</v>
      </c>
      <c r="O51" s="2584"/>
      <c r="P51" s="2584"/>
    </row>
    <row r="52" ht="25.5" customHeight="1" spans="1:16">
      <c r="A52" s="2539"/>
      <c r="B52" s="1964" t="s">
        <v>683</v>
      </c>
      <c r="C52" s="1964"/>
      <c r="D52" s="2540"/>
      <c r="E52" s="2001"/>
      <c r="F52" s="2536"/>
      <c r="G52" s="2541"/>
      <c r="H52" s="2542" t="s">
        <v>684</v>
      </c>
      <c r="I52" s="2585"/>
      <c r="J52" s="2586"/>
      <c r="K52" s="2580" t="s">
        <v>833</v>
      </c>
      <c r="L52" s="2580"/>
      <c r="M52" s="2580"/>
      <c r="N52" s="2580"/>
      <c r="O52" s="2580"/>
      <c r="P52" s="2580"/>
    </row>
    <row r="53" ht="20.45" customHeight="1" spans="1:16">
      <c r="A53" s="2543"/>
      <c r="B53" s="1964" t="s">
        <v>686</v>
      </c>
      <c r="C53" s="1964"/>
      <c r="D53" s="1980"/>
      <c r="E53" s="447"/>
      <c r="F53" s="2536"/>
      <c r="G53" s="2544"/>
      <c r="H53" s="2542" t="s">
        <v>687</v>
      </c>
      <c r="I53" s="2585"/>
      <c r="J53" s="2586"/>
      <c r="K53" s="2580" t="s">
        <v>834</v>
      </c>
      <c r="L53" s="2580" t="s">
        <v>835</v>
      </c>
      <c r="M53" s="2580"/>
      <c r="N53" s="2580" t="s">
        <v>836</v>
      </c>
      <c r="O53" s="2580" t="s">
        <v>837</v>
      </c>
      <c r="P53" s="2580" t="s">
        <v>838</v>
      </c>
    </row>
    <row r="54" ht="24" customHeight="1" spans="1:16">
      <c r="A54" s="2545" t="s">
        <v>693</v>
      </c>
      <c r="B54" s="1964" t="s">
        <v>694</v>
      </c>
      <c r="C54" s="1964"/>
      <c r="D54" s="1980">
        <f ca="1">ROUND(D47*'数据-取费表'!E29/(1+'数据-取费表'!F30),0)</f>
        <v>0</v>
      </c>
      <c r="E54" s="1985" t="s">
        <v>695</v>
      </c>
      <c r="F54" s="2546">
        <f>'数据-取费表'!E29</f>
        <v>0.056</v>
      </c>
      <c r="G54" s="2547"/>
      <c r="H54" s="2082"/>
      <c r="I54" s="2587"/>
      <c r="J54" s="2586"/>
      <c r="K54" s="2579">
        <v>1</v>
      </c>
      <c r="L54" s="2579" t="s">
        <v>839</v>
      </c>
      <c r="M54" s="2579"/>
      <c r="N54" s="2588">
        <f ca="1">D50</f>
        <v>0</v>
      </c>
      <c r="O54" s="2579" t="str">
        <f>E50</f>
        <v>销售额×税（费）率</v>
      </c>
      <c r="P54" s="2589">
        <f>F50</f>
        <v>0.056</v>
      </c>
    </row>
    <row r="55" ht="12" customHeight="1" spans="1:16">
      <c r="A55" s="2545" t="s">
        <v>697</v>
      </c>
      <c r="B55" s="1963" t="s">
        <v>698</v>
      </c>
      <c r="C55" s="2548"/>
      <c r="D55" s="1980">
        <f ca="1">ROUND(D47*'数据-取费表'!E29/(1+'数据-取费表'!F30),0)</f>
        <v>0</v>
      </c>
      <c r="E55" s="1985" t="s">
        <v>695</v>
      </c>
      <c r="F55" s="2546">
        <f>'数据-取费表'!E29</f>
        <v>0.056</v>
      </c>
      <c r="G55" s="2547"/>
      <c r="H55" s="2082"/>
      <c r="I55" s="2587"/>
      <c r="J55" s="2586"/>
      <c r="K55" s="2579">
        <v>2</v>
      </c>
      <c r="L55" s="2579" t="s">
        <v>840</v>
      </c>
      <c r="M55" s="2579"/>
      <c r="N55" s="2588">
        <f ca="1" t="shared" ref="N55:P56" si="1">D57</f>
        <v>0</v>
      </c>
      <c r="O55" s="2579" t="str">
        <f t="shared" si="1"/>
        <v>销售额×税（费）率</v>
      </c>
      <c r="P55" s="2589">
        <f t="shared" si="1"/>
        <v>0.0005</v>
      </c>
    </row>
    <row r="56" ht="12" customHeight="1" spans="1:16">
      <c r="A56" s="2545" t="s">
        <v>700</v>
      </c>
      <c r="B56" s="1963" t="s">
        <v>701</v>
      </c>
      <c r="C56" s="2548"/>
      <c r="D56" s="1980">
        <f ca="1">C70</f>
        <v>0</v>
      </c>
      <c r="E56" s="447" t="s">
        <v>702</v>
      </c>
      <c r="F56" s="2546">
        <f>'数据-取费表'!E29</f>
        <v>0.056</v>
      </c>
      <c r="G56" s="2547"/>
      <c r="H56" s="2549"/>
      <c r="I56" s="2587"/>
      <c r="J56" s="2586"/>
      <c r="K56" s="2579">
        <v>3</v>
      </c>
      <c r="L56" s="2579" t="s">
        <v>841</v>
      </c>
      <c r="M56" s="2579"/>
      <c r="N56" s="2588">
        <f ca="1" t="shared" si="1"/>
        <v>0</v>
      </c>
      <c r="O56" s="2579" t="str">
        <f t="shared" si="1"/>
        <v>增值额×税（费）率</v>
      </c>
      <c r="P56" s="2590" t="str">
        <f t="shared" si="1"/>
        <v>——</v>
      </c>
    </row>
    <row r="57" ht="24" customHeight="1" spans="1:16">
      <c r="A57" s="2545" t="s">
        <v>704</v>
      </c>
      <c r="B57" s="1985"/>
      <c r="C57" s="1985"/>
      <c r="D57" s="2044">
        <f ca="1">IF(H57="个人住宅",0,ROUND(D47*I57,0))</f>
        <v>0</v>
      </c>
      <c r="E57" s="1985" t="s">
        <v>705</v>
      </c>
      <c r="F57" s="2546">
        <f>IF(H57="正常",I57,"免征")</f>
        <v>0.0005</v>
      </c>
      <c r="G57" s="2547"/>
      <c r="H57" s="2534" t="s">
        <v>842</v>
      </c>
      <c r="I57" s="2591">
        <f>'数据-取费表'!E37</f>
        <v>0.0005</v>
      </c>
      <c r="J57" s="2586"/>
      <c r="K57" s="2579">
        <f>IF(H61="非个人房产","",4)</f>
        <v>4</v>
      </c>
      <c r="L57" s="2579" t="str">
        <f>IF(H61="非个人房产","——","个人所得税")</f>
        <v>个人所得税</v>
      </c>
      <c r="M57" s="2579"/>
      <c r="N57" s="2592">
        <f ca="1">D61</f>
        <v>0</v>
      </c>
      <c r="O57" s="2593" t="str">
        <f>E61</f>
        <v>销售额×税（费）率</v>
      </c>
      <c r="P57" s="2594">
        <f>F61</f>
        <v>0.01</v>
      </c>
    </row>
    <row r="58" ht="24.75" spans="1:16">
      <c r="A58" s="2545" t="s">
        <v>707</v>
      </c>
      <c r="B58" s="1985"/>
      <c r="C58" s="1985"/>
      <c r="D58" s="2044">
        <f ca="1">IF(H58="个人住宅",D59,D60)</f>
        <v>0</v>
      </c>
      <c r="E58" s="1985" t="s">
        <v>708</v>
      </c>
      <c r="F58" s="2546" t="str">
        <f>IF(H58="正常",F60,"免征")</f>
        <v>——</v>
      </c>
      <c r="G58" s="2550" t="s">
        <v>709</v>
      </c>
      <c r="H58" s="2551" t="s">
        <v>842</v>
      </c>
      <c r="I58" s="2552"/>
      <c r="J58" s="2586"/>
      <c r="K58" s="2579" t="str">
        <f>IF(项目基本情况!I6="上海银行",IF(K57="",4,K57+1),"")</f>
        <v/>
      </c>
      <c r="L58" s="2595" t="str">
        <f>IF(项目基本情况!I6="上海银行","其他处置费用","")</f>
        <v/>
      </c>
      <c r="M58" s="2596"/>
      <c r="N58" s="2588" t="str">
        <f ca="1">IF(项目基本情况!I6="上海银行",N71,"")</f>
        <v/>
      </c>
      <c r="O58" s="2595" t="str">
        <f>IF(项目基本情况!I6="上海银行","包含处置中涉及的律师、诉讼、拍卖、评估等费用","")</f>
        <v/>
      </c>
      <c r="P58" s="2597"/>
    </row>
    <row r="59" ht="13.5" spans="1:17">
      <c r="A59" s="2545" t="s">
        <v>679</v>
      </c>
      <c r="B59" s="1963" t="s">
        <v>710</v>
      </c>
      <c r="C59" s="2548"/>
      <c r="D59" s="2535">
        <v>0</v>
      </c>
      <c r="E59" s="1991" t="s">
        <v>681</v>
      </c>
      <c r="F59" s="1930"/>
      <c r="G59" s="2547"/>
      <c r="H59" s="2552"/>
      <c r="I59" s="2552"/>
      <c r="J59" s="2586"/>
      <c r="K59" s="2579">
        <f>IF(AND(K57="",K58=""),4,IF(项目基本情况!I6="上海银行",K58+1,K57+1))</f>
        <v>5</v>
      </c>
      <c r="L59" s="2579" t="s">
        <v>843</v>
      </c>
      <c r="M59" s="2598" t="s">
        <v>844</v>
      </c>
      <c r="N59" s="2599"/>
      <c r="O59" s="2600">
        <f ca="1">SUMIF(N54:N58,"&lt;9e307")</f>
        <v>0</v>
      </c>
      <c r="P59" s="2601"/>
      <c r="Q59" s="2613" t="e">
        <f ca="1">O59/N51</f>
        <v>#VALUE!</v>
      </c>
    </row>
    <row r="60" ht="24.75" spans="1:16">
      <c r="A60" s="2545" t="s">
        <v>693</v>
      </c>
      <c r="B60" s="1963" t="s">
        <v>712</v>
      </c>
      <c r="C60" s="1964"/>
      <c r="D60" s="2044">
        <f ca="1">IF(H60="转让取得",C83,C99)</f>
        <v>0</v>
      </c>
      <c r="E60" s="1985" t="s">
        <v>708</v>
      </c>
      <c r="F60" s="1930" t="s">
        <v>121</v>
      </c>
      <c r="G60" s="2547"/>
      <c r="H60" s="2551" t="s">
        <v>713</v>
      </c>
      <c r="I60" s="2552"/>
      <c r="J60" s="2586"/>
      <c r="K60" s="2579"/>
      <c r="L60" s="2579"/>
      <c r="M60" s="2598" t="s">
        <v>845</v>
      </c>
      <c r="N60" s="2602"/>
      <c r="O60" s="2603" t="str">
        <f ca="1">IF(H19="元",NUMBERSTRING(INT(O59),2)&amp;"元整",NUMBERSTRING(INT(O59*10000),2)&amp;"元整")</f>
        <v>零元整</v>
      </c>
      <c r="P60" s="2604"/>
    </row>
    <row r="61" ht="25.5" spans="1:16">
      <c r="A61" s="2553" t="s">
        <v>715</v>
      </c>
      <c r="B61" s="2554"/>
      <c r="C61" s="2554"/>
      <c r="D61" s="2555">
        <f ca="1">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716</v>
      </c>
      <c r="H61" s="2558" t="s">
        <v>846</v>
      </c>
      <c r="I61" s="2605" t="s">
        <v>718</v>
      </c>
      <c r="J61" s="2586"/>
      <c r="K61" s="2593">
        <f>K59+1</f>
        <v>6</v>
      </c>
      <c r="L61" s="2579" t="s">
        <v>847</v>
      </c>
      <c r="M61" s="2579" t="s">
        <v>844</v>
      </c>
      <c r="N61" s="2606"/>
      <c r="O61" s="2607" t="e">
        <f ca="1">N51-O59</f>
        <v>#VALUE!</v>
      </c>
      <c r="P61" s="2608"/>
    </row>
    <row r="62" ht="12" customHeight="1" spans="1:16">
      <c r="A62" s="2559"/>
      <c r="B62" s="2442"/>
      <c r="C62" s="2442"/>
      <c r="D62" s="2442"/>
      <c r="E62" s="2559"/>
      <c r="F62" s="2552"/>
      <c r="G62" s="2552"/>
      <c r="H62" s="2560"/>
      <c r="I62" s="2082"/>
      <c r="J62" s="2586"/>
      <c r="K62" s="2609"/>
      <c r="L62" s="2579"/>
      <c r="M62" s="2598" t="s">
        <v>845</v>
      </c>
      <c r="N62" s="2602"/>
      <c r="O62" s="2603" t="e">
        <f ca="1">IF(H19="元",NUMBERSTRING(INT(O61),2)&amp;"元整",NUMBERSTRING(INT(O61*10000),2)&amp;"元整")</f>
        <v>#VALUE!</v>
      </c>
      <c r="P62" s="2604"/>
    </row>
    <row r="63" ht="14.25" spans="1:16">
      <c r="A63" s="2561" t="s">
        <v>719</v>
      </c>
      <c r="B63" s="2561"/>
      <c r="C63" s="2561"/>
      <c r="D63" s="2561"/>
      <c r="E63" s="2561"/>
      <c r="F63" s="2552"/>
      <c r="G63" s="2552"/>
      <c r="H63" s="2560"/>
      <c r="I63" s="2082"/>
      <c r="J63" s="2566"/>
      <c r="K63" s="2579">
        <f>K61+1</f>
        <v>7</v>
      </c>
      <c r="L63" s="2579" t="s">
        <v>848</v>
      </c>
      <c r="M63" s="2579"/>
      <c r="N63" s="2610"/>
      <c r="O63" s="2611" t="e">
        <f ca="1">IF(H19="元",ROUND(O61/项目基本情况!C12,0),ROUND(O61*10000/项目基本情况!C12,0))</f>
        <v>#VALUE!</v>
      </c>
      <c r="P63" s="2612"/>
    </row>
    <row r="64" ht="13.5" spans="1:15">
      <c r="A64" s="459" t="s">
        <v>721</v>
      </c>
      <c r="B64" s="425"/>
      <c r="C64" s="425"/>
      <c r="D64" s="425" t="s">
        <v>722</v>
      </c>
      <c r="E64" s="2562" t="s">
        <v>673</v>
      </c>
      <c r="F64" s="2552"/>
      <c r="G64" s="2552"/>
      <c r="H64" s="2560"/>
      <c r="I64" s="2082"/>
      <c r="J64" s="2566"/>
      <c r="K64" s="2427"/>
      <c r="L64" s="2427"/>
      <c r="M64" s="2427"/>
      <c r="N64" s="2427"/>
      <c r="O64" s="2427"/>
    </row>
    <row r="65" ht="13.5" spans="1:15">
      <c r="A65" s="2615">
        <v>1</v>
      </c>
      <c r="B65" s="2616" t="s">
        <v>723</v>
      </c>
      <c r="C65" s="2617">
        <f ca="1">ROUND((C66+C67)/(1+'数据-取费表'!F30),0)</f>
        <v>0</v>
      </c>
      <c r="D65" s="2616"/>
      <c r="E65" s="2618"/>
      <c r="F65" s="2552"/>
      <c r="G65" s="2552"/>
      <c r="H65" s="2560"/>
      <c r="I65" s="2082"/>
      <c r="J65" s="2566"/>
      <c r="K65" s="2684" t="s">
        <v>849</v>
      </c>
      <c r="L65" s="2684" t="s">
        <v>850</v>
      </c>
      <c r="M65" s="2684" t="e">
        <f ca="1">IF(N51&gt;10000,N51*0.5%,IF(AND(N51&gt;1000,N51&lt;=10000),N51*1%,IF(AND(N51&gt;100,N51&lt;=1000),N51*3%,IF(AND(N51&gt;10,N51&lt;=100),N51*5%,N51*8%))))</f>
        <v>#VALUE!</v>
      </c>
      <c r="N65" s="1930" t="e">
        <f ca="1">ROUND(M65,1)</f>
        <v>#VALUE!</v>
      </c>
      <c r="O65" s="2730"/>
    </row>
    <row r="66" ht="13.5" spans="1:15">
      <c r="A66" s="2619" t="s">
        <v>726</v>
      </c>
      <c r="B66" s="410" t="s">
        <v>727</v>
      </c>
      <c r="C66" s="2620">
        <f ca="1">D47</f>
        <v>0</v>
      </c>
      <c r="D66" s="410" t="s">
        <v>121</v>
      </c>
      <c r="E66" s="2621"/>
      <c r="F66" s="2552"/>
      <c r="G66" s="2552"/>
      <c r="H66" s="2560"/>
      <c r="I66" s="2082"/>
      <c r="J66" s="2566"/>
      <c r="K66" s="2684"/>
      <c r="L66" s="2684" t="s">
        <v>851</v>
      </c>
      <c r="M66" s="2684"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0" t="s">
        <v>852</v>
      </c>
    </row>
    <row r="67" ht="13.5" spans="1:15">
      <c r="A67" s="2619" t="s">
        <v>730</v>
      </c>
      <c r="B67" s="410" t="s">
        <v>731</v>
      </c>
      <c r="C67" s="2622"/>
      <c r="D67" s="410"/>
      <c r="E67" s="2621"/>
      <c r="F67" s="2552"/>
      <c r="G67" s="2552"/>
      <c r="H67" s="2560"/>
      <c r="I67" s="2082"/>
      <c r="J67" s="2566"/>
      <c r="K67" s="2684"/>
      <c r="L67" s="2684" t="s">
        <v>853</v>
      </c>
      <c r="M67" s="2684" t="e">
        <f ca="1">IF(N51&gt;1000,N51*0.1%,IF(AND(N51&gt;500,N51&lt;=1000),N51*0.5%,IF(AND(N51&gt;50,N51&lt;=500),N51*1%,IF(AND(N51&gt;1,N51&lt;=50),N51*1.5%))))</f>
        <v>#VALUE!</v>
      </c>
      <c r="N67" s="1930" t="e">
        <f ca="1" t="shared" si="2"/>
        <v>#VALUE!</v>
      </c>
      <c r="O67" s="2730" t="s">
        <v>852</v>
      </c>
    </row>
    <row r="68" ht="13.5" spans="1:15">
      <c r="A68" s="2623" t="s">
        <v>733</v>
      </c>
      <c r="B68" s="516" t="s">
        <v>734</v>
      </c>
      <c r="C68" s="2624"/>
      <c r="D68" s="516" t="s">
        <v>121</v>
      </c>
      <c r="E68" s="2625" t="s">
        <v>735</v>
      </c>
      <c r="F68" s="2552"/>
      <c r="G68" s="2552"/>
      <c r="H68" s="2560"/>
      <c r="I68" s="2082"/>
      <c r="J68" s="2566"/>
      <c r="K68" s="2684"/>
      <c r="L68" s="2684" t="s">
        <v>854</v>
      </c>
      <c r="M68" s="2684" t="e">
        <f ca="1">N51*0.5%</f>
        <v>#VALUE!</v>
      </c>
      <c r="N68" s="1930" t="e">
        <f ca="1">IF(M68&gt;0.5,0.5,ROUND(M68,0))</f>
        <v>#VALUE!</v>
      </c>
      <c r="O68" s="2730" t="s">
        <v>855</v>
      </c>
    </row>
    <row r="69" ht="13.5" spans="1:15">
      <c r="A69" s="2623" t="s">
        <v>738</v>
      </c>
      <c r="B69" s="516" t="s">
        <v>739</v>
      </c>
      <c r="C69" s="2626">
        <f ca="1">C65-C68</f>
        <v>0</v>
      </c>
      <c r="D69" s="410" t="s">
        <v>121</v>
      </c>
      <c r="E69" s="2621"/>
      <c r="F69" s="2552"/>
      <c r="G69" s="2552"/>
      <c r="H69" s="2560"/>
      <c r="I69" s="2082"/>
      <c r="J69" s="2566"/>
      <c r="K69" s="2684"/>
      <c r="L69" s="2684" t="s">
        <v>856</v>
      </c>
      <c r="M69" s="2684"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0"/>
    </row>
    <row r="70" ht="14.25" spans="1:15">
      <c r="A70" s="2627" t="s">
        <v>741</v>
      </c>
      <c r="B70" s="537" t="s">
        <v>742</v>
      </c>
      <c r="C70" s="2628">
        <f ca="1">IF(C69&lt;=0,0,ROUND(C69*D70,0))</f>
        <v>0</v>
      </c>
      <c r="D70" s="631">
        <f>'数据-取费表'!E29</f>
        <v>0.056</v>
      </c>
      <c r="E70" s="2629"/>
      <c r="F70" s="2552"/>
      <c r="G70" s="2552"/>
      <c r="H70" s="2560"/>
      <c r="I70" s="2082"/>
      <c r="J70" s="2566"/>
      <c r="K70" s="2684"/>
      <c r="L70" s="2684" t="s">
        <v>857</v>
      </c>
      <c r="M70" s="2684" t="e">
        <f ca="1">IF(N51&gt;10000,N51*0.5%,IF(AND(N51&gt;5000,N51&lt;=10000),N51*1%,IF(AND(N51&gt;1000,N51&lt;=5000),N51*2%,IF(AND(N51&gt;200,N51&lt;=1000),N51*3%,N51*5%))))</f>
        <v>#VALUE!</v>
      </c>
      <c r="N70" s="1930" t="e">
        <f ca="1">ROUND(M70,1)</f>
        <v>#VALUE!</v>
      </c>
      <c r="O70" s="2730"/>
    </row>
    <row r="71" s="2425" customFormat="1" ht="7.5" customHeight="1" spans="1:36">
      <c r="A71" s="2630"/>
      <c r="B71" s="507"/>
      <c r="C71" s="2631"/>
      <c r="D71" s="558"/>
      <c r="E71" s="2513"/>
      <c r="F71" s="2559"/>
      <c r="G71" s="2559"/>
      <c r="H71" s="2513"/>
      <c r="I71" s="2442"/>
      <c r="J71" s="2566"/>
      <c r="K71" s="2684"/>
      <c r="L71" s="2684" t="s">
        <v>858</v>
      </c>
      <c r="M71" s="2684"/>
      <c r="N71" s="1930" t="e">
        <f ca="1">ROUND(SUM(N65:N70),0)</f>
        <v>#VALUE!</v>
      </c>
      <c r="O71" s="2731" t="e">
        <f ca="1">N71/N51</f>
        <v>#VALUE!</v>
      </c>
      <c r="P71" s="1712"/>
      <c r="Q71" s="1712"/>
      <c r="R71" s="1712"/>
      <c r="S71" s="1712"/>
      <c r="T71" s="1712"/>
      <c r="U71" s="1712"/>
      <c r="V71" s="1712"/>
      <c r="W71" s="1712"/>
      <c r="X71" s="1712"/>
      <c r="Y71" s="1712"/>
      <c r="Z71" s="1712"/>
      <c r="AA71" s="1712"/>
      <c r="AB71" s="2427"/>
      <c r="AC71" s="2427"/>
      <c r="AD71" s="2427"/>
      <c r="AE71" s="2427"/>
      <c r="AF71" s="2427"/>
      <c r="AG71" s="2427"/>
      <c r="AH71" s="2427"/>
      <c r="AI71" s="2427"/>
      <c r="AJ71" s="2427"/>
    </row>
    <row r="72" s="2426" customFormat="1" ht="15" spans="1:36">
      <c r="A72" s="2632" t="s">
        <v>744</v>
      </c>
      <c r="B72" s="507"/>
      <c r="C72" s="507"/>
      <c r="D72" s="507"/>
      <c r="E72" s="507"/>
      <c r="F72" s="507"/>
      <c r="G72" s="507"/>
      <c r="H72" s="507"/>
      <c r="I72" s="2732"/>
      <c r="J72" s="2733"/>
      <c r="K72" s="367"/>
      <c r="L72" s="367"/>
      <c r="M72" s="367"/>
      <c r="N72" s="367"/>
      <c r="O72" s="367"/>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459" t="s">
        <v>721</v>
      </c>
      <c r="B73" s="425"/>
      <c r="C73" s="425"/>
      <c r="D73" s="425" t="s">
        <v>722</v>
      </c>
      <c r="E73" s="2633" t="s">
        <v>673</v>
      </c>
      <c r="F73" s="2634"/>
      <c r="G73" s="2634"/>
      <c r="H73" s="2635"/>
      <c r="I73" s="2734"/>
      <c r="J73" s="2735"/>
      <c r="K73" s="367"/>
      <c r="L73" s="367"/>
      <c r="M73" s="367"/>
      <c r="N73" s="367"/>
      <c r="O73" s="367"/>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14.25" spans="1:36">
      <c r="A74" s="2636">
        <v>1</v>
      </c>
      <c r="B74" s="516" t="s">
        <v>745</v>
      </c>
      <c r="C74" s="2626">
        <f ca="1">ROUND(D47/(1+'数据-取费表'!F30),0)</f>
        <v>0</v>
      </c>
      <c r="D74" s="410" t="s">
        <v>121</v>
      </c>
      <c r="E74" s="1963"/>
      <c r="F74" s="1964"/>
      <c r="G74" s="1964"/>
      <c r="H74" s="2637"/>
      <c r="I74" s="2734"/>
      <c r="J74" s="2735"/>
      <c r="K74" s="367"/>
      <c r="L74" s="367"/>
      <c r="M74" s="367"/>
      <c r="N74" s="367"/>
      <c r="O74" s="367"/>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38">
        <v>2</v>
      </c>
      <c r="B75" s="2148" t="s">
        <v>747</v>
      </c>
      <c r="C75" s="2626">
        <f ca="1">C76+C80</f>
        <v>0</v>
      </c>
      <c r="D75" s="410" t="s">
        <v>121</v>
      </c>
      <c r="E75" s="1963"/>
      <c r="F75" s="1964"/>
      <c r="G75" s="1964"/>
      <c r="H75" s="2637"/>
      <c r="I75" s="2734"/>
      <c r="J75" s="2735"/>
      <c r="K75" s="367"/>
      <c r="L75" s="367"/>
      <c r="M75" s="367"/>
      <c r="N75" s="367"/>
      <c r="O75" s="367"/>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14.25" spans="1:36">
      <c r="A76" s="2619" t="s">
        <v>748</v>
      </c>
      <c r="B76" s="410" t="s">
        <v>749</v>
      </c>
      <c r="C76" s="410">
        <f>ROUND(IF(G79="2016年5月1日后购买",C77/(1+'数据-取费表'!F30)+C78+C79,C77+C78+C79),0)</f>
        <v>0</v>
      </c>
      <c r="D76" s="410" t="s">
        <v>121</v>
      </c>
      <c r="E76" s="1963"/>
      <c r="F76" s="1964"/>
      <c r="G76" s="1964"/>
      <c r="H76" s="2637"/>
      <c r="I76" s="2734"/>
      <c r="J76" s="2735"/>
      <c r="K76" s="367"/>
      <c r="L76" s="367"/>
      <c r="M76" s="367"/>
      <c r="N76" s="367"/>
      <c r="O76" s="367"/>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14.25" spans="1:36">
      <c r="A77" s="2619" t="s">
        <v>750</v>
      </c>
      <c r="B77" s="410" t="s">
        <v>751</v>
      </c>
      <c r="C77" s="540"/>
      <c r="D77" s="410" t="s">
        <v>121</v>
      </c>
      <c r="E77" s="2639" t="s">
        <v>752</v>
      </c>
      <c r="F77" s="2640" t="s">
        <v>753</v>
      </c>
      <c r="G77" s="2639" t="s">
        <v>754</v>
      </c>
      <c r="H77" s="2641"/>
      <c r="I77" s="544"/>
      <c r="J77" s="2736"/>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755</v>
      </c>
      <c r="B78" s="432" t="s">
        <v>756</v>
      </c>
      <c r="C78" s="410">
        <f>IF(F77="购房发票",ROUND(C77*H77*D78,0),0)</f>
        <v>0</v>
      </c>
      <c r="D78" s="2642">
        <v>0.05</v>
      </c>
      <c r="E78" s="1963" t="s">
        <v>757</v>
      </c>
      <c r="F78" s="1964"/>
      <c r="G78" s="1964"/>
      <c r="H78" s="2643"/>
      <c r="I78" s="2734"/>
      <c r="J78" s="2735"/>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24.75" customHeight="1" spans="1:36">
      <c r="A79" s="2619" t="s">
        <v>758</v>
      </c>
      <c r="B79" s="410" t="s">
        <v>759</v>
      </c>
      <c r="C79" s="410">
        <f>ROUND(IF(G79="个人住宅",0,IF(G79="2016年5月1日前购买",C77*D79,C77*D79/(1+'数据-取费表'!F30))),0)</f>
        <v>0</v>
      </c>
      <c r="D79" s="2644">
        <f>'数据-取费表'!E36+'数据-取费表'!E37</f>
        <v>0.0305</v>
      </c>
      <c r="E79" s="2044" t="s">
        <v>760</v>
      </c>
      <c r="F79" s="1289"/>
      <c r="G79" s="2645" t="s">
        <v>761</v>
      </c>
      <c r="H79" s="2643" t="str">
        <f>IF(G79="个人买卖住房","免征印花税"," ")</f>
        <v> </v>
      </c>
      <c r="I79" s="2734"/>
      <c r="J79" s="2735"/>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75" customHeight="1" spans="1:36">
      <c r="A80" s="2619" t="s">
        <v>762</v>
      </c>
      <c r="B80" s="410" t="s">
        <v>763</v>
      </c>
      <c r="C80" s="2646">
        <f ca="1">ROUND(D47*D80/(1+'数据-取费表'!F30),0)</f>
        <v>0</v>
      </c>
      <c r="D80" s="2647">
        <f>'数据-取费表'!E31</f>
        <v>0.006</v>
      </c>
      <c r="E80" s="2648" t="s">
        <v>764</v>
      </c>
      <c r="F80" s="2649"/>
      <c r="G80" s="2649"/>
      <c r="H80" s="2650"/>
      <c r="I80" s="2655"/>
      <c r="J80" s="2737"/>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14.25" spans="1:36">
      <c r="A81" s="2623" t="s">
        <v>738</v>
      </c>
      <c r="B81" s="516" t="s">
        <v>765</v>
      </c>
      <c r="C81" s="2626">
        <f ca="1">C74-C75</f>
        <v>0</v>
      </c>
      <c r="D81" s="410" t="s">
        <v>121</v>
      </c>
      <c r="E81" s="1963"/>
      <c r="F81" s="1964"/>
      <c r="G81" s="1964"/>
      <c r="H81" s="2637"/>
      <c r="I81" s="2734"/>
      <c r="J81" s="2735"/>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14.25" spans="1:36">
      <c r="A82" s="2623" t="s">
        <v>741</v>
      </c>
      <c r="B82" s="516" t="s">
        <v>766</v>
      </c>
      <c r="C82" s="2651">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7"/>
      <c r="I82" s="2734"/>
      <c r="J82" s="2735"/>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627" t="s">
        <v>767</v>
      </c>
      <c r="B83" s="537" t="s">
        <v>768</v>
      </c>
      <c r="C83" s="2652">
        <f ca="1">ROUND(IF(C81&lt;=0,0,IF(C82&gt;=200%,C81*60%-C75*35%,IF(C82&gt;=100%,C81*50%-C75*15%,IF(C82&gt;=50%,C81*40%-C75*5%,IF(C82&lt;50%,C81*30%,0))))),0)</f>
        <v>0</v>
      </c>
      <c r="D83" s="456"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734"/>
      <c r="J83" s="2735"/>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7.5" customHeight="1" spans="1:36">
      <c r="A84" s="544"/>
      <c r="B84" s="544"/>
      <c r="C84" s="544"/>
      <c r="D84" s="544"/>
      <c r="E84" s="544"/>
      <c r="F84" s="544"/>
      <c r="G84" s="544"/>
      <c r="H84" s="2655"/>
      <c r="I84" s="2655"/>
      <c r="J84" s="2737"/>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15" spans="1:36">
      <c r="A85" s="2632" t="s">
        <v>769</v>
      </c>
      <c r="B85" s="507"/>
      <c r="C85" s="507"/>
      <c r="D85" s="507"/>
      <c r="E85" s="507"/>
      <c r="F85" s="507"/>
      <c r="G85" s="507"/>
      <c r="H85" s="507"/>
      <c r="I85" s="544"/>
      <c r="J85" s="2736"/>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459" t="s">
        <v>721</v>
      </c>
      <c r="B86" s="425"/>
      <c r="C86" s="425"/>
      <c r="D86" s="425" t="s">
        <v>722</v>
      </c>
      <c r="E86" s="2633" t="s">
        <v>673</v>
      </c>
      <c r="F86" s="2634"/>
      <c r="G86" s="2634"/>
      <c r="H86" s="2656"/>
      <c r="I86" s="544"/>
      <c r="J86" s="2736"/>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36">
        <v>1</v>
      </c>
      <c r="B87" s="516" t="s">
        <v>745</v>
      </c>
      <c r="C87" s="2626">
        <f ca="1">ROUND(D47/(1+'数据-取费表'!F30),0)</f>
        <v>0</v>
      </c>
      <c r="D87" s="410" t="s">
        <v>121</v>
      </c>
      <c r="E87" s="1963"/>
      <c r="F87" s="1964"/>
      <c r="G87" s="1964"/>
      <c r="H87" s="2657"/>
      <c r="I87" s="544"/>
      <c r="J87" s="2736"/>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38">
        <v>2</v>
      </c>
      <c r="B88" s="2148" t="s">
        <v>747</v>
      </c>
      <c r="C88" s="2626">
        <f ca="1">IF(H90="仅含出让金",C89+C92+C93+C94+C95+C96,C89+C93+C94+C95+C96)</f>
        <v>0</v>
      </c>
      <c r="D88" s="2658"/>
      <c r="E88" s="1963"/>
      <c r="F88" s="1964"/>
      <c r="G88" s="1964"/>
      <c r="H88" s="2657"/>
      <c r="I88" s="544"/>
      <c r="J88" s="2736"/>
      <c r="K88" s="367"/>
      <c r="L88" s="367"/>
      <c r="M88" s="367"/>
      <c r="N88" s="367"/>
      <c r="O88" s="367"/>
      <c r="P88" s="367"/>
      <c r="Q88" s="367"/>
      <c r="R88" s="367"/>
      <c r="S88" s="367"/>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748</v>
      </c>
      <c r="B89" s="410" t="s">
        <v>770</v>
      </c>
      <c r="C89" s="2646">
        <f>C90+C91</f>
        <v>0</v>
      </c>
      <c r="D89" s="2647"/>
      <c r="E89" s="2648"/>
      <c r="F89" s="2649"/>
      <c r="G89" s="2649"/>
      <c r="H89" s="2650"/>
      <c r="I89" s="544"/>
      <c r="J89" s="2736"/>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14.25" spans="1:36">
      <c r="A90" s="2619" t="s">
        <v>750</v>
      </c>
      <c r="B90" s="410" t="s">
        <v>771</v>
      </c>
      <c r="C90" s="2659"/>
      <c r="D90" s="2647"/>
      <c r="E90" s="2591" t="s">
        <v>772</v>
      </c>
      <c r="F90" s="2649"/>
      <c r="G90" s="2660" t="s">
        <v>773</v>
      </c>
      <c r="H90" s="2661"/>
      <c r="I90" s="544"/>
      <c r="J90" s="2736"/>
      <c r="K90" s="2738" t="s">
        <v>774</v>
      </c>
      <c r="L90" s="2739"/>
      <c r="M90" s="2739"/>
      <c r="N90" s="2739"/>
      <c r="O90" s="2739"/>
      <c r="P90" s="2739"/>
      <c r="Q90" s="2739"/>
      <c r="R90" s="2739"/>
      <c r="S90" s="2739"/>
      <c r="T90" s="367"/>
      <c r="U90" s="367"/>
      <c r="V90" s="367"/>
      <c r="W90" s="367"/>
      <c r="X90" s="367"/>
      <c r="Y90" s="367"/>
      <c r="Z90" s="367"/>
      <c r="AA90" s="367"/>
      <c r="AB90" s="2739"/>
      <c r="AC90" s="2739"/>
      <c r="AD90" s="2739"/>
      <c r="AE90" s="2739"/>
      <c r="AF90" s="2739"/>
      <c r="AG90" s="2739"/>
      <c r="AH90" s="2739"/>
      <c r="AI90" s="2739"/>
      <c r="AJ90" s="2739"/>
    </row>
    <row r="91" s="2426" customFormat="1" ht="14.25" spans="1:36">
      <c r="A91" s="2619" t="s">
        <v>755</v>
      </c>
      <c r="B91" s="410" t="s">
        <v>759</v>
      </c>
      <c r="C91" s="2646">
        <f>ROUND(C90*D91,0)</f>
        <v>0</v>
      </c>
      <c r="D91" s="2647">
        <f>'数据-取费表'!E36+'数据-取费表'!E37</f>
        <v>0.0305</v>
      </c>
      <c r="E91" s="2591" t="s">
        <v>775</v>
      </c>
      <c r="F91" s="2649"/>
      <c r="G91" s="2649"/>
      <c r="H91" s="2650"/>
      <c r="I91" s="544"/>
      <c r="J91" s="2736"/>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14.25" spans="1:36">
      <c r="A92" s="2619" t="s">
        <v>762</v>
      </c>
      <c r="B92" s="410" t="s">
        <v>776</v>
      </c>
      <c r="C92" s="2659"/>
      <c r="D92" s="2647"/>
      <c r="E92" s="2591" t="str">
        <f>IF(H90="-","土地取得成本中已包含该笔费用"," ")</f>
        <v> </v>
      </c>
      <c r="F92" s="2649"/>
      <c r="G92" s="2662" t="s">
        <v>777</v>
      </c>
      <c r="H92" s="2663"/>
      <c r="I92" s="544"/>
      <c r="J92" s="2736"/>
      <c r="K92" s="2738" t="s">
        <v>778</v>
      </c>
      <c r="L92" s="2739"/>
      <c r="M92" s="2739"/>
      <c r="N92" s="2739"/>
      <c r="O92" s="2739"/>
      <c r="P92" s="2739"/>
      <c r="Q92" s="2739"/>
      <c r="R92" s="2739"/>
      <c r="S92" s="2739"/>
      <c r="T92" s="367"/>
      <c r="U92" s="367"/>
      <c r="V92" s="367"/>
      <c r="W92" s="367"/>
      <c r="X92" s="367"/>
      <c r="Y92" s="367"/>
      <c r="Z92" s="367"/>
      <c r="AA92" s="367"/>
      <c r="AB92" s="2739"/>
      <c r="AC92" s="2739"/>
      <c r="AD92" s="2739"/>
      <c r="AE92" s="2739"/>
      <c r="AF92" s="2739"/>
      <c r="AG92" s="2739"/>
      <c r="AH92" s="2739"/>
      <c r="AI92" s="2739"/>
      <c r="AJ92" s="2739"/>
    </row>
    <row r="93" s="2426" customFormat="1" ht="30.75" customHeight="1" spans="1:36">
      <c r="A93" s="2619" t="s">
        <v>779</v>
      </c>
      <c r="B93" s="410" t="s">
        <v>780</v>
      </c>
      <c r="C93" s="2646">
        <f>IF(H93="——",成本法!C33,I93)</f>
        <v>0</v>
      </c>
      <c r="D93" s="2647"/>
      <c r="E93" s="2648" t="s">
        <v>781</v>
      </c>
      <c r="F93" s="2649"/>
      <c r="G93" s="2649"/>
      <c r="H93" s="2664" t="s">
        <v>782</v>
      </c>
      <c r="I93" s="2740"/>
      <c r="J93" s="2741"/>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783</v>
      </c>
      <c r="B94" s="410" t="s">
        <v>784</v>
      </c>
      <c r="C94" s="2646">
        <f>ROUND((C89+C92+C93)*D94,0)</f>
        <v>0</v>
      </c>
      <c r="D94" s="2647">
        <v>0.1</v>
      </c>
      <c r="E94" s="2648" t="s">
        <v>785</v>
      </c>
      <c r="F94" s="2649"/>
      <c r="G94" s="2649"/>
      <c r="H94" s="2650"/>
      <c r="I94" s="544"/>
      <c r="J94" s="2736"/>
      <c r="K94" s="2742" t="s">
        <v>786</v>
      </c>
      <c r="L94" s="2739"/>
      <c r="M94" s="2739"/>
      <c r="N94" s="2739"/>
      <c r="O94" s="2739"/>
      <c r="P94" s="2739"/>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25.5" customHeight="1" spans="1:36">
      <c r="A95" s="2619" t="s">
        <v>787</v>
      </c>
      <c r="B95" s="410" t="s">
        <v>763</v>
      </c>
      <c r="C95" s="2646">
        <f ca="1">ROUND(D47*D95/(1+'数据-取费表'!F30),0)</f>
        <v>0</v>
      </c>
      <c r="D95" s="2647">
        <f>'数据-取费表'!E31</f>
        <v>0.006</v>
      </c>
      <c r="E95" s="2648" t="s">
        <v>764</v>
      </c>
      <c r="F95" s="2649"/>
      <c r="G95" s="2649"/>
      <c r="H95" s="2650"/>
      <c r="I95" s="544"/>
      <c r="J95" s="2736"/>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5.5" customHeight="1" spans="1:36">
      <c r="A96" s="2619" t="s">
        <v>788</v>
      </c>
      <c r="B96" s="410" t="s">
        <v>789</v>
      </c>
      <c r="C96" s="2646">
        <f>ROUND((C89+C92+C93)*D96,0)</f>
        <v>0</v>
      </c>
      <c r="D96" s="2647">
        <v>0.2</v>
      </c>
      <c r="E96" s="2648" t="s">
        <v>790</v>
      </c>
      <c r="F96" s="2649"/>
      <c r="G96" s="2649"/>
      <c r="H96" s="2650"/>
      <c r="I96" s="544"/>
      <c r="J96" s="2736"/>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14.25" spans="1:36">
      <c r="A97" s="2623" t="s">
        <v>738</v>
      </c>
      <c r="B97" s="516" t="s">
        <v>765</v>
      </c>
      <c r="C97" s="2626">
        <f ca="1">ROUND(C87-C88,0)</f>
        <v>0</v>
      </c>
      <c r="D97" s="410" t="s">
        <v>121</v>
      </c>
      <c r="E97" s="1963"/>
      <c r="F97" s="1964"/>
      <c r="G97" s="1964"/>
      <c r="H97" s="2657"/>
      <c r="I97" s="544"/>
      <c r="J97" s="2736"/>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s="2426" customFormat="1" ht="14.25" spans="1:36">
      <c r="A98" s="2623" t="s">
        <v>741</v>
      </c>
      <c r="B98" s="516" t="s">
        <v>766</v>
      </c>
      <c r="C98" s="2651">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7"/>
      <c r="I98" s="544"/>
      <c r="J98" s="2736"/>
      <c r="K98" s="367"/>
      <c r="L98" s="367"/>
      <c r="M98" s="367"/>
      <c r="N98" s="367"/>
      <c r="O98" s="367"/>
      <c r="P98" s="367"/>
      <c r="Q98" s="367"/>
      <c r="R98" s="367"/>
      <c r="S98" s="367"/>
      <c r="T98" s="367"/>
      <c r="U98" s="367"/>
      <c r="V98" s="367"/>
      <c r="W98" s="367"/>
      <c r="X98" s="367"/>
      <c r="Y98" s="367"/>
      <c r="Z98" s="367"/>
      <c r="AA98" s="367"/>
      <c r="AB98" s="2739"/>
      <c r="AC98" s="2739"/>
      <c r="AD98" s="2739"/>
      <c r="AE98" s="2739"/>
      <c r="AF98" s="2739"/>
      <c r="AG98" s="2739"/>
      <c r="AH98" s="2739"/>
      <c r="AI98" s="2739"/>
      <c r="AJ98" s="2739"/>
    </row>
    <row r="99" s="2426" customFormat="1" ht="15" spans="1:36">
      <c r="A99" s="2665" t="s">
        <v>767</v>
      </c>
      <c r="B99" s="537" t="s">
        <v>768</v>
      </c>
      <c r="C99" s="2666">
        <f ca="1">ROUND(IF(C97&lt;=0,0,IF(C98&gt;=200%,C97*60%-C88*35%,IF(C98&gt;=100%,C97*50%-C88*15%,IF(C98&gt;=50%,C97*40%-C88*5%,IF(C98&lt;50%,C97*30%,0))))),0)</f>
        <v>0</v>
      </c>
      <c r="D99" s="2667"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8"/>
      <c r="I99" s="2743"/>
      <c r="J99" s="2744"/>
      <c r="K99" s="367"/>
      <c r="L99" s="367"/>
      <c r="M99" s="367"/>
      <c r="N99" s="367"/>
      <c r="O99" s="367"/>
      <c r="P99" s="367"/>
      <c r="Q99" s="367"/>
      <c r="R99" s="367"/>
      <c r="S99" s="367"/>
      <c r="T99" s="367"/>
      <c r="U99" s="367"/>
      <c r="V99" s="367"/>
      <c r="W99" s="367"/>
      <c r="X99" s="367"/>
      <c r="Y99" s="367"/>
      <c r="Z99" s="367"/>
      <c r="AA99" s="367"/>
      <c r="AB99" s="2739"/>
      <c r="AC99" s="2739"/>
      <c r="AD99" s="2739"/>
      <c r="AE99" s="2739"/>
      <c r="AF99" s="2739"/>
      <c r="AG99" s="2739"/>
      <c r="AH99" s="2739"/>
      <c r="AI99" s="2739"/>
      <c r="AJ99" s="2739"/>
    </row>
    <row r="100" customHeight="1" spans="1:9">
      <c r="A100" s="2515" t="s">
        <v>791</v>
      </c>
      <c r="B100" s="2431"/>
      <c r="C100" s="2431"/>
      <c r="D100" s="2431"/>
      <c r="E100" s="2669"/>
      <c r="F100" s="2669"/>
      <c r="G100" s="2669"/>
      <c r="H100" s="2670"/>
      <c r="I100" s="2431"/>
    </row>
    <row r="101" ht="15" spans="1:10">
      <c r="A101" s="2671" t="s">
        <v>792</v>
      </c>
      <c r="B101" s="2672"/>
      <c r="C101" s="2672"/>
      <c r="D101" s="2673"/>
      <c r="E101" s="2431"/>
      <c r="F101" s="2674" t="s">
        <v>859</v>
      </c>
      <c r="G101" s="2675"/>
      <c r="H101" s="2675"/>
      <c r="I101" s="2745"/>
      <c r="J101" s="2746"/>
    </row>
    <row r="102" ht="15" spans="1:10">
      <c r="A102" s="2676" t="s">
        <v>794</v>
      </c>
      <c r="B102" s="2677"/>
      <c r="C102" s="2678">
        <f>C4</f>
        <v>0</v>
      </c>
      <c r="D102" s="2679">
        <f>D4</f>
        <v>0</v>
      </c>
      <c r="E102" s="2431"/>
      <c r="F102" s="2680" t="s">
        <v>795</v>
      </c>
      <c r="G102" s="2681"/>
      <c r="H102" s="2682" t="s">
        <v>796</v>
      </c>
      <c r="I102" s="2747"/>
      <c r="J102" s="2748"/>
    </row>
    <row r="103" ht="13.5" spans="1:10">
      <c r="A103" s="2683" t="s">
        <v>860</v>
      </c>
      <c r="B103" s="518" t="str">
        <f>IF(H19="元","总价（元）","总价（万元）")</f>
        <v>总价（元）</v>
      </c>
      <c r="C103" s="2684" t="e">
        <f ca="1">C19</f>
        <v>#REF!</v>
      </c>
      <c r="D103" s="2685" t="e">
        <f ca="1">D19</f>
        <v>#REF!</v>
      </c>
      <c r="E103" s="2431"/>
      <c r="F103" s="2686"/>
      <c r="G103" s="2687"/>
      <c r="H103" s="2688">
        <f>典型户型修正!B25</f>
        <v>0</v>
      </c>
      <c r="I103" s="2747"/>
      <c r="J103" s="2748"/>
    </row>
    <row r="104" ht="13.5" spans="1:10">
      <c r="A104" s="2683"/>
      <c r="B104" s="518" t="s">
        <v>798</v>
      </c>
      <c r="C104" s="2689" t="e">
        <f ca="1">C20</f>
        <v>#REF!</v>
      </c>
      <c r="D104" s="2690" t="e">
        <f ca="1">D20</f>
        <v>#REF!</v>
      </c>
      <c r="E104" s="2431"/>
      <c r="F104" s="2638" t="s">
        <v>799</v>
      </c>
      <c r="G104" s="2148"/>
      <c r="H104" s="2691" t="str">
        <f>C110</f>
        <v>总价（元）</v>
      </c>
      <c r="I104" s="2708">
        <f ca="1">H125</f>
        <v>0</v>
      </c>
      <c r="J104" s="2748"/>
    </row>
    <row r="105" ht="13.5" spans="1:10">
      <c r="A105" s="2683" t="s">
        <v>861</v>
      </c>
      <c r="B105" s="519" t="str">
        <f>B103</f>
        <v>总价（元）</v>
      </c>
      <c r="C105" s="2044" t="e">
        <f ca="1">ROUND(IF('数据-取费表'!B4="总价",G19,IF(H19="元",G20*'数据-取费表'!E5,G20*'数据-取费表'!E5/10000)),0)</f>
        <v>#REF!</v>
      </c>
      <c r="D105" s="2692"/>
      <c r="E105" s="2431"/>
      <c r="F105" s="2638"/>
      <c r="G105" s="2148"/>
      <c r="H105" s="2691" t="s">
        <v>798</v>
      </c>
      <c r="I105" s="2621" t="e">
        <f ca="1">I125</f>
        <v>#DIV/0!</v>
      </c>
      <c r="J105" s="2565"/>
    </row>
    <row r="106" ht="13.5" spans="1:10">
      <c r="A106" s="2683"/>
      <c r="B106" s="518" t="s">
        <v>798</v>
      </c>
      <c r="C106" s="2513" t="e">
        <f ca="1">ROUND(IF('数据-取费表'!B4="楼面单价",G20,IF(H19="元",G19/'数据-取费表'!E5,G19*10000/'数据-取费表'!E5)),0)</f>
        <v>#REF!</v>
      </c>
      <c r="D106" s="2692"/>
      <c r="E106" s="2431"/>
      <c r="F106" s="2638"/>
      <c r="G106" s="2148"/>
      <c r="H106" s="2691"/>
      <c r="I106" s="2749"/>
      <c r="J106" s="2750"/>
    </row>
    <row r="107" ht="13.5" spans="1:10">
      <c r="A107" s="2693" t="s">
        <v>862</v>
      </c>
      <c r="B107" s="2694" t="str">
        <f>B103</f>
        <v>总价（元）</v>
      </c>
      <c r="C107" s="2695">
        <f ca="1">H125</f>
        <v>0</v>
      </c>
      <c r="D107" s="2696"/>
      <c r="E107" s="2431"/>
      <c r="F107" s="2697" t="s">
        <v>802</v>
      </c>
      <c r="G107" s="2698"/>
      <c r="H107" s="2699" t="str">
        <f>C112</f>
        <v>总额（元）</v>
      </c>
      <c r="I107" s="2708">
        <f>SUMIF(I108:I110,"&lt;9E307")</f>
        <v>0</v>
      </c>
      <c r="J107" s="2748"/>
    </row>
    <row r="108" ht="15" spans="1:17">
      <c r="A108" s="567"/>
      <c r="B108" s="2700" t="s">
        <v>798</v>
      </c>
      <c r="C108" s="2701" t="e">
        <f ca="1">I125</f>
        <v>#DIV/0!</v>
      </c>
      <c r="D108" s="2702"/>
      <c r="E108" s="2431"/>
      <c r="F108" s="2703" t="s">
        <v>803</v>
      </c>
      <c r="G108" s="2704"/>
      <c r="H108" s="2699" t="str">
        <f>C113</f>
        <v>总额（元）</v>
      </c>
      <c r="I108" s="2751">
        <f>IF(D38="同一抵押权人同一抵押物续贷",C38&amp;"（续贷，未扣减，详见特别提示）",C38)</f>
        <v>0</v>
      </c>
      <c r="J108" s="2565"/>
      <c r="L108" s="2752" t="str">
        <f>IF(D125=0,"本次评估不存在"&amp;A125&amp;"。","本次评估"&amp;A125&amp;"为"&amp;D125&amp;"元人民币。")</f>
        <v>本次评估不存在北京市房地产。</v>
      </c>
      <c r="M108" s="2431"/>
      <c r="N108" s="2431"/>
      <c r="O108" s="2431"/>
      <c r="P108" s="2431"/>
      <c r="Q108" s="2431"/>
    </row>
    <row r="109" ht="15" spans="1:10">
      <c r="A109" s="2705" t="s">
        <v>801</v>
      </c>
      <c r="B109" s="2706"/>
      <c r="C109" s="2706"/>
      <c r="D109" s="2707"/>
      <c r="E109" s="2431"/>
      <c r="F109" s="2703" t="s">
        <v>804</v>
      </c>
      <c r="G109" s="2704"/>
      <c r="H109" s="2699" t="str">
        <f>C114</f>
        <v>总额（元）</v>
      </c>
      <c r="I109" s="2621">
        <f>C39</f>
        <v>0</v>
      </c>
      <c r="J109" s="2565"/>
    </row>
    <row r="110" ht="13.5" spans="1:10">
      <c r="A110" s="2638" t="s">
        <v>863</v>
      </c>
      <c r="B110" s="2148"/>
      <c r="C110" s="2691" t="str">
        <f>B103</f>
        <v>总价（元）</v>
      </c>
      <c r="D110" s="2708">
        <f ca="1">H125</f>
        <v>0</v>
      </c>
      <c r="E110" s="2431"/>
      <c r="F110" s="2703" t="s">
        <v>805</v>
      </c>
      <c r="G110" s="2704"/>
      <c r="H110" s="2699" t="str">
        <f>C115</f>
        <v>总额（元）</v>
      </c>
      <c r="I110" s="2621">
        <f>C40</f>
        <v>0</v>
      </c>
      <c r="J110" s="2565"/>
    </row>
    <row r="111" ht="13.5" spans="1:10">
      <c r="A111" s="2638"/>
      <c r="B111" s="2148"/>
      <c r="C111" s="2691" t="s">
        <v>798</v>
      </c>
      <c r="D111" s="2621" t="e">
        <f ca="1">I125</f>
        <v>#DIV/0!</v>
      </c>
      <c r="E111" s="2431"/>
      <c r="F111" s="2638"/>
      <c r="G111" s="2148"/>
      <c r="H111" s="552"/>
      <c r="I111" s="2753"/>
      <c r="J111" s="2754"/>
    </row>
    <row r="112" ht="28.5" customHeight="1" spans="1:10">
      <c r="A112" s="2709" t="s">
        <v>802</v>
      </c>
      <c r="B112" s="2710"/>
      <c r="C112" s="2699" t="str">
        <f>IF(H19="元","总额（元）","总额（万元）")</f>
        <v>总额（元）</v>
      </c>
      <c r="D112" s="2708">
        <f>IF(D38="正常操作",I108+I109+I110,I109+I110)</f>
        <v>0</v>
      </c>
      <c r="E112" s="2431"/>
      <c r="F112" s="2711" t="str">
        <f>IF(项目基本情况!F5="已注销","——","3.房地产抵押价值")</f>
        <v>3.房地产抵押价值</v>
      </c>
      <c r="G112" s="2520"/>
      <c r="H112" s="2513" t="str">
        <f>C116</f>
        <v>总价（元）</v>
      </c>
      <c r="I112" s="2708">
        <f ca="1">IF(F112="——","——",I104-I107)</f>
        <v>0</v>
      </c>
      <c r="J112" s="2748"/>
    </row>
    <row r="113" ht="13.5" spans="1:10">
      <c r="A113" s="2703" t="s">
        <v>803</v>
      </c>
      <c r="B113" s="2704"/>
      <c r="C113" s="2699" t="str">
        <f>C112</f>
        <v>总额（元）</v>
      </c>
      <c r="D113" s="2621">
        <f>IF(D38="同一抵押权人同一抵押物续贷",C38&amp;"（未扣减，详见特别提示）",C38)</f>
        <v>0</v>
      </c>
      <c r="E113" s="2431"/>
      <c r="F113" s="2712"/>
      <c r="G113" s="2529"/>
      <c r="H113" s="2691" t="s">
        <v>798</v>
      </c>
      <c r="I113" s="2755" t="e">
        <f ca="1">D117</f>
        <v>#DIV/0!</v>
      </c>
      <c r="J113" s="2756"/>
    </row>
    <row r="114" ht="13.5" spans="1:10">
      <c r="A114" s="2703" t="s">
        <v>804</v>
      </c>
      <c r="B114" s="2704"/>
      <c r="C114" s="2699" t="str">
        <f>C112</f>
        <v>总额（元）</v>
      </c>
      <c r="D114" s="2621">
        <f>C39</f>
        <v>0</v>
      </c>
      <c r="E114" s="2431"/>
      <c r="F114" s="2711" t="str">
        <f>IF(项目基本情况!F5="已注销及未注销","4.抵押担保权已注销时的房地产抵押价值",IF(项目基本情况!F5="已注销","3.抵押担保权已注销时的房地产抵押价值","——"))</f>
        <v>——</v>
      </c>
      <c r="G114" s="2520"/>
      <c r="H114" s="2513" t="str">
        <f>C118</f>
        <v>总价（元）</v>
      </c>
      <c r="I114" s="2708" t="str">
        <f ca="1">IF(F114="——","——",I104-I109-I110)</f>
        <v>——</v>
      </c>
      <c r="J114" s="2748"/>
    </row>
    <row r="115" ht="13.5" spans="1:10">
      <c r="A115" s="2703" t="s">
        <v>805</v>
      </c>
      <c r="B115" s="2704"/>
      <c r="C115" s="2699" t="str">
        <f>C112</f>
        <v>总额（元）</v>
      </c>
      <c r="D115" s="2621">
        <f>C40</f>
        <v>0</v>
      </c>
      <c r="E115" s="2431"/>
      <c r="F115" s="2712"/>
      <c r="G115" s="2529"/>
      <c r="H115" s="2691" t="s">
        <v>798</v>
      </c>
      <c r="I115" s="2621" t="str">
        <f ca="1">D119</f>
        <v>——</v>
      </c>
      <c r="J115" s="2565"/>
    </row>
    <row r="116" ht="13.5" spans="1:10">
      <c r="A116" s="2638" t="str">
        <f>IF(项目基本情况!F5="已注销","——","3.房地产抵押价值")</f>
        <v>3.房地产抵押价值</v>
      </c>
      <c r="B116" s="2148"/>
      <c r="C116" s="2691" t="str">
        <f>B103</f>
        <v>总价（元）</v>
      </c>
      <c r="D116" s="2708">
        <f ca="1">IF(A116="——","——",D110-D112)</f>
        <v>0</v>
      </c>
      <c r="E116" s="2431"/>
      <c r="F116" s="2711" t="str">
        <f>IF(项目基本情况!G5="抵押净值",IF(OR(项目基本情况!F5="已注销",项目基本情况!F5="房地产抵押价值"),"4.抵押净值","5.抵押净值"),"——")</f>
        <v>——</v>
      </c>
      <c r="G116" s="2520"/>
      <c r="H116" s="2691" t="str">
        <f>C120</f>
        <v>总价（元）</v>
      </c>
      <c r="I116" s="2708" t="str">
        <f ca="1">IF(F116="——","——",O61)</f>
        <v>——</v>
      </c>
      <c r="J116" s="2748"/>
    </row>
    <row r="117" ht="14.25" spans="1:10">
      <c r="A117" s="2638"/>
      <c r="B117" s="2148"/>
      <c r="C117" s="2691" t="s">
        <v>798</v>
      </c>
      <c r="D117" s="2621" t="e">
        <f ca="1">ROUND(IF(D116=D110,D111,IF(H19="元",D116/B125,D116*10000/B125)),0)</f>
        <v>#DIV/0!</v>
      </c>
      <c r="E117" s="2431"/>
      <c r="F117" s="2713"/>
      <c r="G117" s="2714"/>
      <c r="H117" s="2715" t="s">
        <v>798</v>
      </c>
      <c r="I117" s="2719" t="str">
        <f ca="1">D121</f>
        <v>——</v>
      </c>
      <c r="J117" s="2565"/>
    </row>
    <row r="118" ht="15.75" spans="1:16">
      <c r="A118" s="2638" t="str">
        <f>IF(项目基本情况!F5="已注销及未注销","4.抵押担保权已注销时的房地产抵押价值",IF(项目基本情况!F5="已注销","3.抵押担保权已注销时的房地产抵押价值","——"))</f>
        <v>——</v>
      </c>
      <c r="B118" s="2148"/>
      <c r="C118" s="2691" t="str">
        <f>B103</f>
        <v>总价（元）</v>
      </c>
      <c r="D118" s="2708" t="str">
        <f ca="1">IF(A118="——","——",D110-D114-D115)</f>
        <v>——</v>
      </c>
      <c r="E118" s="2431"/>
      <c r="F118" s="2716"/>
      <c r="G118" s="2716"/>
      <c r="H118" s="2717"/>
      <c r="I118" s="2717"/>
      <c r="J118" s="2757"/>
      <c r="O118" s="1709"/>
      <c r="P118" s="1709"/>
    </row>
    <row r="119" s="2427" customFormat="1" ht="12.75" spans="1:27">
      <c r="A119" s="2638"/>
      <c r="B119" s="2148"/>
      <c r="C119" s="2691" t="s">
        <v>798</v>
      </c>
      <c r="D119" s="2621" t="str">
        <f ca="1">IF(A118="——","——",IF(H19="元",ROUND(D118/B125,0),ROUND(D118*10000/B125,0)))</f>
        <v>——</v>
      </c>
      <c r="E119" s="243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8"/>
      <c r="K119" s="1712"/>
      <c r="L119" s="1712"/>
      <c r="M119" s="1712"/>
      <c r="N119" s="1712"/>
      <c r="O119" s="1709"/>
      <c r="P119" s="1709"/>
      <c r="Q119" s="1712"/>
      <c r="R119" s="1712"/>
      <c r="S119" s="1712"/>
      <c r="T119" s="1712"/>
      <c r="U119" s="1712"/>
      <c r="V119" s="1712"/>
      <c r="W119" s="1712"/>
      <c r="X119" s="1712"/>
      <c r="Y119" s="1712"/>
      <c r="Z119" s="1712"/>
      <c r="AA119" s="1712"/>
    </row>
    <row r="120" s="2427" customFormat="1" ht="12.75" spans="1:27">
      <c r="A120" s="2638" t="str">
        <f>IF(项目基本情况!G5="抵押净值",IF(OR(项目基本情况!F5="已注销",项目基本情况!F5="房地产抵押价值"),"4.抵押净值","5.抵押净值"),"——")</f>
        <v>——</v>
      </c>
      <c r="B120" s="2148"/>
      <c r="C120" s="2691" t="str">
        <f>B103</f>
        <v>总价（元）</v>
      </c>
      <c r="D120" s="2708" t="str">
        <f ca="1">IF(A120="——","——",O61)</f>
        <v>——</v>
      </c>
      <c r="E120" s="2431"/>
      <c r="F120" s="699"/>
      <c r="G120" s="699"/>
      <c r="H120" s="699"/>
      <c r="I120" s="699"/>
      <c r="J120" s="2758"/>
      <c r="K120" s="1712"/>
      <c r="L120" s="1712"/>
      <c r="M120" s="1712"/>
      <c r="N120" s="1712"/>
      <c r="O120" s="1709"/>
      <c r="P120" s="1709"/>
      <c r="Q120" s="1712"/>
      <c r="R120" s="1712"/>
      <c r="S120" s="1712"/>
      <c r="T120" s="1712"/>
      <c r="U120" s="1712"/>
      <c r="V120" s="1712"/>
      <c r="W120" s="1712"/>
      <c r="X120" s="1712"/>
      <c r="Y120" s="1712"/>
      <c r="Z120" s="1712"/>
      <c r="AA120" s="1712"/>
    </row>
    <row r="121" s="2427" customFormat="1" ht="13.5" spans="1:27">
      <c r="A121" s="2718"/>
      <c r="B121" s="2652"/>
      <c r="C121" s="2715" t="s">
        <v>798</v>
      </c>
      <c r="D121" s="2719" t="str">
        <f ca="1">IF(D120=D110,D111,IF(A120="——","——",O63))</f>
        <v>——</v>
      </c>
      <c r="E121" s="2431"/>
      <c r="F121" s="699"/>
      <c r="G121" s="699"/>
      <c r="H121" s="699"/>
      <c r="I121" s="699"/>
      <c r="J121" s="2758"/>
      <c r="K121" s="1712"/>
      <c r="L121" s="1712"/>
      <c r="M121" s="1712"/>
      <c r="N121" s="1712"/>
      <c r="O121" s="1709"/>
      <c r="P121" s="1709"/>
      <c r="Q121" s="1712"/>
      <c r="R121" s="1712"/>
      <c r="S121" s="1712"/>
      <c r="T121" s="1712"/>
      <c r="U121" s="1712"/>
      <c r="V121" s="1712"/>
      <c r="W121" s="1712"/>
      <c r="X121" s="1712"/>
      <c r="Y121" s="1712"/>
      <c r="Z121" s="1712"/>
      <c r="AA121" s="1712"/>
    </row>
    <row r="122" s="2427" customFormat="1" ht="15" spans="1:27">
      <c r="A122" s="2720" t="s">
        <v>806</v>
      </c>
      <c r="B122" s="2721"/>
      <c r="C122" s="2721"/>
      <c r="D122" s="2721"/>
      <c r="E122" s="2721"/>
      <c r="F122" s="2721"/>
      <c r="G122" s="2721"/>
      <c r="H122" s="2721"/>
      <c r="I122" s="2721"/>
      <c r="J122" s="2759"/>
      <c r="K122" s="1712"/>
      <c r="L122" s="1712"/>
      <c r="M122" s="1712"/>
      <c r="N122" s="1712"/>
      <c r="O122" s="1712"/>
      <c r="P122" s="1712"/>
      <c r="Q122" s="1712"/>
      <c r="R122" s="1712"/>
      <c r="S122" s="1712"/>
      <c r="T122" s="1712"/>
      <c r="U122" s="1712"/>
      <c r="V122" s="1712"/>
      <c r="W122" s="1712"/>
      <c r="X122" s="1712"/>
      <c r="Y122" s="1712"/>
      <c r="Z122" s="1712"/>
      <c r="AA122" s="1712"/>
    </row>
    <row r="123" s="2427" customFormat="1" ht="12.75" spans="1:27">
      <c r="A123" s="2545" t="s">
        <v>807</v>
      </c>
      <c r="B123" s="1991" t="s">
        <v>356</v>
      </c>
      <c r="C123" s="1991" t="s">
        <v>808</v>
      </c>
      <c r="D123" s="2722" t="s">
        <v>809</v>
      </c>
      <c r="E123" s="2723"/>
      <c r="F123" s="1985" t="s">
        <v>651</v>
      </c>
      <c r="G123" s="1985"/>
      <c r="H123" s="1985" t="s">
        <v>810</v>
      </c>
      <c r="I123" s="2621"/>
      <c r="J123" s="2565"/>
      <c r="K123" s="1712"/>
      <c r="L123" s="1712"/>
      <c r="M123" s="1712"/>
      <c r="N123" s="1712"/>
      <c r="O123" s="1712"/>
      <c r="P123" s="1712"/>
      <c r="Q123" s="1712"/>
      <c r="R123" s="1712"/>
      <c r="S123" s="1712"/>
      <c r="T123" s="1712"/>
      <c r="U123" s="1712"/>
      <c r="V123" s="1712"/>
      <c r="W123" s="1712"/>
      <c r="X123" s="1712"/>
      <c r="Y123" s="1712"/>
      <c r="Z123" s="1712"/>
      <c r="AA123" s="1712"/>
    </row>
    <row r="124" s="2427" customFormat="1" ht="12.75" spans="1:27">
      <c r="A124" s="2545"/>
      <c r="B124" s="447"/>
      <c r="C124" s="447"/>
      <c r="D124" s="1985" t="s">
        <v>811</v>
      </c>
      <c r="E124" s="1985" t="s">
        <v>812</v>
      </c>
      <c r="F124" s="1985" t="s">
        <v>811</v>
      </c>
      <c r="G124" s="1985" t="s">
        <v>812</v>
      </c>
      <c r="H124" s="1985" t="s">
        <v>811</v>
      </c>
      <c r="I124" s="2621" t="s">
        <v>812</v>
      </c>
      <c r="J124" s="2565"/>
      <c r="K124" s="1712"/>
      <c r="L124" s="1712"/>
      <c r="M124" s="1712"/>
      <c r="N124" s="1712"/>
      <c r="O124" s="1712"/>
      <c r="P124" s="1712"/>
      <c r="Q124" s="1712"/>
      <c r="R124" s="1712"/>
      <c r="S124" s="1712"/>
      <c r="T124" s="1712"/>
      <c r="U124" s="1712"/>
      <c r="V124" s="1712"/>
      <c r="W124" s="1712"/>
      <c r="X124" s="1712"/>
      <c r="Y124" s="1712"/>
      <c r="Z124" s="1712"/>
      <c r="AA124" s="1712"/>
    </row>
    <row r="125" s="2427" customFormat="1" ht="12.75" spans="1:27">
      <c r="A125" s="2545" t="str">
        <f>项目基本情况!I1</f>
        <v>北京市房地产</v>
      </c>
      <c r="B125" s="1985">
        <f>典型户型修正!B25</f>
        <v>0</v>
      </c>
      <c r="C125" s="2724"/>
      <c r="D125" s="1985">
        <f>C36</f>
        <v>0</v>
      </c>
      <c r="E125" s="1985" t="e">
        <f>ROUND(IF(H19="元",D125/B125,D125*10000/B125),0)</f>
        <v>#DIV/0!</v>
      </c>
      <c r="F125" s="1985">
        <f>C37</f>
        <v>0</v>
      </c>
      <c r="G125" s="1985" t="e">
        <f>ROUND(IF(H19="元",F125/B125,F125*10000/B125),0)</f>
        <v>#DIV/0!</v>
      </c>
      <c r="H125" s="1985">
        <f ca="1">C34</f>
        <v>0</v>
      </c>
      <c r="I125" s="2621" t="e">
        <f ca="1">C35</f>
        <v>#DIV/0!</v>
      </c>
      <c r="J125" s="2565"/>
      <c r="K125" s="1712"/>
      <c r="L125" s="1712"/>
      <c r="M125" s="1712"/>
      <c r="N125" s="1712"/>
      <c r="O125" s="1712"/>
      <c r="P125" s="1712"/>
      <c r="Q125" s="1712"/>
      <c r="R125" s="1712"/>
      <c r="S125" s="1712"/>
      <c r="T125" s="1712"/>
      <c r="U125" s="1712"/>
      <c r="V125" s="1712"/>
      <c r="W125" s="1712"/>
      <c r="X125" s="1712"/>
      <c r="Y125" s="1712"/>
      <c r="Z125" s="1712"/>
      <c r="AA125" s="1712"/>
    </row>
    <row r="126" s="2427" customFormat="1" ht="12.75" spans="1:27">
      <c r="A126" s="2545" t="s">
        <v>813</v>
      </c>
      <c r="B126" s="1985"/>
      <c r="C126" s="1985"/>
      <c r="D126" s="2725" t="str">
        <f>IF(H19="元",NUMBERSTRING(INT(D125),2)&amp;"元整",NUMBERSTRING(INT(D125*10000),2)&amp;"元整")</f>
        <v>零元整</v>
      </c>
      <c r="E126" s="2726"/>
      <c r="F126" s="2725" t="str">
        <f>IF(H19="元",NUMBERSTRING(INT(F125),2)&amp;"元整",NUMBERSTRING(INT(F125*10000),2)&amp;"元整")</f>
        <v>零元整</v>
      </c>
      <c r="G126" s="2726"/>
      <c r="H126" s="2725" t="str">
        <f ca="1">IF(H19="元",NUMBERSTRING(INT(H125),2)&amp;"元整",NUMBERSTRING(INT(H125*10000),2)&amp;"元整")</f>
        <v>零元整</v>
      </c>
      <c r="I126" s="2760"/>
      <c r="J126" s="2761"/>
      <c r="K126" s="1712"/>
      <c r="L126" s="1712"/>
      <c r="M126" s="1712"/>
      <c r="N126" s="1712"/>
      <c r="O126" s="1712"/>
      <c r="P126" s="1712"/>
      <c r="Q126" s="1712"/>
      <c r="R126" s="1712"/>
      <c r="S126" s="1712"/>
      <c r="T126" s="1712"/>
      <c r="U126" s="1712"/>
      <c r="V126" s="1712"/>
      <c r="W126" s="1712"/>
      <c r="X126" s="1712"/>
      <c r="Y126" s="1712"/>
      <c r="Z126" s="1712"/>
      <c r="AA126" s="1712"/>
    </row>
    <row r="127" s="2427" customFormat="1" ht="12.75" spans="1:27">
      <c r="A127" s="2680" t="str">
        <f>IF(项目基本情况!D5="房地产市场价值","——",MID(A112,3,LEN(A112)-2))</f>
        <v>估价师所知悉的法定优先受偿款</v>
      </c>
      <c r="B127" s="2682"/>
      <c r="C127" s="2681"/>
      <c r="D127" s="2688">
        <f>I107</f>
        <v>0</v>
      </c>
      <c r="E127" s="2682"/>
      <c r="F127" s="2682"/>
      <c r="G127" s="2682"/>
      <c r="H127" s="2682"/>
      <c r="I127" s="2747"/>
      <c r="J127" s="2748"/>
      <c r="K127" s="1712"/>
      <c r="L127" s="1712"/>
      <c r="M127" s="1712"/>
      <c r="N127" s="1712"/>
      <c r="O127" s="1712"/>
      <c r="P127" s="1712"/>
      <c r="Q127" s="1712"/>
      <c r="R127" s="1712"/>
      <c r="S127" s="1712"/>
      <c r="T127" s="1712"/>
      <c r="U127" s="1712"/>
      <c r="V127" s="1712"/>
      <c r="W127" s="1712"/>
      <c r="X127" s="1712"/>
      <c r="Y127" s="1712"/>
      <c r="Z127" s="1712"/>
      <c r="AA127" s="1712"/>
    </row>
    <row r="128" s="2427" customFormat="1" ht="12.75" spans="1:27">
      <c r="A128" s="2727" t="s">
        <v>813</v>
      </c>
      <c r="B128" s="1964"/>
      <c r="C128" s="2548"/>
      <c r="D128" s="2728">
        <f>H111</f>
        <v>0</v>
      </c>
      <c r="E128" s="2729"/>
      <c r="F128" s="2729"/>
      <c r="G128" s="2729"/>
      <c r="H128" s="2729"/>
      <c r="I128" s="2762"/>
      <c r="J128" s="2763"/>
      <c r="K128" s="1712"/>
      <c r="L128" s="1712"/>
      <c r="M128" s="1712"/>
      <c r="N128" s="1712"/>
      <c r="O128" s="1712"/>
      <c r="P128" s="1712"/>
      <c r="Q128" s="1712"/>
      <c r="R128" s="1712"/>
      <c r="S128" s="1712"/>
      <c r="T128" s="1712"/>
      <c r="U128" s="1712"/>
      <c r="V128" s="1712"/>
      <c r="W128" s="1712"/>
      <c r="X128" s="1712"/>
      <c r="Y128" s="1712"/>
      <c r="Z128" s="1712"/>
      <c r="AA128" s="1712"/>
    </row>
    <row r="129" s="2427" customFormat="1" ht="12.75" spans="1:27">
      <c r="A129" s="2638" t="str">
        <f>IF(项目基本情况!D5="房地产市场价值","——",MID(A116,3,LEN(A116)-2))</f>
        <v>房地产抵押价值</v>
      </c>
      <c r="B129" s="2148"/>
      <c r="C129" s="2148"/>
      <c r="D129" s="2688">
        <f ca="1">I112</f>
        <v>0</v>
      </c>
      <c r="E129" s="2682"/>
      <c r="F129" s="2682"/>
      <c r="G129" s="2682"/>
      <c r="H129" s="2682"/>
      <c r="I129" s="2747"/>
      <c r="J129" s="2748"/>
      <c r="K129" s="1712"/>
      <c r="L129" s="1712"/>
      <c r="M129" s="1712"/>
      <c r="N129" s="1712"/>
      <c r="O129" s="1712"/>
      <c r="P129" s="1712"/>
      <c r="Q129" s="1712"/>
      <c r="R129" s="1712"/>
      <c r="S129" s="1712"/>
      <c r="T129" s="1712"/>
      <c r="U129" s="1712"/>
      <c r="V129" s="1712"/>
      <c r="W129" s="1712"/>
      <c r="X129" s="1712"/>
      <c r="Y129" s="1712"/>
      <c r="Z129" s="1712"/>
      <c r="AA129" s="1712"/>
    </row>
    <row r="130" s="2427" customFormat="1" ht="12.75" spans="1:27">
      <c r="A130" s="2545" t="s">
        <v>813</v>
      </c>
      <c r="B130" s="1985"/>
      <c r="C130" s="1985"/>
      <c r="D130" s="2728" t="e">
        <f ca="1">I113</f>
        <v>#DIV/0!</v>
      </c>
      <c r="E130" s="2729"/>
      <c r="F130" s="2729"/>
      <c r="G130" s="2729"/>
      <c r="H130" s="2729"/>
      <c r="I130" s="2762"/>
      <c r="J130" s="2763"/>
      <c r="K130" s="1712"/>
      <c r="L130" s="1712"/>
      <c r="M130" s="1712"/>
      <c r="N130" s="1712"/>
      <c r="O130" s="1712"/>
      <c r="P130" s="1712"/>
      <c r="Q130" s="1712"/>
      <c r="R130" s="1712"/>
      <c r="S130" s="1712"/>
      <c r="T130" s="1712"/>
      <c r="U130" s="1712"/>
      <c r="V130" s="1712"/>
      <c r="W130" s="1712"/>
      <c r="X130" s="1712"/>
      <c r="Y130" s="1712"/>
      <c r="Z130" s="1712"/>
      <c r="AA130" s="1712"/>
    </row>
    <row r="131" s="2427" customFormat="1" ht="13.5" spans="1:27">
      <c r="A131" s="2638" t="str">
        <f>IF(项目基本情况!D5="房地产市场价值","——",MID(A118,3,LEN(A118)-2))</f>
        <v/>
      </c>
      <c r="B131" s="2148"/>
      <c r="C131" s="2148"/>
      <c r="D131" s="2518" t="str">
        <f ca="1">I114</f>
        <v>——</v>
      </c>
      <c r="E131" s="2519"/>
      <c r="F131" s="2519"/>
      <c r="G131" s="2519"/>
      <c r="H131" s="2519"/>
      <c r="I131" s="2786"/>
      <c r="J131" s="2748"/>
      <c r="K131" s="1712"/>
      <c r="L131" s="1712"/>
      <c r="M131" s="1712"/>
      <c r="N131" s="1712"/>
      <c r="O131" s="1712"/>
      <c r="P131" s="1712"/>
      <c r="Q131" s="1712"/>
      <c r="R131" s="1712"/>
      <c r="S131" s="1712"/>
      <c r="T131" s="1712"/>
      <c r="U131" s="1712"/>
      <c r="V131" s="1712"/>
      <c r="W131" s="1712"/>
      <c r="X131" s="1712"/>
      <c r="Y131" s="1712"/>
      <c r="Z131" s="1712"/>
      <c r="AA131" s="1712"/>
    </row>
    <row r="132" s="2427" customFormat="1" ht="14.25" spans="1:27">
      <c r="A132" s="2545" t="s">
        <v>813</v>
      </c>
      <c r="B132" s="1985"/>
      <c r="C132" s="1963"/>
      <c r="D132" s="2764" t="str">
        <f ca="1">I115</f>
        <v>——</v>
      </c>
      <c r="E132" s="2764"/>
      <c r="F132" s="2764"/>
      <c r="G132" s="2764"/>
      <c r="H132" s="2764"/>
      <c r="I132" s="2764"/>
      <c r="J132" s="2763"/>
      <c r="K132" s="1712"/>
      <c r="L132" s="1712"/>
      <c r="M132" s="1712"/>
      <c r="N132" s="1712"/>
      <c r="O132" s="1712"/>
      <c r="P132" s="1712"/>
      <c r="Q132" s="1712"/>
      <c r="R132" s="1712"/>
      <c r="S132" s="1712"/>
      <c r="T132" s="1712"/>
      <c r="U132" s="1712"/>
      <c r="V132" s="1712"/>
      <c r="W132" s="1712"/>
      <c r="X132" s="1712"/>
      <c r="Y132" s="1712"/>
      <c r="Z132" s="1712"/>
      <c r="AA132" s="1712"/>
    </row>
    <row r="133" s="2427" customFormat="1" ht="14.25" spans="1:27">
      <c r="A133" s="2638" t="str">
        <f>IF(项目基本情况!D5="房地产市场价值","——",MID(F116,3,LEN(F116)-2))</f>
        <v/>
      </c>
      <c r="B133" s="2148"/>
      <c r="C133" s="2688"/>
      <c r="D133" s="2765" t="str">
        <f ca="1">I116</f>
        <v>——</v>
      </c>
      <c r="E133" s="2765"/>
      <c r="F133" s="2765"/>
      <c r="G133" s="2765"/>
      <c r="H133" s="2765"/>
      <c r="I133" s="2765"/>
      <c r="J133" s="2748"/>
      <c r="K133" s="1712"/>
      <c r="L133" s="1712"/>
      <c r="M133" s="1712"/>
      <c r="N133" s="1712"/>
      <c r="O133" s="1712"/>
      <c r="P133" s="1712"/>
      <c r="Q133" s="1712"/>
      <c r="R133" s="1712"/>
      <c r="S133" s="1712"/>
      <c r="T133" s="1712"/>
      <c r="U133" s="1712"/>
      <c r="V133" s="1712"/>
      <c r="W133" s="1712"/>
      <c r="X133" s="1712"/>
      <c r="Y133" s="1712"/>
      <c r="Z133" s="1712"/>
      <c r="AA133" s="1712"/>
    </row>
    <row r="134" s="2427" customFormat="1" ht="14.25" spans="1:27">
      <c r="A134" s="2553" t="s">
        <v>813</v>
      </c>
      <c r="B134" s="2554"/>
      <c r="C134" s="2554"/>
      <c r="D134" s="2766">
        <f>H118</f>
        <v>0</v>
      </c>
      <c r="E134" s="2767"/>
      <c r="F134" s="2767"/>
      <c r="G134" s="2767"/>
      <c r="H134" s="2767"/>
      <c r="I134" s="2787"/>
      <c r="J134" s="2763"/>
      <c r="K134" s="1712"/>
      <c r="L134" s="1712"/>
      <c r="M134" s="1712"/>
      <c r="N134" s="1712"/>
      <c r="O134" s="1712"/>
      <c r="P134" s="1712"/>
      <c r="Q134" s="1712"/>
      <c r="R134" s="1712"/>
      <c r="S134" s="1712"/>
      <c r="T134" s="1712"/>
      <c r="U134" s="1712"/>
      <c r="V134" s="1712"/>
      <c r="W134" s="1712"/>
      <c r="X134" s="1712"/>
      <c r="Y134" s="1712"/>
      <c r="Z134" s="1712"/>
      <c r="AA134" s="1712"/>
    </row>
    <row r="135" s="2427" customFormat="1" ht="12.75" spans="1:27">
      <c r="A135" s="2513" t="str">
        <f>IF(H19="元","单位：平方米、元、元/平方米（币种：人民币）","单位：平方米、万元、元/平方米（币种：人民币）")</f>
        <v>单位：平方米、元、元/平方米（币种：人民币）</v>
      </c>
      <c r="B135" s="2513"/>
      <c r="C135" s="2513"/>
      <c r="D135" s="2513"/>
      <c r="E135" s="2513"/>
      <c r="F135" s="2513"/>
      <c r="G135" s="2513"/>
      <c r="H135" s="2513"/>
      <c r="I135" s="2513"/>
      <c r="J135" s="2788"/>
      <c r="K135" s="1712"/>
      <c r="L135" s="1712"/>
      <c r="M135" s="1712"/>
      <c r="N135" s="1712"/>
      <c r="O135" s="1712"/>
      <c r="P135" s="1712"/>
      <c r="Q135" s="1712"/>
      <c r="R135" s="1712"/>
      <c r="S135" s="1712"/>
      <c r="T135" s="1712"/>
      <c r="U135" s="1712"/>
      <c r="V135" s="1712"/>
      <c r="W135" s="1712"/>
      <c r="X135" s="1712"/>
      <c r="Y135" s="1712"/>
      <c r="Z135" s="1712"/>
      <c r="AA135" s="1712"/>
    </row>
    <row r="136" s="2427" customFormat="1" ht="13.5" spans="1:27">
      <c r="A136" s="2768" t="str">
        <f>IF(B33="总价","（以上估价结果中楼面单价为总价除以建筑面积得出）","（以上估价结果中总价为楼面单价乘以建筑面积得出）")</f>
        <v>（以上估价结果中总价为楼面单价乘以建筑面积得出）</v>
      </c>
      <c r="B136" s="2768"/>
      <c r="C136" s="2768"/>
      <c r="D136" s="2768"/>
      <c r="E136" s="2768"/>
      <c r="F136" s="2768"/>
      <c r="G136" s="2768"/>
      <c r="H136" s="2768"/>
      <c r="I136" s="2768"/>
      <c r="J136" s="2754"/>
      <c r="K136" s="1712"/>
      <c r="L136" s="1712"/>
      <c r="M136" s="1712"/>
      <c r="N136" s="1712"/>
      <c r="O136" s="1712"/>
      <c r="P136" s="1712"/>
      <c r="Q136" s="1712"/>
      <c r="R136" s="1712"/>
      <c r="S136" s="1712"/>
      <c r="T136" s="1712"/>
      <c r="U136" s="1712"/>
      <c r="V136" s="1712"/>
      <c r="W136" s="1712"/>
      <c r="X136" s="1712"/>
      <c r="Y136" s="1712"/>
      <c r="Z136" s="1712"/>
      <c r="AA136" s="1712"/>
    </row>
    <row r="137" s="2427" customFormat="1" customHeight="1" spans="1:27">
      <c r="A137" s="2769" t="s">
        <v>814</v>
      </c>
      <c r="B137" s="2770"/>
      <c r="C137" s="2771" t="s">
        <v>815</v>
      </c>
      <c r="D137" s="2772"/>
      <c r="E137" s="2772"/>
      <c r="F137" s="2772"/>
      <c r="G137" s="2772"/>
      <c r="H137" s="2773"/>
      <c r="I137" s="2789"/>
      <c r="J137" s="2790"/>
      <c r="K137" s="1712"/>
      <c r="L137" s="1712"/>
      <c r="M137" s="1712"/>
      <c r="N137" s="1712"/>
      <c r="O137" s="1712"/>
      <c r="P137" s="1712"/>
      <c r="Q137" s="1712"/>
      <c r="R137" s="1712"/>
      <c r="S137" s="1712"/>
      <c r="T137" s="1712"/>
      <c r="U137" s="1712"/>
      <c r="V137" s="1712"/>
      <c r="W137" s="1712"/>
      <c r="X137" s="1712"/>
      <c r="Y137" s="1712"/>
      <c r="Z137" s="1712"/>
      <c r="AA137" s="1712"/>
    </row>
    <row r="138" s="2427" customFormat="1" customHeight="1" spans="1:27">
      <c r="A138" s="2774">
        <v>1</v>
      </c>
      <c r="B138" s="2775"/>
      <c r="C138" s="2775"/>
      <c r="D138" s="2772"/>
      <c r="E138" s="2772"/>
      <c r="F138" s="2772"/>
      <c r="G138" s="2772"/>
      <c r="H138" s="2773"/>
      <c r="I138" s="2789"/>
      <c r="J138" s="2790"/>
      <c r="K138" s="1712"/>
      <c r="L138" s="1712"/>
      <c r="M138" s="1712"/>
      <c r="N138" s="1712"/>
      <c r="O138" s="1712"/>
      <c r="P138" s="1712"/>
      <c r="Q138" s="1712"/>
      <c r="R138" s="1712"/>
      <c r="S138" s="1712"/>
      <c r="T138" s="1712"/>
      <c r="U138" s="1712"/>
      <c r="V138" s="1712"/>
      <c r="W138" s="1712"/>
      <c r="X138" s="1712"/>
      <c r="Y138" s="1712"/>
      <c r="Z138" s="1712"/>
      <c r="AA138" s="1712"/>
    </row>
    <row r="139" s="2427" customFormat="1" customHeight="1" spans="1:27">
      <c r="A139" s="2774">
        <v>2</v>
      </c>
      <c r="B139" s="2775"/>
      <c r="C139" s="2775"/>
      <c r="D139" s="2772"/>
      <c r="E139" s="2772"/>
      <c r="F139" s="2772"/>
      <c r="G139" s="2772"/>
      <c r="H139" s="2773"/>
      <c r="I139" s="2789"/>
      <c r="J139" s="2790"/>
      <c r="K139" s="1712"/>
      <c r="L139" s="1712"/>
      <c r="M139" s="1712"/>
      <c r="N139" s="1712"/>
      <c r="O139" s="1712"/>
      <c r="P139" s="1712"/>
      <c r="Q139" s="1712"/>
      <c r="R139" s="1712"/>
      <c r="S139" s="1712"/>
      <c r="T139" s="1712"/>
      <c r="U139" s="1712"/>
      <c r="V139" s="1712"/>
      <c r="W139" s="1712"/>
      <c r="X139" s="1712"/>
      <c r="Y139" s="1712"/>
      <c r="Z139" s="1712"/>
      <c r="AA139" s="1712"/>
    </row>
    <row r="140" s="2427" customFormat="1" customHeight="1" spans="1:27">
      <c r="A140" s="2774">
        <v>3</v>
      </c>
      <c r="B140" s="2775"/>
      <c r="C140" s="2775"/>
      <c r="D140" s="2772"/>
      <c r="E140" s="2772"/>
      <c r="F140" s="1709"/>
      <c r="G140" s="1709"/>
      <c r="H140" s="1709"/>
      <c r="I140" s="1709"/>
      <c r="J140" s="2791"/>
      <c r="K140" s="1712"/>
      <c r="L140" s="1712"/>
      <c r="M140" s="1712"/>
      <c r="N140" s="1712"/>
      <c r="O140" s="1712"/>
      <c r="P140" s="1712"/>
      <c r="Q140" s="1712"/>
      <c r="R140" s="1712"/>
      <c r="S140" s="1712"/>
      <c r="T140" s="1712"/>
      <c r="U140" s="1712"/>
      <c r="V140" s="1712"/>
      <c r="W140" s="1712"/>
      <c r="X140" s="1712"/>
      <c r="Y140" s="1712"/>
      <c r="Z140" s="1712"/>
      <c r="AA140" s="1712"/>
    </row>
    <row r="141" s="2427" customFormat="1" customHeight="1" spans="1:27">
      <c r="A141" s="2776"/>
      <c r="B141" s="2777"/>
      <c r="C141" s="2777"/>
      <c r="D141" s="2778"/>
      <c r="E141" s="2778"/>
      <c r="F141" s="2778"/>
      <c r="G141" s="2778"/>
      <c r="H141" s="2779"/>
      <c r="I141" s="2792"/>
      <c r="J141" s="2790"/>
      <c r="K141" s="1712"/>
      <c r="L141" s="1712"/>
      <c r="M141" s="1712"/>
      <c r="N141" s="1712"/>
      <c r="O141" s="1712"/>
      <c r="P141" s="1712"/>
      <c r="Q141" s="1712"/>
      <c r="R141" s="1712"/>
      <c r="S141" s="1712"/>
      <c r="T141" s="1712"/>
      <c r="U141" s="1712"/>
      <c r="V141" s="1712"/>
      <c r="W141" s="1712"/>
      <c r="X141" s="1712"/>
      <c r="Y141" s="1712"/>
      <c r="Z141" s="1712"/>
      <c r="AA141" s="1712"/>
    </row>
    <row r="142" s="2427" customFormat="1" customHeight="1" spans="1:27">
      <c r="A142" s="2775"/>
      <c r="B142" s="2775"/>
      <c r="C142" s="2775"/>
      <c r="D142" s="2772"/>
      <c r="E142" s="2772"/>
      <c r="F142" s="2772"/>
      <c r="G142" s="2772"/>
      <c r="H142" s="2773"/>
      <c r="I142" s="1712"/>
      <c r="J142" s="2791"/>
      <c r="K142" s="1712"/>
      <c r="L142" s="1712"/>
      <c r="M142" s="1712"/>
      <c r="N142" s="1712"/>
      <c r="O142" s="1712"/>
      <c r="P142" s="1712"/>
      <c r="Q142" s="1712"/>
      <c r="R142" s="1712"/>
      <c r="S142" s="1712"/>
      <c r="T142" s="1712"/>
      <c r="U142" s="1712"/>
      <c r="V142" s="1712"/>
      <c r="W142" s="1712"/>
      <c r="X142" s="1712"/>
      <c r="Y142" s="1712"/>
      <c r="Z142" s="1712"/>
      <c r="AA142" s="1712"/>
    </row>
    <row r="143" s="2427" customFormat="1" customHeight="1" spans="1:27">
      <c r="A143" s="1712"/>
      <c r="B143" s="1712"/>
      <c r="C143" s="1712"/>
      <c r="D143" s="1712"/>
      <c r="E143" s="1712"/>
      <c r="F143" s="2780" t="s">
        <v>816</v>
      </c>
      <c r="G143" s="2781"/>
      <c r="H143" s="2781"/>
      <c r="I143" s="2793" t="s">
        <v>817</v>
      </c>
      <c r="J143" s="2794"/>
      <c r="K143" s="1712"/>
      <c r="L143" s="1712"/>
      <c r="M143" s="1712"/>
      <c r="N143" s="1712"/>
      <c r="O143" s="1712"/>
      <c r="P143" s="1712"/>
      <c r="Q143" s="1712"/>
      <c r="R143" s="1712"/>
      <c r="S143" s="1712"/>
      <c r="T143" s="1712"/>
      <c r="U143" s="1712"/>
      <c r="V143" s="1712"/>
      <c r="W143" s="1712"/>
      <c r="X143" s="1712"/>
      <c r="Y143" s="1712"/>
      <c r="Z143" s="1712"/>
      <c r="AA143" s="1712"/>
    </row>
    <row r="144" s="2427" customFormat="1" customHeight="1" spans="1:27">
      <c r="A144" s="1712"/>
      <c r="B144" s="2782" t="s">
        <v>818</v>
      </c>
      <c r="C144" s="1712"/>
      <c r="D144" s="1712"/>
      <c r="E144" s="1712"/>
      <c r="F144" s="1712"/>
      <c r="G144" s="1712"/>
      <c r="H144" s="1712"/>
      <c r="I144" s="1712"/>
      <c r="J144" s="2791"/>
      <c r="K144" s="1712"/>
      <c r="L144" s="1712"/>
      <c r="M144" s="1712"/>
      <c r="N144" s="1712"/>
      <c r="O144" s="1712"/>
      <c r="P144" s="1712"/>
      <c r="Q144" s="1712"/>
      <c r="R144" s="1712"/>
      <c r="S144" s="1712"/>
      <c r="T144" s="1712"/>
      <c r="U144" s="1712"/>
      <c r="V144" s="1712"/>
      <c r="W144" s="1712"/>
      <c r="X144" s="1712"/>
      <c r="Y144" s="1712"/>
      <c r="Z144" s="1712"/>
      <c r="AA144" s="1712"/>
    </row>
    <row r="145" s="2427" customFormat="1" customHeight="1" spans="1:27">
      <c r="A145" s="1712"/>
      <c r="B145" s="1712"/>
      <c r="C145" s="1712"/>
      <c r="D145" s="1712"/>
      <c r="E145" s="1712"/>
      <c r="F145" s="1712"/>
      <c r="G145" s="1712"/>
      <c r="H145" s="1712"/>
      <c r="I145" s="1712"/>
      <c r="J145" s="2791"/>
      <c r="K145" s="1712"/>
      <c r="L145" s="1712"/>
      <c r="M145" s="1712"/>
      <c r="N145" s="1712"/>
      <c r="O145" s="1712"/>
      <c r="P145" s="1712"/>
      <c r="Q145" s="1712"/>
      <c r="R145" s="1712"/>
      <c r="S145" s="1712"/>
      <c r="T145" s="1712"/>
      <c r="U145" s="1712"/>
      <c r="V145" s="1712"/>
      <c r="W145" s="1712"/>
      <c r="X145" s="1712"/>
      <c r="Y145" s="1712"/>
      <c r="Z145" s="1712"/>
      <c r="AA145" s="1712"/>
    </row>
    <row r="146" s="2427" customFormat="1" customHeight="1" spans="1:27">
      <c r="A146" s="1712"/>
      <c r="B146" s="2781"/>
      <c r="C146" s="2781"/>
      <c r="D146" s="2781"/>
      <c r="E146" s="2781"/>
      <c r="F146" s="2781"/>
      <c r="G146" s="2781"/>
      <c r="H146" s="2781"/>
      <c r="I146" s="2793" t="s">
        <v>819</v>
      </c>
      <c r="J146" s="2794"/>
      <c r="K146" s="1712"/>
      <c r="L146" s="1712"/>
      <c r="M146" s="1712"/>
      <c r="N146" s="1712"/>
      <c r="O146" s="1712"/>
      <c r="P146" s="1712"/>
      <c r="Q146" s="1712"/>
      <c r="R146" s="1712"/>
      <c r="S146" s="1712"/>
      <c r="T146" s="1712"/>
      <c r="U146" s="1712"/>
      <c r="V146" s="1712"/>
      <c r="W146" s="1712"/>
      <c r="X146" s="1712"/>
      <c r="Y146" s="1712"/>
      <c r="Z146" s="1712"/>
      <c r="AA146" s="1712"/>
    </row>
    <row r="147" s="2427" customFormat="1" customHeight="1" spans="1:27">
      <c r="A147" s="1712"/>
      <c r="B147" s="2782" t="s">
        <v>820</v>
      </c>
      <c r="C147" s="1712"/>
      <c r="D147" s="1712"/>
      <c r="E147" s="1712"/>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row>
    <row r="148" s="2427" customFormat="1" customHeight="1" spans="1:27">
      <c r="A148" s="1712"/>
      <c r="B148" s="278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row>
    <row r="149" s="2427" customFormat="1" customHeight="1" spans="1:27">
      <c r="A149" s="1712"/>
      <c r="B149" s="2781"/>
      <c r="C149" s="2781"/>
      <c r="D149" s="2781"/>
      <c r="E149" s="2781"/>
      <c r="F149" s="2781"/>
      <c r="G149" s="2781"/>
      <c r="H149" s="2781"/>
      <c r="I149" s="2793" t="s">
        <v>819</v>
      </c>
      <c r="J149" s="2794"/>
      <c r="K149" s="1712"/>
      <c r="L149" s="1712"/>
      <c r="M149" s="1712"/>
      <c r="N149" s="1712"/>
      <c r="O149" s="1712"/>
      <c r="P149" s="1712"/>
      <c r="Q149" s="1712"/>
      <c r="R149" s="1712"/>
      <c r="S149" s="1712"/>
      <c r="T149" s="1712"/>
      <c r="U149" s="1712"/>
      <c r="V149" s="1712"/>
      <c r="W149" s="1712"/>
      <c r="X149" s="1712"/>
      <c r="Y149" s="1712"/>
      <c r="Z149" s="1712"/>
      <c r="AA149" s="1712"/>
    </row>
    <row r="150" s="2427" customFormat="1" customHeight="1" spans="1:27">
      <c r="A150" s="1712"/>
      <c r="B150" s="2782"/>
      <c r="C150" s="2783"/>
      <c r="D150" s="2784"/>
      <c r="E150" s="2784"/>
      <c r="F150" s="2785"/>
      <c r="G150" s="1712"/>
      <c r="H150" s="1712"/>
      <c r="I150" s="1712"/>
      <c r="J150" s="279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2"/>
      <c r="C151" s="2783"/>
      <c r="D151" s="2784"/>
      <c r="E151" s="2784"/>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2427" customFormat="1" customHeight="1" spans="10:27">
      <c r="J383" s="2429"/>
      <c r="K383" s="1712"/>
      <c r="L383" s="1712"/>
      <c r="M383" s="1712"/>
      <c r="N383" s="1712"/>
      <c r="O383" s="1712"/>
      <c r="P383" s="1712"/>
      <c r="Q383" s="1712"/>
      <c r="R383" s="1712"/>
      <c r="S383" s="1712"/>
      <c r="T383" s="1712"/>
      <c r="U383" s="1712"/>
      <c r="V383" s="1712"/>
      <c r="W383" s="1712"/>
      <c r="X383" s="1712"/>
      <c r="Y383" s="1712"/>
      <c r="Z383" s="1712"/>
      <c r="AA383" s="1712"/>
    </row>
    <row r="384" s="2427" customFormat="1" customHeight="1" spans="10:27">
      <c r="J384" s="2429"/>
      <c r="K384" s="1712"/>
      <c r="L384" s="1712"/>
      <c r="M384" s="1712"/>
      <c r="N384" s="1712"/>
      <c r="O384" s="1712"/>
      <c r="P384" s="1712"/>
      <c r="Q384" s="1712"/>
      <c r="R384" s="1712"/>
      <c r="S384" s="1712"/>
      <c r="T384" s="1712"/>
      <c r="U384" s="1712"/>
      <c r="V384" s="1712"/>
      <c r="W384" s="1712"/>
      <c r="X384" s="1712"/>
      <c r="Y384" s="1712"/>
      <c r="Z384" s="1712"/>
      <c r="AA384" s="1712"/>
    </row>
    <row r="385" s="2427" customFormat="1" customHeight="1" spans="10:27">
      <c r="J385" s="2429"/>
      <c r="K385" s="1712"/>
      <c r="L385" s="1712"/>
      <c r="M385" s="1712"/>
      <c r="N385" s="1712"/>
      <c r="O385" s="1712"/>
      <c r="P385" s="1712"/>
      <c r="Q385" s="1712"/>
      <c r="R385" s="1712"/>
      <c r="S385" s="1712"/>
      <c r="T385" s="1712"/>
      <c r="U385" s="1712"/>
      <c r="V385" s="1712"/>
      <c r="W385" s="1712"/>
      <c r="X385" s="1712"/>
      <c r="Y385" s="1712"/>
      <c r="Z385" s="1712"/>
      <c r="AA385" s="1712"/>
    </row>
    <row r="386" s="2427" customFormat="1" customHeight="1" spans="10:27">
      <c r="J386" s="2429"/>
      <c r="K386" s="1712"/>
      <c r="L386" s="1712"/>
      <c r="M386" s="1712"/>
      <c r="N386" s="1712"/>
      <c r="O386" s="1712"/>
      <c r="P386" s="1712"/>
      <c r="Q386" s="1712"/>
      <c r="R386" s="1712"/>
      <c r="S386" s="1712"/>
      <c r="T386" s="1712"/>
      <c r="U386" s="1712"/>
      <c r="V386" s="1712"/>
      <c r="W386" s="1712"/>
      <c r="X386" s="1712"/>
      <c r="Y386" s="1712"/>
      <c r="Z386" s="1712"/>
      <c r="AA386" s="1712"/>
    </row>
    <row r="387" s="2427" customFormat="1" customHeight="1" spans="10:27">
      <c r="J387" s="2429"/>
      <c r="K387" s="1712"/>
      <c r="L387" s="1712"/>
      <c r="M387" s="1712"/>
      <c r="N387" s="1712"/>
      <c r="O387" s="1712"/>
      <c r="P387" s="1712"/>
      <c r="Q387" s="1712"/>
      <c r="R387" s="1712"/>
      <c r="S387" s="1712"/>
      <c r="T387" s="1712"/>
      <c r="U387" s="1712"/>
      <c r="V387" s="1712"/>
      <c r="W387" s="1712"/>
      <c r="X387" s="1712"/>
      <c r="Y387" s="1712"/>
      <c r="Z387" s="1712"/>
      <c r="AA387" s="1712"/>
    </row>
    <row r="388" s="2427" customFormat="1" customHeight="1" spans="10:27">
      <c r="J388" s="2429"/>
      <c r="K388" s="1712"/>
      <c r="L388" s="1712"/>
      <c r="M388" s="1712"/>
      <c r="N388" s="1712"/>
      <c r="O388" s="1712"/>
      <c r="P388" s="1712"/>
      <c r="Q388" s="1712"/>
      <c r="R388" s="1712"/>
      <c r="S388" s="1712"/>
      <c r="T388" s="1712"/>
      <c r="U388" s="1712"/>
      <c r="V388" s="1712"/>
      <c r="W388" s="1712"/>
      <c r="X388" s="1712"/>
      <c r="Y388" s="1712"/>
      <c r="Z388" s="1712"/>
      <c r="AA388" s="1712"/>
    </row>
    <row r="389" s="2427" customFormat="1" customHeight="1" spans="10:27">
      <c r="J389" s="2429"/>
      <c r="K389" s="1712"/>
      <c r="L389" s="1712"/>
      <c r="M389" s="1712"/>
      <c r="N389" s="1712"/>
      <c r="O389" s="1712"/>
      <c r="P389" s="1712"/>
      <c r="Q389" s="1712"/>
      <c r="R389" s="1712"/>
      <c r="S389" s="1712"/>
      <c r="T389" s="1712"/>
      <c r="U389" s="1712"/>
      <c r="V389" s="1712"/>
      <c r="W389" s="1712"/>
      <c r="X389" s="1712"/>
      <c r="Y389" s="1712"/>
      <c r="Z389" s="1712"/>
      <c r="AA389" s="1712"/>
    </row>
    <row r="390" s="2427" customFormat="1" customHeight="1" spans="10:27">
      <c r="J390" s="2429"/>
      <c r="K390" s="1712"/>
      <c r="L390" s="1712"/>
      <c r="M390" s="1712"/>
      <c r="N390" s="1712"/>
      <c r="O390" s="1712"/>
      <c r="P390" s="1712"/>
      <c r="Q390" s="1712"/>
      <c r="R390" s="1712"/>
      <c r="S390" s="1712"/>
      <c r="T390" s="1712"/>
      <c r="U390" s="1712"/>
      <c r="V390" s="1712"/>
      <c r="W390" s="1712"/>
      <c r="X390" s="1712"/>
      <c r="Y390" s="1712"/>
      <c r="Z390" s="1712"/>
      <c r="AA390" s="1712"/>
    </row>
    <row r="391" s="2427" customFormat="1" customHeight="1" spans="10:27">
      <c r="J391" s="2429"/>
      <c r="K391" s="1712"/>
      <c r="L391" s="1712"/>
      <c r="M391" s="1712"/>
      <c r="N391" s="1712"/>
      <c r="O391" s="1712"/>
      <c r="P391" s="1712"/>
      <c r="Q391" s="1712"/>
      <c r="R391" s="1712"/>
      <c r="S391" s="1712"/>
      <c r="T391" s="1712"/>
      <c r="U391" s="1712"/>
      <c r="V391" s="1712"/>
      <c r="W391" s="1712"/>
      <c r="X391" s="1712"/>
      <c r="Y391" s="1712"/>
      <c r="Z391" s="1712"/>
      <c r="AA391" s="1712"/>
    </row>
    <row r="392" s="2427" customFormat="1" customHeight="1" spans="10:27">
      <c r="J392" s="2429"/>
      <c r="K392" s="1712"/>
      <c r="L392" s="1712"/>
      <c r="M392" s="1712"/>
      <c r="N392" s="1712"/>
      <c r="O392" s="1712"/>
      <c r="P392" s="1712"/>
      <c r="Q392" s="1712"/>
      <c r="R392" s="1712"/>
      <c r="S392" s="1712"/>
      <c r="T392" s="1712"/>
      <c r="U392" s="1712"/>
      <c r="V392" s="1712"/>
      <c r="W392" s="1712"/>
      <c r="X392" s="1712"/>
      <c r="Y392" s="1712"/>
      <c r="Z392" s="1712"/>
      <c r="AA392" s="1712"/>
    </row>
    <row r="393" s="2427" customFormat="1" customHeight="1" spans="10:27">
      <c r="J393" s="2429"/>
      <c r="K393" s="1712"/>
      <c r="L393" s="1712"/>
      <c r="M393" s="1712"/>
      <c r="N393" s="1712"/>
      <c r="O393" s="1712"/>
      <c r="P393" s="1712"/>
      <c r="Q393" s="1712"/>
      <c r="R393" s="1712"/>
      <c r="S393" s="1712"/>
      <c r="T393" s="1712"/>
      <c r="U393" s="1712"/>
      <c r="V393" s="1712"/>
      <c r="W393" s="1712"/>
      <c r="X393" s="1712"/>
      <c r="Y393" s="1712"/>
      <c r="Z393" s="1712"/>
      <c r="AA393" s="1712"/>
    </row>
    <row r="394" s="2427" customFormat="1" customHeight="1" spans="10:27">
      <c r="J394" s="2429"/>
      <c r="K394" s="1712"/>
      <c r="L394" s="1712"/>
      <c r="M394" s="1712"/>
      <c r="N394" s="1712"/>
      <c r="O394" s="1712"/>
      <c r="P394" s="1712"/>
      <c r="Q394" s="1712"/>
      <c r="R394" s="1712"/>
      <c r="S394" s="1712"/>
      <c r="T394" s="1712"/>
      <c r="U394" s="1712"/>
      <c r="V394" s="1712"/>
      <c r="W394" s="1712"/>
      <c r="X394" s="1712"/>
      <c r="Y394" s="1712"/>
      <c r="Z394" s="1712"/>
      <c r="AA394" s="1712"/>
    </row>
    <row r="395" s="2427" customFormat="1" customHeight="1" spans="10:27">
      <c r="J395" s="2429"/>
      <c r="K395" s="1712"/>
      <c r="L395" s="1712"/>
      <c r="M395" s="1712"/>
      <c r="N395" s="1712"/>
      <c r="O395" s="1712"/>
      <c r="P395" s="1712"/>
      <c r="Q395" s="1712"/>
      <c r="R395" s="1712"/>
      <c r="S395" s="1712"/>
      <c r="T395" s="1712"/>
      <c r="U395" s="1712"/>
      <c r="V395" s="1712"/>
      <c r="W395" s="1712"/>
      <c r="X395" s="1712"/>
      <c r="Y395" s="1712"/>
      <c r="Z395" s="1712"/>
      <c r="AA395" s="1712"/>
    </row>
    <row r="396" s="2427" customFormat="1" customHeight="1" spans="10:27">
      <c r="J396" s="2429"/>
      <c r="K396" s="1712"/>
      <c r="L396" s="1712"/>
      <c r="M396" s="1712"/>
      <c r="N396" s="1712"/>
      <c r="O396" s="1712"/>
      <c r="P396" s="1712"/>
      <c r="Q396" s="1712"/>
      <c r="R396" s="1712"/>
      <c r="S396" s="1712"/>
      <c r="T396" s="1712"/>
      <c r="U396" s="1712"/>
      <c r="V396" s="1712"/>
      <c r="W396" s="1712"/>
      <c r="X396" s="1712"/>
      <c r="Y396" s="1712"/>
      <c r="Z396" s="1712"/>
      <c r="AA396" s="1712"/>
    </row>
    <row r="397" s="2427" customFormat="1" customHeight="1" spans="10:27">
      <c r="J397" s="2429"/>
      <c r="K397" s="1712"/>
      <c r="L397" s="1712"/>
      <c r="M397" s="1712"/>
      <c r="N397" s="1712"/>
      <c r="O397" s="1712"/>
      <c r="P397" s="1712"/>
      <c r="Q397" s="1712"/>
      <c r="R397" s="1712"/>
      <c r="S397" s="1712"/>
      <c r="T397" s="1712"/>
      <c r="U397" s="1712"/>
      <c r="V397" s="1712"/>
      <c r="W397" s="1712"/>
      <c r="X397" s="1712"/>
      <c r="Y397" s="1712"/>
      <c r="Z397" s="1712"/>
      <c r="AA397" s="1712"/>
    </row>
    <row r="398" s="2427" customFormat="1" customHeight="1" spans="10:27">
      <c r="J398" s="2429"/>
      <c r="K398" s="1712"/>
      <c r="L398" s="1712"/>
      <c r="M398" s="1712"/>
      <c r="N398" s="1712"/>
      <c r="O398" s="1712"/>
      <c r="P398" s="1712"/>
      <c r="Q398" s="1712"/>
      <c r="R398" s="1712"/>
      <c r="S398" s="1712"/>
      <c r="T398" s="1712"/>
      <c r="U398" s="1712"/>
      <c r="V398" s="1712"/>
      <c r="W398" s="1712"/>
      <c r="X398" s="1712"/>
      <c r="Y398" s="1712"/>
      <c r="Z398" s="1712"/>
      <c r="AA398" s="1712"/>
    </row>
    <row r="399" s="2427" customFormat="1" customHeight="1" spans="10:27">
      <c r="J399" s="2429"/>
      <c r="K399" s="1712"/>
      <c r="L399" s="1712"/>
      <c r="M399" s="1712"/>
      <c r="N399" s="1712"/>
      <c r="O399" s="1712"/>
      <c r="P399" s="1712"/>
      <c r="Q399" s="1712"/>
      <c r="R399" s="1712"/>
      <c r="S399" s="1712"/>
      <c r="T399" s="1712"/>
      <c r="U399" s="1712"/>
      <c r="V399" s="1712"/>
      <c r="W399" s="1712"/>
      <c r="X399" s="1712"/>
      <c r="Y399" s="1712"/>
      <c r="Z399" s="1712"/>
      <c r="AA399" s="1712"/>
    </row>
    <row r="400" s="2427" customFormat="1" customHeight="1" spans="10:27">
      <c r="J400" s="2429"/>
      <c r="K400" s="1712"/>
      <c r="L400" s="1712"/>
      <c r="M400" s="1712"/>
      <c r="N400" s="1712"/>
      <c r="O400" s="1712"/>
      <c r="P400" s="1712"/>
      <c r="Q400" s="1712"/>
      <c r="R400" s="1712"/>
      <c r="S400" s="1712"/>
      <c r="T400" s="1712"/>
      <c r="U400" s="1712"/>
      <c r="V400" s="1712"/>
      <c r="W400" s="1712"/>
      <c r="X400" s="1712"/>
      <c r="Y400" s="1712"/>
      <c r="Z400" s="1712"/>
      <c r="AA400" s="1712"/>
    </row>
    <row r="401" s="2427" customFormat="1" customHeight="1" spans="10:27">
      <c r="J401" s="2429"/>
      <c r="K401" s="1712"/>
      <c r="L401" s="1712"/>
      <c r="M401" s="1712"/>
      <c r="N401" s="1712"/>
      <c r="O401" s="1712"/>
      <c r="P401" s="1712"/>
      <c r="Q401" s="1712"/>
      <c r="R401" s="1712"/>
      <c r="S401" s="1712"/>
      <c r="T401" s="1712"/>
      <c r="U401" s="1712"/>
      <c r="V401" s="1712"/>
      <c r="W401" s="1712"/>
      <c r="X401" s="1712"/>
      <c r="Y401" s="1712"/>
      <c r="Z401" s="1712"/>
      <c r="AA401" s="1712"/>
    </row>
    <row r="402" s="2427" customFormat="1" customHeight="1" spans="10:27">
      <c r="J402" s="2429"/>
      <c r="K402" s="1712"/>
      <c r="L402" s="1712"/>
      <c r="M402" s="1712"/>
      <c r="N402" s="1712"/>
      <c r="O402" s="1712"/>
      <c r="P402" s="1712"/>
      <c r="Q402" s="1712"/>
      <c r="R402" s="1712"/>
      <c r="S402" s="1712"/>
      <c r="T402" s="1712"/>
      <c r="U402" s="1712"/>
      <c r="V402" s="1712"/>
      <c r="W402" s="1712"/>
      <c r="X402" s="1712"/>
      <c r="Y402" s="1712"/>
      <c r="Z402" s="1712"/>
      <c r="AA402" s="1712"/>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10:27">
      <c r="J516" s="2429"/>
      <c r="K516" s="1712"/>
      <c r="L516" s="1712"/>
      <c r="M516" s="1712"/>
      <c r="N516" s="1712"/>
      <c r="O516" s="1712"/>
      <c r="P516" s="1712"/>
      <c r="Q516" s="1712"/>
      <c r="R516" s="1712"/>
      <c r="S516" s="1712"/>
      <c r="T516" s="1712"/>
      <c r="U516" s="1712"/>
      <c r="V516" s="1712"/>
      <c r="W516" s="1712"/>
      <c r="X516" s="1712"/>
      <c r="Y516" s="1712"/>
      <c r="Z516" s="1712"/>
      <c r="AA516" s="1712"/>
    </row>
    <row r="517" s="2427" customFormat="1" customHeight="1" spans="10:27">
      <c r="J517" s="2429"/>
      <c r="K517" s="1712"/>
      <c r="L517" s="1712"/>
      <c r="M517" s="1712"/>
      <c r="N517" s="1712"/>
      <c r="O517" s="1712"/>
      <c r="P517" s="1712"/>
      <c r="Q517" s="1712"/>
      <c r="R517" s="1712"/>
      <c r="S517" s="1712"/>
      <c r="T517" s="1712"/>
      <c r="U517" s="1712"/>
      <c r="V517" s="1712"/>
      <c r="W517" s="1712"/>
      <c r="X517" s="1712"/>
      <c r="Y517" s="1712"/>
      <c r="Z517" s="1712"/>
      <c r="AA517" s="1712"/>
    </row>
    <row r="518" s="2427" customFormat="1" customHeight="1" spans="10:27">
      <c r="J518" s="2429"/>
      <c r="K518" s="1712"/>
      <c r="L518" s="1712"/>
      <c r="M518" s="1712"/>
      <c r="N518" s="1712"/>
      <c r="O518" s="1712"/>
      <c r="P518" s="1712"/>
      <c r="Q518" s="1712"/>
      <c r="R518" s="1712"/>
      <c r="S518" s="1712"/>
      <c r="T518" s="1712"/>
      <c r="U518" s="1712"/>
      <c r="V518" s="1712"/>
      <c r="W518" s="1712"/>
      <c r="X518" s="1712"/>
      <c r="Y518" s="1712"/>
      <c r="Z518" s="1712"/>
      <c r="AA518" s="1712"/>
    </row>
    <row r="519" s="2427" customFormat="1" customHeight="1" spans="10:27">
      <c r="J519" s="2429"/>
      <c r="K519" s="1712"/>
      <c r="L519" s="1712"/>
      <c r="M519" s="1712"/>
      <c r="N519" s="1712"/>
      <c r="O519" s="1712"/>
      <c r="P519" s="1712"/>
      <c r="Q519" s="1712"/>
      <c r="R519" s="1712"/>
      <c r="S519" s="1712"/>
      <c r="T519" s="1712"/>
      <c r="U519" s="1712"/>
      <c r="V519" s="1712"/>
      <c r="W519" s="1712"/>
      <c r="X519" s="1712"/>
      <c r="Y519" s="1712"/>
      <c r="Z519" s="1712"/>
      <c r="AA519" s="1712"/>
    </row>
    <row r="520" s="2427" customFormat="1" customHeight="1" spans="6:27">
      <c r="F520" s="2428"/>
      <c r="G520" s="2428"/>
      <c r="H520" s="2428"/>
      <c r="I520" s="2428"/>
      <c r="J520" s="242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3">
      <formula1>"企业提供（在右侧录入）,——"</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tabSelected="1" view="pageBreakPreview" zoomScale="80" zoomScaleNormal="70" topLeftCell="A19" workbookViewId="0">
      <selection activeCell="M30" sqref="M3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1258057</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1"/>
    </row>
    <row r="3" s="1899" customFormat="1" ht="28.5" customHeight="1" spans="1:29">
      <c r="A3" s="402" t="s">
        <v>869</v>
      </c>
      <c r="B3" s="1588">
        <f ca="1">ROUND(IF(D2="——",C49,IF(C2="万元",B2*10000/D3,B2/D3)),0)</f>
        <v>13636</v>
      </c>
      <c r="C3" s="1588" t="s">
        <v>870</v>
      </c>
      <c r="D3" s="1588">
        <f>IF(C1="仅计算典型户型",'数据-取费表'!E5,'数据-取费表'!B5)</f>
        <v>92.26</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2"/>
    </row>
    <row r="4" ht="15" spans="1:29">
      <c r="A4" s="1098" t="s">
        <v>871</v>
      </c>
      <c r="B4" s="1099"/>
      <c r="C4" s="602" t="s">
        <v>872</v>
      </c>
      <c r="D4" s="612"/>
      <c r="E4" s="1100" t="s">
        <v>873</v>
      </c>
      <c r="F4" s="1101"/>
      <c r="G4" s="602" t="s">
        <v>874</v>
      </c>
      <c r="H4" s="612"/>
      <c r="I4" s="602" t="s">
        <v>875</v>
      </c>
      <c r="J4" s="612"/>
      <c r="K4" s="2352"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3"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v>40000</v>
      </c>
      <c r="F7" s="1119">
        <f>SUMIF(58:58,YEAR(E7)&amp;"-"&amp;MONTH(E7),59:59)</f>
        <v>100</v>
      </c>
      <c r="G7" s="1118">
        <v>39902</v>
      </c>
      <c r="H7" s="1117">
        <f>SUMIF(58:58,YEAR(G7)&amp;"-"&amp;MONTH(G7),59:59)</f>
        <v>92</v>
      </c>
      <c r="I7" s="1118">
        <v>39931</v>
      </c>
      <c r="J7" s="1117">
        <f>SUMIF(58:58,YEAR(I7)&amp;"-"&amp;MONTH(I7),59:59)</f>
        <v>94</v>
      </c>
      <c r="K7" s="2354"/>
      <c r="L7" s="1235"/>
      <c r="M7" s="1241"/>
      <c r="N7" s="1241"/>
      <c r="O7" s="1241"/>
      <c r="P7" s="1242" t="s">
        <v>883</v>
      </c>
      <c r="Q7" s="1289"/>
      <c r="R7" s="1290" t="s">
        <v>884</v>
      </c>
      <c r="S7" s="1291">
        <f t="shared" ref="S7:S15" si="0">F7</f>
        <v>100</v>
      </c>
      <c r="T7" s="1290" t="s">
        <v>884</v>
      </c>
      <c r="U7" s="1291">
        <f t="shared" ref="U7:U15" si="1">H7</f>
        <v>92</v>
      </c>
      <c r="V7" s="1290" t="s">
        <v>884</v>
      </c>
      <c r="W7" s="1291">
        <f t="shared" ref="W7:W15" si="2">J7</f>
        <v>94</v>
      </c>
      <c r="X7" s="1292"/>
      <c r="Y7" s="1242" t="s">
        <v>883</v>
      </c>
      <c r="Z7" s="1293"/>
      <c r="AA7" s="1310">
        <f>D7/F7</f>
        <v>1</v>
      </c>
      <c r="AB7" s="1310">
        <f>D7/H7</f>
        <v>1.08695652173913</v>
      </c>
      <c r="AC7" s="1310">
        <f>D7/J7</f>
        <v>1.06382978723404</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4"/>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4"/>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5"/>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5"/>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1612" t="s">
        <v>902</v>
      </c>
      <c r="D26" s="1138">
        <v>100</v>
      </c>
      <c r="E26" s="2341" t="s">
        <v>903</v>
      </c>
      <c r="F26" s="1609">
        <f>SUMIF(88:88,E26,89:89)-SUMIF(88:88,C26,89:89)+100</f>
        <v>99</v>
      </c>
      <c r="G26" s="1186" t="s">
        <v>904</v>
      </c>
      <c r="H26" s="1138">
        <f>SUMIF(88:88,G26,89:89)-SUMIF(88:88,C26,89:89)+100</f>
        <v>102.5</v>
      </c>
      <c r="I26" s="2341" t="s">
        <v>904</v>
      </c>
      <c r="J26" s="1138">
        <f>SUMIF(88:88,I26,89:89)-SUMIF(88:88,C26,89:89)+100</f>
        <v>102.5</v>
      </c>
      <c r="K26" s="2355">
        <v>0.5</v>
      </c>
      <c r="L26" s="1251"/>
      <c r="M26" s="1236"/>
      <c r="N26" s="1236"/>
      <c r="O26" s="1236"/>
      <c r="P26" s="1687"/>
      <c r="Q26" s="491" t="str">
        <f t="shared" si="11"/>
        <v>朝向</v>
      </c>
      <c r="R26" s="1295" t="s">
        <v>884</v>
      </c>
      <c r="S26" s="1296">
        <f>F26</f>
        <v>99</v>
      </c>
      <c r="T26" s="1295" t="s">
        <v>884</v>
      </c>
      <c r="U26" s="1296">
        <f>H26</f>
        <v>102.5</v>
      </c>
      <c r="V26" s="1295" t="s">
        <v>884</v>
      </c>
      <c r="W26" s="1296">
        <f>J26</f>
        <v>102.5</v>
      </c>
      <c r="X26" s="1282"/>
      <c r="Y26" s="1254"/>
      <c r="Z26" s="1281" t="str">
        <f>Q26</f>
        <v>朝向</v>
      </c>
      <c r="AA26" s="1312">
        <f t="shared" si="3"/>
        <v>1.01010101010101</v>
      </c>
      <c r="AB26" s="1312">
        <f t="shared" si="4"/>
        <v>0.975609756097561</v>
      </c>
      <c r="AC26" s="1312">
        <f t="shared" si="5"/>
        <v>0.975609756097561</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6"/>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2" t="s">
        <v>906</v>
      </c>
      <c r="C28" s="2343" t="s">
        <v>907</v>
      </c>
      <c r="D28" s="1138">
        <v>100</v>
      </c>
      <c r="E28" s="2343" t="s">
        <v>908</v>
      </c>
      <c r="F28" s="1609" t="str">
        <f>D93</f>
        <v>96</v>
      </c>
      <c r="G28" s="2343" t="s">
        <v>909</v>
      </c>
      <c r="H28" s="1138" t="str">
        <f>E93</f>
        <v>98</v>
      </c>
      <c r="I28" s="2343" t="s">
        <v>910</v>
      </c>
      <c r="J28" s="1138" t="str">
        <f>F93</f>
        <v>96</v>
      </c>
      <c r="K28" s="2356"/>
      <c r="L28" s="1251"/>
      <c r="M28" s="1236"/>
      <c r="N28" s="1236"/>
      <c r="O28" s="1236"/>
      <c r="P28" s="1687"/>
      <c r="Q28" s="491" t="str">
        <f t="shared" si="11"/>
        <v>楼层</v>
      </c>
      <c r="R28" s="1295" t="s">
        <v>884</v>
      </c>
      <c r="S28" s="1296" t="str">
        <f t="shared" ref="S28:S46" si="12">F28</f>
        <v>96</v>
      </c>
      <c r="T28" s="1295" t="s">
        <v>884</v>
      </c>
      <c r="U28" s="1296" t="str">
        <f t="shared" ref="U28:U46" si="13">H28</f>
        <v>98</v>
      </c>
      <c r="V28" s="1295" t="s">
        <v>884</v>
      </c>
      <c r="W28" s="1296" t="str">
        <f t="shared" ref="W28:W46" si="14">J28</f>
        <v>96</v>
      </c>
      <c r="X28" s="1282"/>
      <c r="Y28" s="1254"/>
      <c r="Z28" s="1281" t="str">
        <f t="shared" ref="Z28:Z46" si="15">Q28</f>
        <v>楼层</v>
      </c>
      <c r="AA28" s="1312">
        <f t="shared" si="3"/>
        <v>1.04166666666667</v>
      </c>
      <c r="AB28" s="1312">
        <f t="shared" si="4"/>
        <v>1.02040816326531</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4" t="s">
        <v>913</v>
      </c>
      <c r="F32" s="1609">
        <f>SUMIF(100:100,E32,101:101)-SUMIF(100:100,C32,101:101)+100</f>
        <v>100</v>
      </c>
      <c r="G32" s="1679" t="s">
        <v>913</v>
      </c>
      <c r="H32" s="1184">
        <f>SUMIF(100:100,G32,101:101)-SUMIF(100:100,C32,101:101)+100</f>
        <v>100</v>
      </c>
      <c r="I32" s="2344" t="s">
        <v>913</v>
      </c>
      <c r="J32" s="1138">
        <f>SUMIF(100:100,I32,101:101)-SUMIF(100:100,C32,101:101)+100</f>
        <v>100</v>
      </c>
      <c r="K32" s="2355"/>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92.26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6"/>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5"/>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5"/>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5"/>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5">
        <v>0.87</v>
      </c>
      <c r="F37" s="1611">
        <f>LOOKUP(E37,112:112,113:113)-LOOKUP(C37,112:112,113:113)+100</f>
        <v>100</v>
      </c>
      <c r="G37" s="2346">
        <v>0.87</v>
      </c>
      <c r="H37" s="1129">
        <f>LOOKUP(G37,112:112,113:113)-LOOKUP(C37,112:112,113:113)+100</f>
        <v>100</v>
      </c>
      <c r="I37" s="2345">
        <v>0.87</v>
      </c>
      <c r="J37" s="1129">
        <f>LOOKUP(I37,112:112,113:113)-LOOKUP(C37,112:112,113:113)+100</f>
        <v>100</v>
      </c>
      <c r="K37" s="2355"/>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5"/>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5"/>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5"/>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5">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5"/>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0"/>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13636</v>
      </c>
      <c r="D48" s="831" t="s">
        <v>932</v>
      </c>
      <c r="E48" s="1626">
        <f>R48</f>
        <v>12471</v>
      </c>
      <c r="F48" s="832"/>
      <c r="G48" s="1625">
        <f>T48</f>
        <v>13899</v>
      </c>
      <c r="H48" s="832"/>
      <c r="I48" s="1626">
        <f>V48</f>
        <v>14539</v>
      </c>
      <c r="J48" s="832"/>
      <c r="K48" s="2361">
        <f>F48+H48+J48</f>
        <v>0</v>
      </c>
      <c r="L48" s="1271"/>
      <c r="P48" s="491" t="str">
        <f>A48</f>
        <v>比较价值（元/平方米）</v>
      </c>
      <c r="Q48" s="491"/>
      <c r="R48" s="1312">
        <f>IF(E1="售价",ROUND(PRODUCT(R47,AA7:AA46),0),ROUND(PRODUCT(R47,AA7:AA46),1))</f>
        <v>12471</v>
      </c>
      <c r="S48" s="1312"/>
      <c r="T48" s="2369">
        <f>IF(E1="售价",ROUND(PRODUCT(T47,AB7:AB46),0),ROUND(PRODUCT(T47,AB7:AB46),1))</f>
        <v>13899</v>
      </c>
      <c r="U48" s="2370"/>
      <c r="V48" s="1312">
        <f>IF(E1="售价",ROUND(PRODUCT(V47,AC7:AC46),0),ROUND(PRODUCT(V47,AC7:AC46),1))</f>
        <v>14539</v>
      </c>
      <c r="W48" s="1312"/>
      <c r="X48" s="1300"/>
      <c r="Y48" s="1300"/>
      <c r="Z48" s="1300"/>
      <c r="AA48" s="1300"/>
      <c r="AB48" s="1300"/>
      <c r="AC48" s="1300"/>
    </row>
    <row r="49" ht="15.75" spans="1:29">
      <c r="A49" s="1205" t="s">
        <v>933</v>
      </c>
      <c r="B49" s="1206"/>
      <c r="C49" s="2347">
        <f>R49</f>
        <v>13636</v>
      </c>
      <c r="D49" s="1627"/>
      <c r="E49" s="1627"/>
      <c r="F49" s="1627"/>
      <c r="G49" s="1627"/>
      <c r="H49" s="1627"/>
      <c r="I49" s="1627"/>
      <c r="J49" s="1627"/>
      <c r="K49" s="2362"/>
      <c r="L49" s="1271"/>
      <c r="P49" s="1273" t="str">
        <f>A49</f>
        <v>估价对象XX用房的比较价值（楼面单价，元/平方米）</v>
      </c>
      <c r="Q49" s="1302"/>
      <c r="R49" s="1647">
        <f>IF(E1="售价",ROUND(IF(D48="简单平均",AVERAGE(R48:V48),R48*F48+T48*H48+V48*J48),0),ROUND(IF(D48="简单平均",AVERAGE(R48:V48),R48*F48+T48*H48+V48*J48),1))</f>
        <v>13636</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0.0213759213759215</v>
      </c>
      <c r="F52" s="1210" t="str">
        <f>IF(OR(E52&gt;=0.3,E52&lt;=-0.3),"超过30%","")</f>
        <v/>
      </c>
      <c r="G52" s="1209">
        <f>IF(G47&lt;G48,G48/G47-1,G47/G48-1)</f>
        <v>0.0713790179603793</v>
      </c>
      <c r="H52" s="1210" t="str">
        <f>IF(OR(G52&gt;=0.3,G52&lt;=-0.3),"超过30%","")</f>
        <v/>
      </c>
      <c r="I52" s="1209">
        <f>IF(I47&lt;I48,I48/I47-1,I47/I48-1)</f>
        <v>0.0395395395395395</v>
      </c>
      <c r="J52" s="1210" t="str">
        <f>IF(OR(I52&gt;=0.3,I52&lt;=-0.3),"超过30%","")</f>
        <v/>
      </c>
    </row>
    <row r="53" ht="13.5" customHeight="1" spans="3:10">
      <c r="C53" s="838" t="s">
        <v>935</v>
      </c>
      <c r="D53" s="529"/>
      <c r="E53" s="1209">
        <f>IF(E48&lt;G48,G48/E48-1,E48/G48-1)</f>
        <v>0.114505653115227</v>
      </c>
      <c r="F53" s="1210" t="str">
        <f>IF(OR(E53&gt;=0.2,E53&lt;=-0.2),"超过20%","")</f>
        <v/>
      </c>
      <c r="G53" s="1209">
        <f>IF(G48&lt;I48,I48/G48-1,G48/I48-1)</f>
        <v>0.0460464781638967</v>
      </c>
      <c r="H53" s="1210" t="str">
        <f>IF(OR(G53&gt;=0.2,G53&lt;=-0.2),"超过20%","")</f>
        <v/>
      </c>
      <c r="I53" s="1209">
        <f>IF(I48&lt;E48,E48/I48-1,I48/E48-1)</f>
        <v>0.165824713334937</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3"/>
    </row>
    <row r="55" s="1083" customFormat="1" spans="2:16">
      <c r="B55" s="1211"/>
      <c r="C55" s="1212"/>
      <c r="K55" s="1274"/>
      <c r="L55" s="1275"/>
      <c r="P55" s="2363"/>
    </row>
    <row r="56" spans="2:3">
      <c r="B56" s="1211"/>
      <c r="C56" s="1212"/>
    </row>
    <row r="57" ht="21" spans="1:17">
      <c r="A57" s="1323" t="s">
        <v>937</v>
      </c>
      <c r="B57" s="1300"/>
      <c r="C57" s="1324"/>
      <c r="D57" s="1324"/>
      <c r="E57" s="1324"/>
      <c r="F57" s="1324"/>
      <c r="G57" s="1324"/>
      <c r="H57" s="1324"/>
      <c r="I57" s="1324"/>
      <c r="J57" s="1324"/>
      <c r="K57" s="1640"/>
      <c r="L57" s="2364"/>
      <c r="M57" s="1642"/>
      <c r="N57" s="1642"/>
      <c r="O57" s="1642"/>
      <c r="P57" s="2365"/>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f>C59-$C$60</f>
        <v>98</v>
      </c>
      <c r="E59" s="1339">
        <f t="shared" ref="E59:M59" si="17">D59-$C$60</f>
        <v>96</v>
      </c>
      <c r="F59" s="1339">
        <f t="shared" si="17"/>
        <v>94</v>
      </c>
      <c r="G59" s="1339">
        <f t="shared" si="17"/>
        <v>92</v>
      </c>
      <c r="H59" s="1339">
        <f t="shared" si="17"/>
        <v>90</v>
      </c>
      <c r="I59" s="1339">
        <f t="shared" si="17"/>
        <v>88</v>
      </c>
      <c r="J59" s="1339">
        <f t="shared" si="17"/>
        <v>86</v>
      </c>
      <c r="K59" s="1339">
        <f t="shared" si="17"/>
        <v>84</v>
      </c>
      <c r="L59" s="1339">
        <f t="shared" si="17"/>
        <v>82</v>
      </c>
      <c r="M59" s="1339">
        <f t="shared" si="17"/>
        <v>80</v>
      </c>
      <c r="N59" s="1339"/>
      <c r="O59" s="1644"/>
      <c r="P59" s="1695"/>
    </row>
    <row r="60" s="1080" customFormat="1" ht="15.75" spans="1:17">
      <c r="A60" s="1331" t="s">
        <v>938</v>
      </c>
      <c r="B60" s="1332"/>
      <c r="C60" s="1333">
        <v>2</v>
      </c>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6"/>
      <c r="O61" s="2366"/>
      <c r="P61" s="1696"/>
      <c r="Q61" s="1382"/>
    </row>
    <row r="62" s="1080" customFormat="1" ht="15.75" spans="1:17">
      <c r="A62" s="1335"/>
      <c r="B62" s="1336"/>
      <c r="C62" s="1633">
        <v>100</v>
      </c>
      <c r="D62" s="1339"/>
      <c r="E62" s="1339"/>
      <c r="F62" s="1339"/>
      <c r="G62" s="1339"/>
      <c r="H62" s="1339"/>
      <c r="I62" s="1339"/>
      <c r="J62" s="1339"/>
      <c r="K62" s="1339"/>
      <c r="L62" s="1339"/>
      <c r="M62" s="1388"/>
      <c r="N62" s="2366"/>
      <c r="O62" s="2366"/>
      <c r="P62" s="1695"/>
      <c r="Q62" s="1382"/>
    </row>
    <row r="63" spans="1:17">
      <c r="A63" s="1340" t="s">
        <v>939</v>
      </c>
      <c r="B63" s="1341" t="s">
        <v>890</v>
      </c>
      <c r="C63" s="1361" t="str">
        <f>C9</f>
        <v>住宅</v>
      </c>
      <c r="D63" s="1268"/>
      <c r="E63" s="1268"/>
      <c r="F63" s="1268"/>
      <c r="G63" s="1268"/>
      <c r="H63" s="1268"/>
      <c r="I63" s="1268"/>
      <c r="J63" s="1268"/>
      <c r="K63" s="1032"/>
      <c r="L63" s="1032"/>
      <c r="M63" s="1389"/>
      <c r="N63" s="2367"/>
      <c r="O63" s="2367"/>
      <c r="P63" s="1697"/>
      <c r="Q63" s="1382"/>
    </row>
    <row r="64" ht="15.75" spans="1:17">
      <c r="A64" s="1342"/>
      <c r="B64" s="1343"/>
      <c r="C64" s="1344">
        <v>100</v>
      </c>
      <c r="D64" s="1344"/>
      <c r="E64" s="1344"/>
      <c r="F64" s="1344"/>
      <c r="G64" s="1344"/>
      <c r="H64" s="1344"/>
      <c r="I64" s="1344"/>
      <c r="J64" s="1344"/>
      <c r="K64" s="1344"/>
      <c r="L64" s="1344"/>
      <c r="M64" s="1392"/>
      <c r="N64" s="2368"/>
      <c r="O64" s="2368"/>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7"/>
      <c r="O65" s="2367"/>
      <c r="P65" s="1697"/>
      <c r="Q65" s="1382"/>
    </row>
    <row r="66" ht="15.75" spans="1:17">
      <c r="A66" s="1342"/>
      <c r="B66" s="1347"/>
      <c r="C66" s="1348">
        <v>100</v>
      </c>
      <c r="D66" s="1348">
        <f t="shared" ref="D66:I66" si="18">C66-$K10</f>
        <v>100</v>
      </c>
      <c r="E66" s="1348">
        <f t="shared" si="18"/>
        <v>100</v>
      </c>
      <c r="F66" s="1348">
        <f t="shared" si="18"/>
        <v>100</v>
      </c>
      <c r="G66" s="1348">
        <f t="shared" si="18"/>
        <v>100</v>
      </c>
      <c r="H66" s="1348">
        <f t="shared" si="18"/>
        <v>100</v>
      </c>
      <c r="I66" s="1348">
        <f t="shared" si="18"/>
        <v>100</v>
      </c>
      <c r="J66" s="1348"/>
      <c r="K66" s="1348"/>
      <c r="L66" s="1348"/>
      <c r="M66" s="1395"/>
      <c r="N66" s="2368"/>
      <c r="O66" s="2368"/>
      <c r="P66" s="1697"/>
      <c r="Q66" s="1382"/>
    </row>
    <row r="67" ht="15.75" spans="1:17">
      <c r="A67" s="1342"/>
      <c r="B67" s="1349" t="s">
        <v>894</v>
      </c>
      <c r="C67" s="1350" t="str">
        <f>C68&amp;"（含）"&amp;"-"&amp;D68</f>
        <v>0（含）-1</v>
      </c>
      <c r="D67" s="1350" t="str">
        <f t="shared" ref="D67:L67" si="19">D68&amp;"（含）"&amp;"-"&amp;E68</f>
        <v>1（含）-2</v>
      </c>
      <c r="E67" s="1350" t="str">
        <f t="shared" si="19"/>
        <v>2（含）-3</v>
      </c>
      <c r="F67" s="1350" t="str">
        <f t="shared" si="19"/>
        <v>3（含）-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368"/>
      <c r="O67" s="2368"/>
      <c r="P67" s="1697"/>
      <c r="Q67" s="1382"/>
    </row>
    <row r="68" ht="15" spans="1:17">
      <c r="A68" s="1342"/>
      <c r="B68" s="1351"/>
      <c r="C68" s="1139">
        <v>0</v>
      </c>
      <c r="D68" s="1139">
        <v>1</v>
      </c>
      <c r="E68" s="1139">
        <v>2</v>
      </c>
      <c r="F68" s="1139">
        <v>3</v>
      </c>
      <c r="G68" s="1139"/>
      <c r="H68" s="1139"/>
      <c r="I68" s="1139"/>
      <c r="J68" s="1139"/>
      <c r="K68" s="1043"/>
      <c r="L68" s="1043"/>
      <c r="M68" s="1396"/>
      <c r="N68" s="2367"/>
      <c r="O68" s="2367"/>
      <c r="P68" s="1697"/>
      <c r="Q68" s="1382"/>
    </row>
    <row r="69" ht="15.7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368"/>
      <c r="O69" s="2368"/>
      <c r="P69" s="1697"/>
      <c r="Q69" s="1382"/>
    </row>
    <row r="70" s="1082" customFormat="1" ht="15.75" spans="1:17">
      <c r="A70" s="1352"/>
      <c r="B70" s="1345">
        <f>B12</f>
        <v>111</v>
      </c>
      <c r="C70" s="1353"/>
      <c r="D70" s="1353"/>
      <c r="E70" s="1353"/>
      <c r="F70" s="1353"/>
      <c r="G70" s="1353"/>
      <c r="H70" s="1045"/>
      <c r="I70" s="1045"/>
      <c r="J70" s="1045"/>
      <c r="K70" s="1045"/>
      <c r="L70" s="1045"/>
      <c r="M70" s="1397"/>
      <c r="N70" s="2380"/>
      <c r="O70" s="2380"/>
      <c r="P70" s="1702"/>
      <c r="Q70" s="1414"/>
    </row>
    <row r="71" s="1082" customFormat="1" ht="15.75" spans="1:17">
      <c r="A71" s="1352"/>
      <c r="B71" s="1347"/>
      <c r="C71" s="1354"/>
      <c r="D71" s="1344"/>
      <c r="E71" s="1344"/>
      <c r="F71" s="1344"/>
      <c r="G71" s="1344"/>
      <c r="H71" s="1344"/>
      <c r="I71" s="1344"/>
      <c r="J71" s="1344"/>
      <c r="K71" s="1344"/>
      <c r="L71" s="1344"/>
      <c r="M71" s="1392"/>
      <c r="N71" s="2368"/>
      <c r="O71" s="2368"/>
      <c r="P71" s="1702"/>
      <c r="Q71" s="1414"/>
    </row>
    <row r="72" s="1082" customFormat="1" ht="15.75" spans="1:17">
      <c r="A72" s="1352"/>
      <c r="B72" s="1345">
        <f>B13</f>
        <v>111</v>
      </c>
      <c r="C72" s="1353"/>
      <c r="D72" s="1353"/>
      <c r="E72" s="1353"/>
      <c r="F72" s="1353"/>
      <c r="G72" s="1353"/>
      <c r="H72" s="1045"/>
      <c r="I72" s="1045"/>
      <c r="J72" s="1045"/>
      <c r="K72" s="1045"/>
      <c r="L72" s="1045"/>
      <c r="M72" s="1397"/>
      <c r="N72" s="2380"/>
      <c r="O72" s="2380"/>
      <c r="P72" s="1703"/>
      <c r="Q72" s="1415"/>
    </row>
    <row r="73" s="1082" customFormat="1" ht="15.75" spans="1:17">
      <c r="A73" s="1352"/>
      <c r="B73" s="1347"/>
      <c r="C73" s="1354"/>
      <c r="D73" s="1354"/>
      <c r="E73" s="1354"/>
      <c r="F73" s="1354"/>
      <c r="G73" s="1354"/>
      <c r="H73" s="1355"/>
      <c r="I73" s="1355"/>
      <c r="J73" s="1355"/>
      <c r="K73" s="1355"/>
      <c r="L73" s="1355"/>
      <c r="M73" s="1400"/>
      <c r="N73" s="2380"/>
      <c r="O73" s="2380"/>
      <c r="P73" s="1702"/>
      <c r="Q73" s="1414"/>
    </row>
    <row r="74" s="1082" customFormat="1" ht="15.75" spans="1:17">
      <c r="A74" s="1352"/>
      <c r="B74" s="1349">
        <f>B14</f>
        <v>111</v>
      </c>
      <c r="C74" s="1353"/>
      <c r="D74" s="1353"/>
      <c r="E74" s="1353"/>
      <c r="F74" s="1353"/>
      <c r="G74" s="1026"/>
      <c r="H74" s="1050"/>
      <c r="I74" s="1050"/>
      <c r="J74" s="1050"/>
      <c r="K74" s="1050"/>
      <c r="L74" s="1050"/>
      <c r="M74" s="1401"/>
      <c r="N74" s="2380"/>
      <c r="O74" s="2380"/>
      <c r="P74" s="1702"/>
      <c r="Q74" s="1414"/>
    </row>
    <row r="75" s="1082" customFormat="1" ht="15.75" spans="1:17">
      <c r="A75" s="1356"/>
      <c r="B75" s="1357"/>
      <c r="C75" s="1358"/>
      <c r="D75" s="1358"/>
      <c r="E75" s="1358"/>
      <c r="F75" s="1358"/>
      <c r="G75" s="1358"/>
      <c r="H75" s="1359"/>
      <c r="I75" s="1359"/>
      <c r="J75" s="1359"/>
      <c r="K75" s="1359"/>
      <c r="L75" s="1359"/>
      <c r="M75" s="1402"/>
      <c r="N75" s="2380"/>
      <c r="O75" s="2380"/>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7"/>
      <c r="O76" s="236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8"/>
      <c r="O77" s="236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7"/>
      <c r="O78" s="236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8"/>
      <c r="O79" s="236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7"/>
      <c r="O80" s="236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8"/>
      <c r="O81" s="2368"/>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8"/>
      <c r="O82" s="236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8"/>
      <c r="O83" s="2368"/>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7"/>
      <c r="O84" s="236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8"/>
      <c r="O85" s="2368"/>
      <c r="P85" s="1697"/>
      <c r="Q85" s="1382"/>
    </row>
    <row r="86" s="1080" customFormat="1" ht="15.75" spans="1:17">
      <c r="A86" s="1362"/>
      <c r="B86" s="1345" t="s">
        <v>900</v>
      </c>
      <c r="C86" s="1353"/>
      <c r="D86" s="1353"/>
      <c r="E86" s="1353"/>
      <c r="F86" s="1353"/>
      <c r="G86" s="1353"/>
      <c r="H86" s="1353"/>
      <c r="I86" s="1353"/>
      <c r="J86" s="1353"/>
      <c r="K86" s="1353"/>
      <c r="L86" s="1353"/>
      <c r="M86" s="1655"/>
      <c r="N86" s="2366"/>
      <c r="O86" s="2366"/>
      <c r="P86" s="1697"/>
      <c r="Q86" s="1382"/>
    </row>
    <row r="87" s="1080" customFormat="1" ht="15.7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368"/>
      <c r="O87" s="2368"/>
      <c r="P87" s="1697"/>
      <c r="Q87" s="1382"/>
    </row>
    <row r="88" s="1080" customFormat="1" ht="15.75" spans="1:17">
      <c r="A88" s="1362"/>
      <c r="B88" s="1345" t="s">
        <v>901</v>
      </c>
      <c r="C88" s="2373" t="s">
        <v>904</v>
      </c>
      <c r="D88" s="2373" t="s">
        <v>952</v>
      </c>
      <c r="E88" s="2373" t="s">
        <v>953</v>
      </c>
      <c r="F88" s="2374" t="s">
        <v>954</v>
      </c>
      <c r="G88" s="2373" t="s">
        <v>955</v>
      </c>
      <c r="H88" s="2373" t="s">
        <v>902</v>
      </c>
      <c r="I88" s="2373" t="s">
        <v>956</v>
      </c>
      <c r="J88" s="2373" t="s">
        <v>903</v>
      </c>
      <c r="K88" s="1353"/>
      <c r="L88" s="1353"/>
      <c r="M88" s="1655"/>
      <c r="N88" s="2366"/>
      <c r="O88" s="2366"/>
      <c r="P88" s="1697"/>
      <c r="Q88" s="1382"/>
    </row>
    <row r="89" s="1080" customFormat="1" ht="15.75" spans="1:17">
      <c r="A89" s="1362"/>
      <c r="B89" s="1347"/>
      <c r="C89" s="1363">
        <v>100</v>
      </c>
      <c r="D89" s="1348">
        <f t="shared" ref="D89:M89" si="22">C89-$K26</f>
        <v>99.5</v>
      </c>
      <c r="E89" s="1348">
        <f t="shared" si="22"/>
        <v>99</v>
      </c>
      <c r="F89" s="1348">
        <f t="shared" si="22"/>
        <v>98.5</v>
      </c>
      <c r="G89" s="1348">
        <f t="shared" si="22"/>
        <v>98</v>
      </c>
      <c r="H89" s="1348">
        <f t="shared" si="22"/>
        <v>97.5</v>
      </c>
      <c r="I89" s="1348">
        <f t="shared" si="22"/>
        <v>97</v>
      </c>
      <c r="J89" s="1348">
        <f t="shared" si="22"/>
        <v>96.5</v>
      </c>
      <c r="K89" s="1348">
        <f t="shared" si="22"/>
        <v>96</v>
      </c>
      <c r="L89" s="1348">
        <f t="shared" si="22"/>
        <v>95.5</v>
      </c>
      <c r="M89" s="1348">
        <f t="shared" si="22"/>
        <v>95</v>
      </c>
      <c r="N89" s="2368"/>
      <c r="O89" s="2368"/>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0"/>
      <c r="O90" s="2380"/>
      <c r="P90" s="1702"/>
      <c r="Q90" s="1414"/>
    </row>
    <row r="91" s="1082" customFormat="1" ht="15.75" spans="1:17">
      <c r="A91" s="1352"/>
      <c r="B91" s="1347"/>
      <c r="C91" s="1354"/>
      <c r="D91" s="1354"/>
      <c r="E91" s="1354"/>
      <c r="F91" s="1354"/>
      <c r="G91" s="1354"/>
      <c r="H91" s="1355"/>
      <c r="I91" s="1355"/>
      <c r="J91" s="1355"/>
      <c r="K91" s="1355"/>
      <c r="L91" s="1355"/>
      <c r="M91" s="1400"/>
      <c r="N91" s="2380"/>
      <c r="O91" s="2380"/>
      <c r="P91" s="1702"/>
      <c r="Q91" s="1414"/>
    </row>
    <row r="92" ht="15.75" spans="1:17">
      <c r="A92" s="1342"/>
      <c r="B92" s="1345" t="str">
        <f>B28</f>
        <v>楼层</v>
      </c>
      <c r="C92" s="2375" t="s">
        <v>907</v>
      </c>
      <c r="D92" s="2375" t="s">
        <v>908</v>
      </c>
      <c r="E92" s="2375" t="s">
        <v>909</v>
      </c>
      <c r="F92" s="2375" t="s">
        <v>910</v>
      </c>
      <c r="G92" s="1366"/>
      <c r="H92" s="1366"/>
      <c r="I92" s="1366"/>
      <c r="J92" s="1366"/>
      <c r="K92" s="1065"/>
      <c r="L92" s="1065"/>
      <c r="M92" s="1408"/>
      <c r="N92" s="2367"/>
      <c r="O92" s="2367"/>
      <c r="P92" s="1697"/>
      <c r="Q92" s="1382"/>
    </row>
    <row r="93" ht="15.75" spans="1:17">
      <c r="A93" s="1342"/>
      <c r="B93" s="1347"/>
      <c r="C93" s="2376" t="s">
        <v>957</v>
      </c>
      <c r="D93" s="2377" t="s">
        <v>958</v>
      </c>
      <c r="E93" s="2377" t="s">
        <v>959</v>
      </c>
      <c r="F93" s="2377" t="s">
        <v>958</v>
      </c>
      <c r="G93" s="1344"/>
      <c r="H93" s="1344"/>
      <c r="I93" s="1344"/>
      <c r="J93" s="1344"/>
      <c r="K93" s="1344"/>
      <c r="L93" s="1344"/>
      <c r="M93" s="1392"/>
      <c r="N93" s="2368"/>
      <c r="O93" s="2368"/>
      <c r="P93" s="1697"/>
      <c r="Q93" s="1382"/>
    </row>
    <row r="94" ht="15.75" spans="1:17">
      <c r="A94" s="1342"/>
      <c r="B94" s="1345">
        <f>B29</f>
        <v>111</v>
      </c>
      <c r="C94" s="1353"/>
      <c r="D94" s="1353"/>
      <c r="E94" s="1353"/>
      <c r="F94" s="1353"/>
      <c r="G94" s="1366"/>
      <c r="H94" s="1366"/>
      <c r="I94" s="1366"/>
      <c r="J94" s="1366"/>
      <c r="K94" s="1065"/>
      <c r="L94" s="1065"/>
      <c r="M94" s="1408"/>
      <c r="N94" s="2367"/>
      <c r="O94" s="2367"/>
      <c r="P94" s="1697"/>
      <c r="Q94" s="1382"/>
    </row>
    <row r="95" ht="15.75" spans="1:17">
      <c r="A95" s="1342"/>
      <c r="B95" s="1347"/>
      <c r="C95" s="1354"/>
      <c r="D95" s="1354"/>
      <c r="E95" s="1354"/>
      <c r="F95" s="1354"/>
      <c r="G95" s="1344"/>
      <c r="H95" s="1344"/>
      <c r="I95" s="1344"/>
      <c r="J95" s="1344"/>
      <c r="K95" s="1344"/>
      <c r="L95" s="1344"/>
      <c r="M95" s="1392"/>
      <c r="N95" s="2368"/>
      <c r="O95" s="2368"/>
      <c r="P95" s="1697"/>
      <c r="Q95" s="1382"/>
    </row>
    <row r="96" ht="15.75" spans="1:17">
      <c r="A96" s="1342"/>
      <c r="B96" s="1345">
        <f>B30</f>
        <v>111</v>
      </c>
      <c r="C96" s="1353"/>
      <c r="D96" s="1353"/>
      <c r="E96" s="1353"/>
      <c r="F96" s="1353"/>
      <c r="G96" s="1366"/>
      <c r="H96" s="1366"/>
      <c r="I96" s="1366"/>
      <c r="J96" s="1366"/>
      <c r="K96" s="1065"/>
      <c r="L96" s="1065"/>
      <c r="M96" s="1408"/>
      <c r="N96" s="2367"/>
      <c r="O96" s="2367"/>
      <c r="P96" s="1697"/>
      <c r="Q96" s="1382"/>
    </row>
    <row r="97" ht="15.75" spans="1:17">
      <c r="A97" s="1342"/>
      <c r="B97" s="1347"/>
      <c r="C97" s="1358"/>
      <c r="D97" s="1358"/>
      <c r="E97" s="1358"/>
      <c r="F97" s="1358"/>
      <c r="G97" s="1344"/>
      <c r="H97" s="1344"/>
      <c r="I97" s="1344"/>
      <c r="J97" s="1344"/>
      <c r="K97" s="1344"/>
      <c r="L97" s="1344"/>
      <c r="M97" s="1392"/>
      <c r="N97" s="2368"/>
      <c r="O97" s="2368"/>
      <c r="P97" s="1697"/>
      <c r="Q97" s="1382"/>
    </row>
    <row r="98" ht="15.75" spans="1:17">
      <c r="A98" s="1342"/>
      <c r="B98" s="1349">
        <f>B31</f>
        <v>111</v>
      </c>
      <c r="C98" s="1367"/>
      <c r="D98" s="1367"/>
      <c r="E98" s="1367"/>
      <c r="F98" s="1367"/>
      <c r="G98" s="1367"/>
      <c r="H98" s="1367"/>
      <c r="I98" s="1367"/>
      <c r="J98" s="1367"/>
      <c r="K98" s="1068"/>
      <c r="L98" s="1068"/>
      <c r="M98" s="1409"/>
      <c r="N98" s="2367"/>
      <c r="O98" s="2367"/>
      <c r="P98" s="1697"/>
      <c r="Q98" s="1382"/>
    </row>
    <row r="99" ht="15.75" spans="1:17">
      <c r="A99" s="1653"/>
      <c r="B99" s="1357"/>
      <c r="C99" s="1368"/>
      <c r="D99" s="1368"/>
      <c r="E99" s="1368"/>
      <c r="F99" s="1368"/>
      <c r="G99" s="1368"/>
      <c r="H99" s="1368"/>
      <c r="I99" s="1368"/>
      <c r="J99" s="1368"/>
      <c r="K99" s="1368"/>
      <c r="L99" s="1368"/>
      <c r="M99" s="1410"/>
      <c r="N99" s="2368"/>
      <c r="O99" s="2368"/>
      <c r="P99" s="1697"/>
      <c r="Q99" s="1382"/>
    </row>
    <row r="100" spans="1:17">
      <c r="A100" s="1340" t="s">
        <v>911</v>
      </c>
      <c r="B100" s="1341" t="s">
        <v>912</v>
      </c>
      <c r="C100" s="2378" t="s">
        <v>913</v>
      </c>
      <c r="D100" s="1268"/>
      <c r="E100" s="1268"/>
      <c r="F100" s="1268"/>
      <c r="G100" s="1268"/>
      <c r="H100" s="1268"/>
      <c r="I100" s="1268"/>
      <c r="J100" s="1268"/>
      <c r="K100" s="1032"/>
      <c r="L100" s="1032"/>
      <c r="M100" s="1389"/>
      <c r="N100" s="2367"/>
      <c r="O100" s="2367"/>
      <c r="P100" s="1697"/>
      <c r="Q100" s="1382"/>
    </row>
    <row r="101" ht="15.75" spans="1:17">
      <c r="A101" s="1342"/>
      <c r="B101" s="1347"/>
      <c r="C101" s="1348">
        <v>100</v>
      </c>
      <c r="D101" s="1348">
        <f t="shared" ref="D101:M101" si="23">C101-$K32</f>
        <v>100</v>
      </c>
      <c r="E101" s="1348">
        <f t="shared" si="23"/>
        <v>100</v>
      </c>
      <c r="F101" s="1348">
        <f t="shared" si="23"/>
        <v>100</v>
      </c>
      <c r="G101" s="1348">
        <f t="shared" si="23"/>
        <v>100</v>
      </c>
      <c r="H101" s="1348">
        <f t="shared" si="23"/>
        <v>100</v>
      </c>
      <c r="I101" s="1348">
        <f t="shared" si="23"/>
        <v>100</v>
      </c>
      <c r="J101" s="1348">
        <f t="shared" si="23"/>
        <v>100</v>
      </c>
      <c r="K101" s="1348">
        <f t="shared" si="23"/>
        <v>100</v>
      </c>
      <c r="L101" s="1348">
        <f t="shared" si="23"/>
        <v>100</v>
      </c>
      <c r="M101" s="1348">
        <f t="shared" si="23"/>
        <v>100</v>
      </c>
      <c r="N101" s="2368"/>
      <c r="O101" s="2368"/>
      <c r="P101" s="1697"/>
      <c r="Q101" s="1382"/>
    </row>
    <row r="102" ht="15.75" spans="1:17">
      <c r="A102" s="1342"/>
      <c r="B102" s="1345" t="s">
        <v>915</v>
      </c>
      <c r="C102" s="1058" t="str">
        <f>C103&amp;"(含)"&amp;"-"&amp;D103</f>
        <v>0(含)-50</v>
      </c>
      <c r="D102" s="1058" t="str">
        <f t="shared" ref="D102:L102" si="24">D103&amp;"(含)"&amp;"-"&amp;E103</f>
        <v>50(含)-70</v>
      </c>
      <c r="E102" s="1058" t="str">
        <f t="shared" si="24"/>
        <v>70(含)-90</v>
      </c>
      <c r="F102" s="1058" t="str">
        <f t="shared" si="24"/>
        <v>90(含)-120</v>
      </c>
      <c r="G102" s="1058" t="str">
        <f t="shared" si="24"/>
        <v>120(含)-150</v>
      </c>
      <c r="H102" s="1058" t="str">
        <f t="shared" si="24"/>
        <v>150(含)-</v>
      </c>
      <c r="I102" s="1058" t="str">
        <f t="shared" si="24"/>
        <v>(含)-</v>
      </c>
      <c r="J102" s="1058" t="str">
        <f t="shared" si="24"/>
        <v>(含)-</v>
      </c>
      <c r="K102" s="1058" t="str">
        <f t="shared" si="24"/>
        <v>(含)-</v>
      </c>
      <c r="L102" s="1058" t="str">
        <f t="shared" si="24"/>
        <v>(含)-</v>
      </c>
      <c r="M102" s="1058" t="str">
        <f>M103&amp;"(含)"&amp;"-"&amp;P103</f>
        <v>(含)-</v>
      </c>
      <c r="N102" s="2366"/>
      <c r="O102" s="2366"/>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0"/>
      <c r="O103" s="2380"/>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8"/>
      <c r="O104" s="2368"/>
      <c r="P104" s="1702"/>
      <c r="Q104" s="1414"/>
    </row>
    <row r="105" ht="15.75" spans="1:17">
      <c r="A105" s="1372"/>
      <c r="B105" s="1345" t="s">
        <v>916</v>
      </c>
      <c r="C105" s="2373" t="s">
        <v>917</v>
      </c>
      <c r="D105" s="1353"/>
      <c r="E105" s="1366"/>
      <c r="F105" s="1366"/>
      <c r="G105" s="1366"/>
      <c r="H105" s="1366"/>
      <c r="I105" s="1366"/>
      <c r="J105" s="1366"/>
      <c r="K105" s="1065"/>
      <c r="L105" s="1065"/>
      <c r="M105" s="1408"/>
      <c r="N105" s="2367"/>
      <c r="O105" s="2367"/>
      <c r="P105" s="1697"/>
      <c r="Q105" s="1382"/>
    </row>
    <row r="106" ht="15.75" spans="1:17">
      <c r="A106" s="1342"/>
      <c r="B106" s="1347"/>
      <c r="C106" s="1348">
        <v>100</v>
      </c>
      <c r="D106" s="1348">
        <f t="shared" ref="D106:M106" si="25">C106-$K34</f>
        <v>100</v>
      </c>
      <c r="E106" s="1348">
        <f t="shared" si="25"/>
        <v>100</v>
      </c>
      <c r="F106" s="1348">
        <f t="shared" si="25"/>
        <v>100</v>
      </c>
      <c r="G106" s="1348">
        <f t="shared" si="25"/>
        <v>100</v>
      </c>
      <c r="H106" s="1348">
        <f t="shared" si="25"/>
        <v>100</v>
      </c>
      <c r="I106" s="1348">
        <f t="shared" si="25"/>
        <v>100</v>
      </c>
      <c r="J106" s="1348">
        <f t="shared" si="25"/>
        <v>100</v>
      </c>
      <c r="K106" s="1348">
        <f t="shared" si="25"/>
        <v>100</v>
      </c>
      <c r="L106" s="1348">
        <f t="shared" si="25"/>
        <v>100</v>
      </c>
      <c r="M106" s="1348">
        <f t="shared" si="25"/>
        <v>100</v>
      </c>
      <c r="N106" s="2368"/>
      <c r="O106" s="2368"/>
      <c r="P106" s="1697"/>
      <c r="Q106" s="1382"/>
    </row>
    <row r="107" ht="15.75" spans="1:17">
      <c r="A107" s="1372"/>
      <c r="B107" s="1345" t="s">
        <v>918</v>
      </c>
      <c r="C107" s="2379" t="s">
        <v>919</v>
      </c>
      <c r="D107" s="2379" t="s">
        <v>897</v>
      </c>
      <c r="E107" s="1366"/>
      <c r="F107" s="1366"/>
      <c r="G107" s="1366"/>
      <c r="H107" s="1366"/>
      <c r="I107" s="1366"/>
      <c r="J107" s="1366"/>
      <c r="K107" s="1065"/>
      <c r="L107" s="1065"/>
      <c r="M107" s="1408"/>
      <c r="N107" s="2367"/>
      <c r="O107" s="2367"/>
      <c r="P107" s="1697"/>
      <c r="Q107" s="1382"/>
    </row>
    <row r="108" ht="15.7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368"/>
      <c r="O108" s="2368"/>
      <c r="P108" s="1697"/>
      <c r="Q108" s="1382"/>
    </row>
    <row r="109" ht="15.75" spans="1:17">
      <c r="A109" s="1372"/>
      <c r="B109" s="1345" t="s">
        <v>920</v>
      </c>
      <c r="C109" s="2373" t="s">
        <v>921</v>
      </c>
      <c r="D109" s="1353"/>
      <c r="E109" s="1353"/>
      <c r="F109" s="1366"/>
      <c r="G109" s="1366"/>
      <c r="H109" s="1366"/>
      <c r="I109" s="1366"/>
      <c r="J109" s="1366"/>
      <c r="K109" s="1065"/>
      <c r="L109" s="1065"/>
      <c r="M109" s="1408"/>
      <c r="N109" s="2367"/>
      <c r="O109" s="2367"/>
      <c r="P109" s="1697"/>
      <c r="Q109" s="1382"/>
    </row>
    <row r="110" ht="15.75" spans="1:17">
      <c r="A110" s="1342"/>
      <c r="B110" s="1347"/>
      <c r="C110" s="1348">
        <v>100</v>
      </c>
      <c r="D110" s="1348">
        <f t="shared" ref="D110:M110" si="27">C110-$K36</f>
        <v>100</v>
      </c>
      <c r="E110" s="1348">
        <f t="shared" si="27"/>
        <v>100</v>
      </c>
      <c r="F110" s="1348">
        <f t="shared" si="27"/>
        <v>100</v>
      </c>
      <c r="G110" s="1348">
        <f t="shared" si="27"/>
        <v>100</v>
      </c>
      <c r="H110" s="1348">
        <f t="shared" si="27"/>
        <v>100</v>
      </c>
      <c r="I110" s="1348">
        <f t="shared" si="27"/>
        <v>100</v>
      </c>
      <c r="J110" s="1348">
        <f t="shared" si="27"/>
        <v>100</v>
      </c>
      <c r="K110" s="1348">
        <f t="shared" si="27"/>
        <v>100</v>
      </c>
      <c r="L110" s="1348">
        <f t="shared" si="27"/>
        <v>100</v>
      </c>
      <c r="M110" s="1348">
        <f t="shared" si="27"/>
        <v>100</v>
      </c>
      <c r="N110" s="2368"/>
      <c r="O110" s="2368"/>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0"/>
      <c r="O111" s="2380"/>
      <c r="P111" s="1702"/>
      <c r="Q111" s="1414"/>
    </row>
    <row r="112" s="1082" customFormat="1" ht="15" spans="1:17">
      <c r="A112" s="1369"/>
      <c r="B112" s="1349"/>
      <c r="C112" s="642">
        <v>0.5</v>
      </c>
      <c r="D112" s="642">
        <v>0.6</v>
      </c>
      <c r="E112" s="642">
        <v>0.7</v>
      </c>
      <c r="F112" s="642">
        <v>0.8</v>
      </c>
      <c r="G112" s="642">
        <v>0.9</v>
      </c>
      <c r="H112" s="642">
        <v>1.0001</v>
      </c>
      <c r="I112" s="642"/>
      <c r="J112" s="2381"/>
      <c r="K112" s="2381"/>
      <c r="L112" s="2381"/>
      <c r="M112" s="2382"/>
      <c r="N112" s="2380"/>
      <c r="O112" s="238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0"/>
      <c r="O113" s="2380"/>
      <c r="P113" s="1702"/>
      <c r="Q113" s="1414"/>
    </row>
    <row r="114" ht="15.75" spans="1:17">
      <c r="A114" s="1372"/>
      <c r="B114" s="1345" t="s">
        <v>923</v>
      </c>
      <c r="C114" s="2373" t="s">
        <v>924</v>
      </c>
      <c r="D114" s="1353"/>
      <c r="E114" s="1366"/>
      <c r="F114" s="1366"/>
      <c r="G114" s="1366"/>
      <c r="H114" s="1366"/>
      <c r="I114" s="1366"/>
      <c r="J114" s="1366"/>
      <c r="K114" s="1065"/>
      <c r="L114" s="1065"/>
      <c r="M114" s="1408"/>
      <c r="N114" s="2367"/>
      <c r="O114" s="2367"/>
      <c r="P114" s="1697"/>
      <c r="Q114" s="1382"/>
    </row>
    <row r="115" ht="15.75" spans="1:17">
      <c r="A115" s="1342"/>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8">
        <f t="shared" si="28"/>
        <v>100</v>
      </c>
      <c r="N115" s="2368"/>
      <c r="O115" s="2368"/>
      <c r="P115" s="1697"/>
      <c r="Q115" s="1382"/>
    </row>
    <row r="116" ht="15.75" spans="1:17">
      <c r="A116" s="1372"/>
      <c r="B116" s="1345" t="s">
        <v>925</v>
      </c>
      <c r="C116" s="2373" t="s">
        <v>898</v>
      </c>
      <c r="D116" s="1353"/>
      <c r="E116" s="1353"/>
      <c r="F116" s="1353"/>
      <c r="G116" s="1353"/>
      <c r="H116" s="1366"/>
      <c r="I116" s="1366"/>
      <c r="J116" s="1366"/>
      <c r="K116" s="1065"/>
      <c r="L116" s="1065"/>
      <c r="M116" s="1408"/>
      <c r="N116" s="2367"/>
      <c r="O116" s="236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8"/>
      <c r="O117" s="2368"/>
      <c r="P117" s="1697"/>
      <c r="Q117" s="1382"/>
    </row>
    <row r="118" ht="15.75" spans="1:17">
      <c r="A118" s="1372"/>
      <c r="B118" s="1345" t="s">
        <v>926</v>
      </c>
      <c r="C118" s="1366"/>
      <c r="D118" s="1366"/>
      <c r="E118" s="1366"/>
      <c r="F118" s="1366"/>
      <c r="G118" s="1366"/>
      <c r="H118" s="1366"/>
      <c r="I118" s="1366"/>
      <c r="J118" s="1366"/>
      <c r="K118" s="1065"/>
      <c r="L118" s="1065"/>
      <c r="M118" s="1408"/>
      <c r="N118" s="2367"/>
      <c r="O118" s="2367"/>
      <c r="P118" s="1697"/>
      <c r="Q118" s="1382"/>
    </row>
    <row r="119" ht="15.7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368"/>
      <c r="O119" s="2368"/>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0"/>
      <c r="O120" s="2380"/>
      <c r="P120" s="1702"/>
      <c r="Q120" s="1414"/>
    </row>
    <row r="121" s="1082" customFormat="1" ht="15.75" spans="1:17">
      <c r="A121" s="1352"/>
      <c r="B121" s="1343"/>
      <c r="C121" s="1354"/>
      <c r="D121" s="1344"/>
      <c r="E121" s="1344"/>
      <c r="F121" s="1344"/>
      <c r="G121" s="1344"/>
      <c r="H121" s="1344"/>
      <c r="I121" s="1344"/>
      <c r="J121" s="1344"/>
      <c r="K121" s="1344"/>
      <c r="L121" s="1344"/>
      <c r="M121" s="1344"/>
      <c r="N121" s="2380"/>
      <c r="O121" s="2380"/>
      <c r="P121" s="1702"/>
      <c r="Q121" s="1414"/>
    </row>
    <row r="122" ht="15.75" spans="1:17">
      <c r="A122" s="1372"/>
      <c r="B122" s="1345" t="s">
        <v>928</v>
      </c>
      <c r="C122" s="2373" t="s">
        <v>921</v>
      </c>
      <c r="D122" s="2373" t="s">
        <v>929</v>
      </c>
      <c r="E122" s="2373" t="s">
        <v>960</v>
      </c>
      <c r="F122" s="1366"/>
      <c r="G122" s="1366"/>
      <c r="H122" s="1366"/>
      <c r="I122" s="1366"/>
      <c r="J122" s="1366"/>
      <c r="K122" s="1065"/>
      <c r="L122" s="1065"/>
      <c r="M122" s="1408"/>
      <c r="N122" s="2367"/>
      <c r="O122" s="2367"/>
      <c r="P122" s="1697"/>
      <c r="Q122" s="1382"/>
    </row>
    <row r="123" ht="15.75" spans="1:17">
      <c r="A123" s="1342"/>
      <c r="B123" s="1347"/>
      <c r="C123" s="1348">
        <v>100</v>
      </c>
      <c r="D123" s="1348">
        <f t="shared" ref="D123:M123" si="30">C123-$K42</f>
        <v>99</v>
      </c>
      <c r="E123" s="1348">
        <f t="shared" si="30"/>
        <v>98</v>
      </c>
      <c r="F123" s="1348">
        <f t="shared" si="30"/>
        <v>97</v>
      </c>
      <c r="G123" s="1348">
        <f t="shared" si="30"/>
        <v>96</v>
      </c>
      <c r="H123" s="1348">
        <f t="shared" si="30"/>
        <v>95</v>
      </c>
      <c r="I123" s="1348">
        <f t="shared" si="30"/>
        <v>94</v>
      </c>
      <c r="J123" s="1348">
        <f t="shared" si="30"/>
        <v>93</v>
      </c>
      <c r="K123" s="1348">
        <f t="shared" si="30"/>
        <v>92</v>
      </c>
      <c r="L123" s="1348">
        <f t="shared" si="30"/>
        <v>91</v>
      </c>
      <c r="M123" s="1348">
        <f t="shared" si="30"/>
        <v>90</v>
      </c>
      <c r="N123" s="2368"/>
      <c r="O123" s="236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7"/>
      <c r="O124" s="236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8"/>
      <c r="O125" s="236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0"/>
      <c r="O126" s="2380"/>
      <c r="P126" s="1702"/>
      <c r="Q126" s="1414"/>
    </row>
    <row r="127" s="1082" customFormat="1" ht="15.75" spans="1:17">
      <c r="A127" s="1352"/>
      <c r="B127" s="1347"/>
      <c r="C127" s="1354"/>
      <c r="D127" s="1344"/>
      <c r="E127" s="1344"/>
      <c r="F127" s="1344"/>
      <c r="G127" s="1354"/>
      <c r="H127" s="1355"/>
      <c r="I127" s="1355"/>
      <c r="J127" s="1355"/>
      <c r="K127" s="1355"/>
      <c r="L127" s="1355"/>
      <c r="M127" s="1400"/>
      <c r="N127" s="2380"/>
      <c r="O127" s="2380"/>
      <c r="P127" s="1702"/>
      <c r="Q127" s="1414"/>
    </row>
    <row r="128" ht="15.75" spans="1:17">
      <c r="A128" s="1372"/>
      <c r="B128" s="1345">
        <f>B45</f>
        <v>111</v>
      </c>
      <c r="C128" s="1353"/>
      <c r="D128" s="1353"/>
      <c r="E128" s="1353"/>
      <c r="F128" s="1353"/>
      <c r="G128" s="1366"/>
      <c r="H128" s="1366"/>
      <c r="I128" s="1366"/>
      <c r="J128" s="1366"/>
      <c r="K128" s="1065"/>
      <c r="L128" s="1065"/>
      <c r="M128" s="1408"/>
      <c r="N128" s="2367"/>
      <c r="O128" s="2367"/>
      <c r="P128" s="1697"/>
      <c r="Q128" s="1382"/>
    </row>
    <row r="129" ht="15.75" spans="1:17">
      <c r="A129" s="1342"/>
      <c r="B129" s="1347"/>
      <c r="C129" s="1354"/>
      <c r="D129" s="1354"/>
      <c r="E129" s="1354"/>
      <c r="F129" s="1354"/>
      <c r="G129" s="1344"/>
      <c r="H129" s="1344"/>
      <c r="I129" s="1344"/>
      <c r="J129" s="1344"/>
      <c r="K129" s="1344"/>
      <c r="L129" s="1344"/>
      <c r="M129" s="1392"/>
      <c r="N129" s="2368"/>
      <c r="O129" s="2368"/>
      <c r="P129" s="1697"/>
      <c r="Q129" s="1382"/>
    </row>
    <row r="130" ht="15.75" spans="1:17">
      <c r="A130" s="1372"/>
      <c r="B130" s="1349">
        <f>B46</f>
        <v>111</v>
      </c>
      <c r="C130" s="1353"/>
      <c r="D130" s="1353"/>
      <c r="E130" s="1353"/>
      <c r="F130" s="1353"/>
      <c r="G130" s="1367"/>
      <c r="H130" s="1367"/>
      <c r="I130" s="1367"/>
      <c r="J130" s="1367"/>
      <c r="K130" s="1026"/>
      <c r="L130" s="1026"/>
      <c r="M130" s="1409"/>
      <c r="N130" s="2367"/>
      <c r="O130" s="2367"/>
      <c r="P130" s="1697"/>
      <c r="Q130" s="1382"/>
    </row>
    <row r="131" ht="15.75" spans="1:17">
      <c r="A131" s="1653"/>
      <c r="B131" s="1357"/>
      <c r="C131" s="1358"/>
      <c r="D131" s="1358"/>
      <c r="E131" s="1358"/>
      <c r="F131" s="1358"/>
      <c r="G131" s="1368"/>
      <c r="H131" s="1368"/>
      <c r="I131" s="1368"/>
      <c r="J131" s="1368"/>
      <c r="K131" s="1368"/>
      <c r="L131" s="1368"/>
      <c r="M131" s="1410"/>
      <c r="N131" s="2368"/>
      <c r="O131" s="2368"/>
      <c r="P131" s="1697"/>
      <c r="Q131" s="1382"/>
    </row>
    <row r="136" ht="15" spans="2:2">
      <c r="B136" s="2383" t="s">
        <v>961</v>
      </c>
    </row>
    <row r="137" ht="15" spans="2:11">
      <c r="B137" s="2384" t="s">
        <v>962</v>
      </c>
      <c r="C137" s="2385"/>
      <c r="D137" s="2385"/>
      <c r="E137" s="2385"/>
      <c r="F137" s="2385"/>
      <c r="G137" s="2386"/>
      <c r="H137" s="2387"/>
      <c r="I137" s="2411" t="s">
        <v>963</v>
      </c>
      <c r="J137" s="2385"/>
      <c r="K137" s="2412"/>
    </row>
    <row r="138" ht="15" spans="2:11">
      <c r="B138" s="2388"/>
      <c r="C138" s="1218" t="s">
        <v>964</v>
      </c>
      <c r="D138" s="1218" t="s">
        <v>965</v>
      </c>
      <c r="E138" s="2389" t="s">
        <v>966</v>
      </c>
      <c r="F138" s="2390" t="s">
        <v>967</v>
      </c>
      <c r="G138" s="1218" t="s">
        <v>965</v>
      </c>
      <c r="H138" s="2391" t="s">
        <v>966</v>
      </c>
      <c r="I138" s="2413"/>
      <c r="J138" s="1218" t="s">
        <v>968</v>
      </c>
      <c r="K138" s="2391" t="s">
        <v>969</v>
      </c>
    </row>
    <row r="139" ht="15" spans="2:11">
      <c r="B139" s="2392">
        <v>6</v>
      </c>
      <c r="C139" s="2393">
        <v>96</v>
      </c>
      <c r="D139" s="2394" t="s">
        <v>970</v>
      </c>
      <c r="E139" s="2395">
        <v>100</v>
      </c>
      <c r="F139" s="2396">
        <v>102.5</v>
      </c>
      <c r="G139" s="2394" t="s">
        <v>970</v>
      </c>
      <c r="H139" s="2397">
        <v>105</v>
      </c>
      <c r="I139" s="2414" t="s">
        <v>971</v>
      </c>
      <c r="J139" s="2393">
        <v>20</v>
      </c>
      <c r="K139" s="2415">
        <f>C145/(J139-2)</f>
        <v>0.00405555555555556</v>
      </c>
    </row>
    <row r="140" ht="15" spans="2:11">
      <c r="B140" s="2398">
        <v>5</v>
      </c>
      <c r="C140" s="2399">
        <v>100</v>
      </c>
      <c r="D140" s="2399"/>
      <c r="E140" s="2400"/>
      <c r="F140" s="2401">
        <v>102</v>
      </c>
      <c r="G140" s="2399"/>
      <c r="H140" s="2402"/>
      <c r="I140" s="2416" t="s">
        <v>972</v>
      </c>
      <c r="J140" s="2417">
        <f>ROUNDUP((J139-1)/2,0)</f>
        <v>10</v>
      </c>
      <c r="K140" s="2418">
        <v>100</v>
      </c>
    </row>
    <row r="141" ht="15" spans="2:11">
      <c r="B141" s="2398">
        <v>4</v>
      </c>
      <c r="C141" s="2399">
        <v>102</v>
      </c>
      <c r="D141" s="2399"/>
      <c r="E141" s="2400"/>
      <c r="F141" s="2401">
        <v>101.5</v>
      </c>
      <c r="G141" s="2399"/>
      <c r="H141" s="2402"/>
      <c r="I141" s="2416" t="s">
        <v>973</v>
      </c>
      <c r="J141" s="2417">
        <v>1</v>
      </c>
      <c r="K141" s="2419">
        <f>ROUND(100+(J141-J140)*K139*100,1)</f>
        <v>96.4</v>
      </c>
    </row>
    <row r="142" ht="15" spans="2:11">
      <c r="B142" s="2398">
        <v>3</v>
      </c>
      <c r="C142" s="2399">
        <v>103</v>
      </c>
      <c r="D142" s="2399"/>
      <c r="E142" s="2400"/>
      <c r="F142" s="2401">
        <v>101</v>
      </c>
      <c r="G142" s="2399"/>
      <c r="H142" s="2402"/>
      <c r="I142" s="2416" t="s">
        <v>974</v>
      </c>
      <c r="J142" s="2417">
        <f>J139</f>
        <v>20</v>
      </c>
      <c r="K142" s="2420">
        <v>95</v>
      </c>
    </row>
    <row r="143" ht="15" spans="2:11">
      <c r="B143" s="2398">
        <v>2</v>
      </c>
      <c r="C143" s="2399">
        <v>100</v>
      </c>
      <c r="D143" s="2399"/>
      <c r="E143" s="2400"/>
      <c r="F143" s="2401">
        <v>100.5</v>
      </c>
      <c r="G143" s="2399"/>
      <c r="H143" s="2402"/>
      <c r="I143" s="2416" t="s">
        <v>975</v>
      </c>
      <c r="J143" s="2399">
        <v>15</v>
      </c>
      <c r="K143" s="2419">
        <f>ROUND(100+(J143-J140)*K139*100,1)</f>
        <v>102</v>
      </c>
    </row>
    <row r="144" ht="15" spans="2:11">
      <c r="B144" s="2398">
        <v>1</v>
      </c>
      <c r="C144" s="2399">
        <v>98</v>
      </c>
      <c r="D144" s="2403" t="s">
        <v>976</v>
      </c>
      <c r="E144" s="2400">
        <v>102</v>
      </c>
      <c r="F144" s="2404">
        <v>100</v>
      </c>
      <c r="G144" s="2403" t="s">
        <v>976</v>
      </c>
      <c r="H144" s="2402">
        <v>105</v>
      </c>
      <c r="I144" s="2416" t="s">
        <v>975</v>
      </c>
      <c r="J144" s="2399">
        <v>18</v>
      </c>
      <c r="K144" s="2419">
        <f>ROUND(100+(J144-J140)*K139*100,1)</f>
        <v>103.2</v>
      </c>
    </row>
    <row r="145" ht="15.75" spans="2:11">
      <c r="B145" s="2405" t="s">
        <v>977</v>
      </c>
      <c r="C145" s="2406">
        <f>ROUND(MAX(C139:C144)/MIN(C139:C144)-1,3)</f>
        <v>0.073</v>
      </c>
      <c r="D145" s="2407"/>
      <c r="E145" s="2407"/>
      <c r="F145" s="2408" t="s">
        <v>978</v>
      </c>
      <c r="G145" s="2409"/>
      <c r="H145" s="2410"/>
      <c r="I145" s="2421" t="s">
        <v>975</v>
      </c>
      <c r="J145" s="2422">
        <v>8</v>
      </c>
      <c r="K145" s="2423">
        <f>ROUND(100+(J145-J140)*K139*100,1)</f>
        <v>99.2</v>
      </c>
    </row>
    <row r="147" spans="2:2">
      <c r="B147" s="2383" t="s">
        <v>979</v>
      </c>
    </row>
    <row r="148" spans="2:2">
      <c r="B148" s="2383"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2 E32 G32 I32">
      <formula1>住宅建筑类型</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1" workbookViewId="0">
      <selection activeCell="G94" sqref="G94"/>
    </sheetView>
  </sheetViews>
  <sheetFormatPr defaultColWidth="9" defaultRowHeight="13.5"/>
  <sheetData>
    <row r="72" spans="4:5">
      <c r="D72">
        <v>24</v>
      </c>
      <c r="E72">
        <v>96</v>
      </c>
    </row>
    <row r="73" spans="4:5">
      <c r="D73">
        <v>23</v>
      </c>
      <c r="E73">
        <f t="shared" ref="E73:E83"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7" si="1">I81+$J$88</f>
        <v>104</v>
      </c>
    </row>
    <row r="81" spans="4:9">
      <c r="D81">
        <v>15</v>
      </c>
      <c r="E81">
        <f t="shared" si="0"/>
        <v>100.9</v>
      </c>
      <c r="H81">
        <v>15</v>
      </c>
      <c r="I81">
        <f t="shared" si="1"/>
        <v>103.5</v>
      </c>
    </row>
    <row r="82" spans="4:9">
      <c r="D82">
        <v>14</v>
      </c>
      <c r="E82">
        <f t="shared" si="0"/>
        <v>100.6</v>
      </c>
      <c r="H82">
        <v>14</v>
      </c>
      <c r="I82">
        <f t="shared" si="1"/>
        <v>103</v>
      </c>
    </row>
    <row r="83" spans="4:9">
      <c r="D83">
        <v>13</v>
      </c>
      <c r="E83">
        <f t="shared" si="0"/>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 t="shared" si="1"/>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L7" sqref="L7"/>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1152618</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12493</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655275</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621556</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18957</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14762</v>
      </c>
      <c r="D8" s="2286"/>
      <c r="E8" s="2284"/>
      <c r="F8" s="2285"/>
      <c r="G8" s="2287" t="s">
        <v>994</v>
      </c>
    </row>
    <row r="9" s="2257" customFormat="1" ht="13.5" customHeight="1" spans="1:123">
      <c r="A9" s="2288" t="s">
        <v>995</v>
      </c>
      <c r="B9" s="2289" t="s">
        <v>996</v>
      </c>
      <c r="C9" s="2290">
        <f>ROUND(D9*E9,0)</f>
        <v>14762</v>
      </c>
      <c r="D9" s="2291">
        <f>IF('数据-取费表'!B10="住宅",IF(B1="仅计算典型户型",'数据-取费表'!E5,'数据-取费表'!B5),0)</f>
        <v>92.26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92.26</v>
      </c>
      <c r="E19" s="2275">
        <f>'数据-取费表'!E15</f>
        <v>200</v>
      </c>
      <c r="F19" s="2296"/>
      <c r="G19" s="2287" t="s">
        <v>1017</v>
      </c>
    </row>
    <row r="20" s="2257" customFormat="1" ht="13.5" customHeight="1" spans="1:123">
      <c r="A20" s="2273" t="s">
        <v>1018</v>
      </c>
      <c r="B20" s="2274" t="s">
        <v>1019</v>
      </c>
      <c r="C20" s="2297">
        <f>ROUND((C5+C19)*F20,0)</f>
        <v>6553</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73034</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72680</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354</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66183</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66183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859029</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271015</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230650</v>
      </c>
      <c r="D34" s="2281"/>
      <c r="E34" s="2284"/>
      <c r="F34" s="2318" t="str">
        <f>IF('数据-取费表'!B26=0,"",'数据-取费表'!E20)</f>
        <v/>
      </c>
      <c r="G34" s="2283"/>
    </row>
    <row r="35" ht="13.5" customHeight="1" spans="1:7">
      <c r="A35" s="2278" t="s">
        <v>990</v>
      </c>
      <c r="B35" s="2279" t="s">
        <v>1048</v>
      </c>
      <c r="C35" s="2284">
        <f>ROUND(C34*F35,0)</f>
        <v>6920</v>
      </c>
      <c r="D35" s="2284"/>
      <c r="E35" s="2284"/>
      <c r="F35" s="2319">
        <f>'数据-取费表'!E21</f>
        <v>0.03</v>
      </c>
      <c r="G35" s="2283" t="s">
        <v>1049</v>
      </c>
    </row>
    <row r="36" ht="24" spans="1:7">
      <c r="A36" s="2278" t="s">
        <v>992</v>
      </c>
      <c r="B36" s="2279" t="s">
        <v>1050</v>
      </c>
      <c r="C36" s="2284">
        <f>ROUND(IF('数据-取费表'!B10="住宅",C34*F36,0),0)</f>
        <v>11533</v>
      </c>
      <c r="D36" s="2284"/>
      <c r="E36" s="2284"/>
      <c r="F36" s="2319">
        <f>'数据-取费表'!E22</f>
        <v>0.05</v>
      </c>
      <c r="G36" s="2320" t="s">
        <v>1051</v>
      </c>
    </row>
    <row r="37" s="2259" customFormat="1" ht="13.5" customHeight="1" spans="1:7">
      <c r="A37" s="2278" t="s">
        <v>1033</v>
      </c>
      <c r="B37" s="2279" t="s">
        <v>1052</v>
      </c>
      <c r="C37" s="2284">
        <f>ROUND(E37*D37,0)</f>
        <v>18452</v>
      </c>
      <c r="D37" s="2281">
        <f>IF(B1="仅计算典型户型",'数据-取费表'!E5,'数据-取费表'!B5)</f>
        <v>92.26</v>
      </c>
      <c r="E37" s="2284">
        <f>'数据-取费表'!E23</f>
        <v>200</v>
      </c>
      <c r="F37" s="2319"/>
      <c r="G37" s="2321" t="s">
        <v>1053</v>
      </c>
    </row>
    <row r="38" ht="13.5" customHeight="1" spans="1:7">
      <c r="A38" s="2278" t="s">
        <v>1054</v>
      </c>
      <c r="B38" s="2279" t="s">
        <v>759</v>
      </c>
      <c r="C38" s="2284">
        <f>ROUND(C34*F38,0)</f>
        <v>3460</v>
      </c>
      <c r="D38" s="2284"/>
      <c r="E38" s="2284"/>
      <c r="F38" s="2319">
        <f>'数据-取费表'!E24</f>
        <v>0.015</v>
      </c>
      <c r="G38" s="2283" t="s">
        <v>1049</v>
      </c>
    </row>
    <row r="39" s="2257" customFormat="1" ht="13.5" customHeight="1" spans="1:123">
      <c r="A39" s="2273" t="s">
        <v>1015</v>
      </c>
      <c r="B39" s="2274" t="s">
        <v>1019</v>
      </c>
      <c r="C39" s="2297">
        <f>ROUND(C33*F20,0)</f>
        <v>2710</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14781</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14635</v>
      </c>
      <c r="D42" s="2041"/>
      <c r="E42" s="2041"/>
      <c r="F42" s="2304"/>
      <c r="G42" s="2324" t="s">
        <v>1058</v>
      </c>
    </row>
    <row r="43" ht="13.5" customHeight="1" spans="1:7">
      <c r="A43" s="2278" t="s">
        <v>990</v>
      </c>
      <c r="B43" s="2279" t="s">
        <v>1029</v>
      </c>
      <c r="C43" s="2041">
        <f ca="1">ROUND(IF('数据-取费表'!B24&lt;=1,C39*F22*'数据-取费表'!B23/2,C39*(POWER((1+F22),'数据-取费表'!B23/2)-1)),0)</f>
        <v>146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27373</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27373</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338744</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293589</v>
      </c>
      <c r="D51" s="2297"/>
      <c r="E51" s="2297"/>
      <c r="F51" s="2328"/>
      <c r="G51" s="2299" t="s">
        <v>1070</v>
      </c>
    </row>
    <row r="52" s="2256" customFormat="1" ht="16.5" spans="1:123">
      <c r="A52" s="2329" t="s">
        <v>1071</v>
      </c>
      <c r="B52" s="2330"/>
      <c r="C52" s="2331">
        <f ca="1">C31+C51</f>
        <v>1152618</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0.255</v>
      </c>
    </row>
    <row r="57" spans="2:3">
      <c r="B57" s="2088" t="s">
        <v>1074</v>
      </c>
      <c r="C57" s="2089">
        <f ca="1">1-C56</f>
        <v>0.745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陈颖（注册号:1120060040）、（注册号:0)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14468</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-14762</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-14762</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-148</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-1491</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-1491</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14468</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92.26</v>
      </c>
      <c r="G7" s="1921"/>
      <c r="H7" s="1936"/>
      <c r="I7" s="1933"/>
      <c r="J7" s="1934"/>
      <c r="K7" s="1935"/>
      <c r="L7" s="1930" t="s">
        <v>1154</v>
      </c>
      <c r="M7" s="1931">
        <f>IF('数据-取费表'!B42="",IF(D1="仅计算典型户型",'数据-取费表'!E5,'数据-取费表'!B5),'数据-取费表'!B42)</f>
        <v>92.26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293589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230650</v>
      </c>
      <c r="D14" s="1963" t="s">
        <v>1170</v>
      </c>
      <c r="E14" s="1964"/>
      <c r="F14" s="1965"/>
      <c r="G14" s="1948"/>
      <c r="H14" s="1961" t="s">
        <v>1081</v>
      </c>
      <c r="I14" s="1930" t="s">
        <v>1171</v>
      </c>
      <c r="J14" s="1763">
        <f ca="1">C29</f>
        <v>338744</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6920</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11533</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18452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3460</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271015</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2710</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14781</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27373</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338744</v>
      </c>
      <c r="D29" s="1977"/>
      <c r="E29" s="1954"/>
      <c r="F29" s="1978"/>
      <c r="G29" s="1896"/>
      <c r="H29" s="1979" t="s">
        <v>1226</v>
      </c>
      <c r="I29" s="2006" t="s">
        <v>1227</v>
      </c>
      <c r="J29" s="2007">
        <f ca="1">ROUND(J26/(1+F40)^F41,0)</f>
        <v>0</v>
      </c>
      <c r="K29" s="2008" t="s">
        <v>1228</v>
      </c>
      <c r="L29" s="2009"/>
      <c r="M29" s="2010">
        <f>IF(D1="仅计算典型户型",'数据-取费表'!E5,'数据-取费表'!B5)</f>
        <v>92.26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22019</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92.26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338744</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92.26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206540</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293589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338744</v>
      </c>
      <c r="D58" s="2037"/>
      <c r="E58" s="2038"/>
      <c r="F58" s="2039"/>
      <c r="I58" s="2131" t="s">
        <v>1293</v>
      </c>
      <c r="J58" s="2132" t="str">
        <f>IF(OR(M48="住宅",J52&lt;L49,J57="是"),"——",J52-L49)</f>
        <v>——</v>
      </c>
      <c r="K58" s="2107" t="s">
        <v>1294</v>
      </c>
      <c r="L58" s="2110">
        <f ca="1">IF(L49&lt;J52,"——",IF(L56="比较法",L50,IF(L56="基准地价",L51,L52)))</f>
        <v>206540</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206540</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-22019</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293589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92.26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57">
      <formula1>判定</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H27:H527">
      <formula1>一修多修正项4</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92.26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40008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92.26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92.26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D57:D65">
      <formula1>"25%,1"</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D47">
      <formula1>"简单平均,加权平均"</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7" customWidth="1"/>
    <col min="2" max="3" width="12.5" style="3317" customWidth="1"/>
    <col min="4" max="6" width="8.125" style="3317"/>
    <col min="7" max="7" width="17.5" style="3317" customWidth="1"/>
    <col min="8" max="16384" width="8.125"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估价对象为北京市房地产，为所有。根据《》[]，估价对象建筑面积为92.26平方米。根据《》[]，估价对象（分摊）出让国有建设用地使用权面积为平方米。估价对象用途为。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2009年7月14日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D42">
      <formula1>"简单平均,加权平均"</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1494</v>
      </c>
      <c r="B1" s="398"/>
      <c r="C1" s="399" t="s">
        <v>870</v>
      </c>
      <c r="D1" s="400">
        <f>SUM(D29:D30,D33:D39)</f>
        <v>92.26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40008</v>
      </c>
      <c r="H19" s="479" t="s">
        <v>1568</v>
      </c>
      <c r="I19" s="600" t="str">
        <f>IF(H19="季度增幅（自定义）",SUMIF(N21:N24,E2,O21:O24),"")</f>
        <v/>
      </c>
      <c r="J19" s="601"/>
      <c r="K19" s="599"/>
      <c r="L19" s="602" t="s">
        <v>1569</v>
      </c>
      <c r="M19" s="603">
        <f>ROUND(SUMIF(地价!B2:F2,E2,地价!B36:F36),0)</f>
        <v>423</v>
      </c>
      <c r="N19" s="604" t="s">
        <v>1570</v>
      </c>
      <c r="O19" s="605" t="e">
        <f>ROUNDDOWN(DATEDIF(E19,G19,"M")/3,0)</f>
        <v>#NUM!</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92.26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40008</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7" customWidth="1"/>
    <col min="2" max="2" width="37.875" style="3347" customWidth="1"/>
    <col min="3" max="3" width="16.125" style="3347" customWidth="1"/>
    <col min="4" max="4" width="22.25" style="3347" customWidth="1"/>
    <col min="5" max="5" width="4.125"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92.26</v>
      </c>
      <c r="D6" s="3357"/>
      <c r="E6" s="3349"/>
    </row>
    <row r="7" ht="14.25" spans="1:5">
      <c r="A7" s="3349"/>
      <c r="B7" s="3358" t="s">
        <v>89</v>
      </c>
      <c r="C7" s="3359" t="str">
        <f>IF('数据-取费表'!B3="万元","总价（万元）","总价（元）")</f>
        <v>总价（元）</v>
      </c>
      <c r="D7" s="3357">
        <f ca="1">IF('数据-取费表'!E3="否",结果表!I102,'结果表 (1修多)'!I104)</f>
        <v>1205377</v>
      </c>
      <c r="E7" s="3349"/>
    </row>
    <row r="8" ht="28.5" spans="1:5">
      <c r="A8" s="3349"/>
      <c r="B8" s="3358"/>
      <c r="C8" s="3360" t="s">
        <v>90</v>
      </c>
      <c r="D8" s="3361" t="str">
        <f ca="1">IF('数据-取费表'!B3="万元",NUMBERSTRING(INT(D7*10000),2)&amp;"元整",NUMBERSTRING(INT(D7),2)&amp;"元整")</f>
        <v>壹佰贰拾万伍仟叁佰柒拾柒元整</v>
      </c>
      <c r="E8" s="3349"/>
    </row>
    <row r="9" ht="14.25" spans="1:5">
      <c r="A9" s="3349"/>
      <c r="B9" s="3358"/>
      <c r="C9" s="3362" t="s">
        <v>91</v>
      </c>
      <c r="D9" s="3357">
        <f ca="1">IF('数据-取费表'!E3="否",结果表!I103,'结果表 (1修多)'!I105)</f>
        <v>13065</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1205377</v>
      </c>
      <c r="E15" s="3349"/>
    </row>
    <row r="16" ht="28.5" spans="1:5">
      <c r="A16" s="3349"/>
      <c r="B16" s="3356"/>
      <c r="C16" s="3360" t="s">
        <v>90</v>
      </c>
      <c r="D16" s="3357" t="str">
        <f ca="1">IF('数据-取费表'!B3="万元",NUMBERSTRING(INT(D15*10000),2)&amp;"元整",NUMBERSTRING(INT(D15),2)&amp;"元整")</f>
        <v>壹佰贰拾万伍仟叁佰柒拾柒元整</v>
      </c>
      <c r="E16" s="3349"/>
    </row>
    <row r="17" ht="14.25" spans="1:5">
      <c r="A17" s="3349"/>
      <c r="B17" s="3356"/>
      <c r="C17" s="3362" t="s">
        <v>91</v>
      </c>
      <c r="D17" s="3357">
        <f ca="1">IF('数据-取费表'!E3="否",结果表!I111,'结果表 (1修多)'!I113)</f>
        <v>13065</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1205377</v>
      </c>
      <c r="E28" s="3349"/>
    </row>
    <row r="29" ht="28.5" spans="1:5">
      <c r="A29" s="3349"/>
      <c r="B29" s="3381"/>
      <c r="C29" s="3382" t="s">
        <v>90</v>
      </c>
      <c r="D29" s="3383" t="str">
        <f ca="1">IF('数据-取费表'!B3="万元",NUMBERSTRING(INT(D28*10000),2)&amp;"元整",NUMBERSTRING(INT(D28),2)&amp;"元整")</f>
        <v>壹佰贰拾万伍仟叁佰柒拾柒元整</v>
      </c>
      <c r="E29" s="3349"/>
    </row>
    <row r="30" ht="14.25" spans="1:5">
      <c r="A30" s="3349"/>
      <c r="B30" s="3384"/>
      <c r="C30" s="3362" t="s">
        <v>99</v>
      </c>
      <c r="D30" s="3385">
        <f ca="1">IF('数据-取费表'!E3="否",结果表!I103,'结果表 (1修多)'!I105)</f>
        <v>13065</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1205377</v>
      </c>
      <c r="E36" s="3349"/>
    </row>
    <row r="37" ht="28.5" spans="1:5">
      <c r="A37" s="3349"/>
      <c r="B37" s="3387"/>
      <c r="C37" s="3382" t="s">
        <v>90</v>
      </c>
      <c r="D37" s="3388" t="str">
        <f ca="1">IF('数据-取费表'!B3="万元",NUMBERSTRING(INT(D36*10000),2)&amp;"元整",NUMBERSTRING(INT(D36),2)&amp;"元整")</f>
        <v>壹佰贰拾万伍仟叁佰柒拾柒元整</v>
      </c>
      <c r="E37" s="3349"/>
    </row>
    <row r="38" ht="14.25" spans="1:5">
      <c r="A38" s="3349"/>
      <c r="B38" s="3387"/>
      <c r="C38" s="3362" t="s">
        <v>99</v>
      </c>
      <c r="D38" s="3385">
        <f ca="1">IF('数据-取费表'!E3="否",结果表!D113,'结果表 (1修多)'!D117)</f>
        <v>13065</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7" customWidth="1"/>
    <col min="2" max="9" width="12.25"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92.26</v>
      </c>
      <c r="C4" s="3338">
        <f>结果表!C121</f>
        <v>0</v>
      </c>
      <c r="D4" s="3338" t="e">
        <f ca="1">IF('数据-取费表'!E3="否",结果表!D121,'结果表 (1修多)'!D125)</f>
        <v>#DIV/0!</v>
      </c>
      <c r="E4" s="3338" t="e">
        <f ca="1">IF('数据-取费表'!E3="否",结果表!E121,'结果表 (1修多)'!E125)</f>
        <v>#DIV/0!</v>
      </c>
      <c r="F4" s="3338" t="e">
        <f ca="1">IF('数据-取费表'!E3="否",结果表!F121,'结果表 (1修多)'!F125)</f>
        <v>#DIV/0!</v>
      </c>
      <c r="G4" s="3338" t="e">
        <f ca="1">IF('数据-取费表'!E3="否",结果表!G121,'结果表 (1修多)'!G125)</f>
        <v>#DIV/0!</v>
      </c>
      <c r="H4" s="3338">
        <f ca="1">IF('数据-取费表'!E3="否",结果表!H121,'结果表 (1修多)'!H125)</f>
        <v>1205377</v>
      </c>
      <c r="I4" s="3338">
        <f ca="1">IF('数据-取费表'!E3="否",结果表!I121,'结果表 (1修多)'!I125)</f>
        <v>13065</v>
      </c>
    </row>
    <row r="5" ht="15" spans="1:9">
      <c r="A5" s="3338" t="s">
        <v>109</v>
      </c>
      <c r="B5" s="3338"/>
      <c r="C5" s="3338"/>
      <c r="D5" s="3339" t="e">
        <f ca="1">IF('数据-取费表'!E3="否",结果表!D122,'结果表 (1修多)'!D126)</f>
        <v>#DIV/0!</v>
      </c>
      <c r="E5" s="3339"/>
      <c r="F5" s="3339" t="e">
        <f ca="1">IF('数据-取费表'!E3="否",结果表!F122,'结果表 (1修多)'!F126)</f>
        <v>#DIV/0!</v>
      </c>
      <c r="G5" s="3339"/>
      <c r="H5" s="3339" t="str">
        <f ca="1">IF('数据-取费表'!E3="否",结果表!H122,'结果表 (1修多)'!H126)</f>
        <v>壹佰贰拾万伍仟叁佰柒拾柒元整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1205377</v>
      </c>
      <c r="E8" s="3340"/>
      <c r="F8" s="3340"/>
      <c r="G8" s="3340"/>
      <c r="H8" s="3340"/>
      <c r="I8" s="3340"/>
    </row>
    <row r="9" ht="15" spans="1:9">
      <c r="A9" s="3338" t="s">
        <v>109</v>
      </c>
      <c r="B9" s="3338"/>
      <c r="C9" s="3338"/>
      <c r="D9" s="3339">
        <f ca="1">IF('数据-取费表'!E3="否",结果表!D126,'结果表 (1修多)'!D130)</f>
        <v>13065</v>
      </c>
      <c r="E9" s="3339"/>
      <c r="F9" s="3339"/>
      <c r="G9" s="3339"/>
      <c r="H9" s="3339"/>
      <c r="I9" s="3339"/>
    </row>
    <row r="10" ht="15.75" spans="1:9">
      <c r="A10" s="3340" t="str">
        <f>IF('数据-取费表'!E3="否",结果表!A127,'结果表 (1修多)'!A131)</f>
        <v/>
      </c>
      <c r="B10" s="3340"/>
      <c r="C10" s="3340"/>
      <c r="D10" s="3340" t="str">
        <f ca="1">IF('数据-取费表'!E3="否",结果表!D127,'结果表 (1修多)'!D130)</f>
        <v>——</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7" customWidth="1"/>
    <col min="2" max="2" width="24" style="3317" customWidth="1"/>
    <col min="3" max="3" width="23.25"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t="str">
        <f>项目基本情况!B3</f>
        <v>陈颖</v>
      </c>
      <c r="B4" s="3322">
        <f ca="1">项目基本情况!C3</f>
        <v>1120060040</v>
      </c>
      <c r="C4" s="3323"/>
      <c r="D4" s="3324" t="s">
        <v>117</v>
      </c>
    </row>
    <row r="5" ht="56.25" customHeight="1" spans="1:4">
      <c r="A5" s="3321">
        <f>项目基本情况!D3</f>
        <v>0</v>
      </c>
      <c r="B5" s="3322">
        <f ca="1">项目基本情况!E3</f>
        <v>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295" customWidth="1"/>
    <col min="2" max="16384" width="14.5"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262" customWidth="1"/>
    <col min="2" max="2" width="38.625" style="3262" customWidth="1"/>
    <col min="3" max="3" width="26" style="3262" customWidth="1"/>
    <col min="4" max="4" width="35" style="3262" hidden="1" customWidth="1"/>
    <col min="5" max="5" width="30.125" style="3262" customWidth="1"/>
    <col min="6" max="6" width="35.5" style="3262" customWidth="1"/>
    <col min="7" max="7" width="31" style="3262" customWidth="1"/>
    <col min="8" max="8" width="37.5" style="3262" hidden="1" customWidth="1"/>
    <col min="9" max="16384" width="22.625" style="3262"/>
  </cols>
  <sheetData>
    <row r="1" customHeight="1" spans="1:8">
      <c r="A1" s="3263"/>
      <c r="B1" s="3263"/>
      <c r="C1" s="3263"/>
      <c r="D1" s="3263"/>
      <c r="E1" s="3263"/>
      <c r="F1" s="3263"/>
      <c r="G1" s="3263"/>
      <c r="H1" s="3263"/>
    </row>
    <row r="2" customHeight="1" spans="1:8">
      <c r="A2" s="3264" t="s">
        <v>162</v>
      </c>
      <c r="B2" s="3265">
        <f ca="1">TODAY()</f>
        <v>44516</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5" style="3246" customWidth="1"/>
    <col min="3" max="3" width="13" style="2743" hidden="1" customWidth="1"/>
    <col min="4" max="4" width="5.75" style="3247" hidden="1" customWidth="1"/>
    <col min="5" max="5" width="7.125" style="3247" hidden="1" customWidth="1"/>
    <col min="6" max="6" width="10.625" style="3247" hidden="1" customWidth="1"/>
    <col min="7" max="7" width="7.5" style="3247" hidden="1" customWidth="1"/>
    <col min="8" max="8" width="9" style="2743" hidden="1" customWidth="1"/>
    <col min="9" max="9" width="11.625" style="2743" hidden="1" customWidth="1"/>
    <col min="10" max="10" width="9" style="2743" hidden="1" customWidth="1"/>
    <col min="11" max="19" width="9" style="3247" hidden="1" customWidth="1"/>
    <col min="20" max="24" width="9" style="2743" hidden="1" customWidth="1"/>
    <col min="25" max="25" width="9" style="2743" customWidth="1"/>
    <col min="26" max="26" width="15.875"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403" t="s">
        <v>121</v>
      </c>
      <c r="B2" s="240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403" t="s">
        <v>232</v>
      </c>
      <c r="B3" s="2437"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403" t="s">
        <v>244</v>
      </c>
      <c r="B4" s="2437"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403" t="s">
        <v>254</v>
      </c>
      <c r="B5" s="240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403" t="s">
        <v>262</v>
      </c>
      <c r="B6" s="240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403" t="s">
        <v>268</v>
      </c>
      <c r="B7" s="2437" t="s">
        <v>269</v>
      </c>
      <c r="C7" s="3252" t="s">
        <v>270</v>
      </c>
      <c r="F7" s="3247" t="s">
        <v>271</v>
      </c>
      <c r="H7" s="3247" t="s">
        <v>155</v>
      </c>
      <c r="I7" s="3247" t="s">
        <v>272</v>
      </c>
      <c r="X7" s="3256"/>
    </row>
    <row r="8" spans="1:24">
      <c r="A8" s="2403" t="s">
        <v>273</v>
      </c>
      <c r="B8" s="2437" t="s">
        <v>274</v>
      </c>
      <c r="C8" s="3252" t="s">
        <v>275</v>
      </c>
      <c r="F8" s="3247" t="s">
        <v>276</v>
      </c>
      <c r="H8" s="3247" t="s">
        <v>277</v>
      </c>
      <c r="I8" s="3247" t="s">
        <v>278</v>
      </c>
      <c r="X8" s="3256"/>
    </row>
    <row r="9" spans="1:8">
      <c r="A9" s="2403" t="s">
        <v>279</v>
      </c>
      <c r="B9" s="2403" t="s">
        <v>280</v>
      </c>
      <c r="C9" s="3252" t="s">
        <v>281</v>
      </c>
      <c r="F9" s="3247" t="s">
        <v>157</v>
      </c>
      <c r="H9" s="3247" t="s">
        <v>282</v>
      </c>
    </row>
    <row r="10" spans="1:6">
      <c r="A10" s="2403" t="s">
        <v>283</v>
      </c>
      <c r="B10" s="2403" t="s">
        <v>284</v>
      </c>
      <c r="C10" s="3252" t="s">
        <v>285</v>
      </c>
      <c r="F10" s="3247" t="s">
        <v>121</v>
      </c>
    </row>
    <row r="11" spans="1:3">
      <c r="A11" s="2403" t="s">
        <v>286</v>
      </c>
      <c r="B11" s="2403" t="s">
        <v>287</v>
      </c>
      <c r="C11" s="3252" t="s">
        <v>288</v>
      </c>
    </row>
    <row r="12" spans="1:3">
      <c r="A12" s="2403" t="s">
        <v>289</v>
      </c>
      <c r="B12" s="2403" t="s">
        <v>290</v>
      </c>
      <c r="C12" s="3252" t="s">
        <v>291</v>
      </c>
    </row>
    <row r="13" spans="1:3">
      <c r="A13" s="2403" t="s">
        <v>292</v>
      </c>
      <c r="B13" s="2403" t="s">
        <v>293</v>
      </c>
      <c r="C13" s="3252" t="s">
        <v>294</v>
      </c>
    </row>
    <row r="14" spans="1:3">
      <c r="A14" s="2403" t="s">
        <v>295</v>
      </c>
      <c r="B14" s="2403" t="s">
        <v>296</v>
      </c>
      <c r="C14" s="3252"/>
    </row>
    <row r="15" spans="1:3">
      <c r="A15" s="2403" t="s">
        <v>297</v>
      </c>
      <c r="B15" s="2403" t="s">
        <v>298</v>
      </c>
      <c r="C15" s="3252"/>
    </row>
    <row r="16" spans="1:3">
      <c r="A16" s="2403" t="s">
        <v>299</v>
      </c>
      <c r="B16" s="2403" t="s">
        <v>300</v>
      </c>
      <c r="C16" s="3252"/>
    </row>
    <row r="17" spans="1:3">
      <c r="A17" s="2403" t="s">
        <v>301</v>
      </c>
      <c r="B17" s="2403" t="s">
        <v>302</v>
      </c>
      <c r="C17" s="3252"/>
    </row>
    <row r="18" spans="1:3">
      <c r="A18" s="2403" t="s">
        <v>303</v>
      </c>
      <c r="B18" s="2403" t="s">
        <v>304</v>
      </c>
      <c r="C18" s="3252"/>
    </row>
    <row r="19" spans="1:3">
      <c r="A19" s="2403" t="s">
        <v>305</v>
      </c>
      <c r="B19" s="2403" t="s">
        <v>306</v>
      </c>
      <c r="C19" s="3252"/>
    </row>
    <row r="20" spans="1:3">
      <c r="A20" s="2403" t="s">
        <v>307</v>
      </c>
      <c r="B20" s="2403" t="s">
        <v>308</v>
      </c>
      <c r="C20" s="3252"/>
    </row>
    <row r="21" spans="1:3">
      <c r="A21" s="2403" t="s">
        <v>257</v>
      </c>
      <c r="B21" s="2403" t="s">
        <v>308</v>
      </c>
      <c r="C21" s="3252"/>
    </row>
    <row r="22" spans="1:3">
      <c r="A22" s="2403" t="s">
        <v>309</v>
      </c>
      <c r="B22" s="2403" t="s">
        <v>308</v>
      </c>
      <c r="C22" s="3252"/>
    </row>
    <row r="23" spans="1:3">
      <c r="A23" s="2403" t="s">
        <v>310</v>
      </c>
      <c r="B23" s="2403" t="s">
        <v>308</v>
      </c>
      <c r="C23" s="3252"/>
    </row>
    <row r="24" spans="1:3">
      <c r="A24" s="2403" t="s">
        <v>311</v>
      </c>
      <c r="B24" s="2403" t="s">
        <v>308</v>
      </c>
      <c r="C24" s="3252"/>
    </row>
    <row r="25" spans="1:3">
      <c r="A25" s="2403" t="s">
        <v>312</v>
      </c>
      <c r="B25" s="2403" t="s">
        <v>308</v>
      </c>
      <c r="C25" s="3252"/>
    </row>
    <row r="26" spans="1:3">
      <c r="A26" s="2403" t="s">
        <v>313</v>
      </c>
      <c r="B26" s="2403" t="s">
        <v>308</v>
      </c>
      <c r="C26" s="3252"/>
    </row>
    <row r="27" spans="1:3">
      <c r="A27" s="2403" t="s">
        <v>308</v>
      </c>
      <c r="B27" s="2403" t="s">
        <v>308</v>
      </c>
      <c r="C27" s="3252"/>
    </row>
    <row r="28" spans="1:3">
      <c r="A28" s="2403" t="s">
        <v>308</v>
      </c>
      <c r="B28" s="2403" t="s">
        <v>308</v>
      </c>
      <c r="C28" s="3252"/>
    </row>
    <row r="29" spans="1:3">
      <c r="A29" s="2403" t="s">
        <v>308</v>
      </c>
      <c r="B29" s="2403" t="s">
        <v>308</v>
      </c>
      <c r="C29" s="3252"/>
    </row>
    <row r="30" spans="1:3">
      <c r="A30" s="2403" t="s">
        <v>308</v>
      </c>
      <c r="B30" s="2403" t="s">
        <v>308</v>
      </c>
      <c r="C30" s="3252"/>
    </row>
    <row r="31" spans="1:3">
      <c r="A31" s="2403" t="s">
        <v>308</v>
      </c>
      <c r="B31" s="2403" t="s">
        <v>308</v>
      </c>
      <c r="C31" s="3252"/>
    </row>
    <row r="32" spans="1:3">
      <c r="A32" s="2403" t="s">
        <v>308</v>
      </c>
      <c r="B32" s="2403" t="s">
        <v>308</v>
      </c>
      <c r="C32" s="3252"/>
    </row>
    <row r="33" spans="1:3">
      <c r="A33" s="2403" t="s">
        <v>308</v>
      </c>
      <c r="B33" s="2403" t="s">
        <v>308</v>
      </c>
      <c r="C33" s="3252"/>
    </row>
    <row r="34" spans="1:3">
      <c r="A34" s="2403" t="s">
        <v>308</v>
      </c>
      <c r="B34" s="2403" t="s">
        <v>308</v>
      </c>
      <c r="C34" s="3252"/>
    </row>
    <row r="35" spans="1:3">
      <c r="A35" s="2403" t="s">
        <v>308</v>
      </c>
      <c r="B35" s="2403" t="s">
        <v>308</v>
      </c>
      <c r="C35" s="3252"/>
    </row>
    <row r="36" spans="1:3">
      <c r="A36" s="2403" t="s">
        <v>308</v>
      </c>
      <c r="B36" s="2403" t="s">
        <v>308</v>
      </c>
      <c r="C36" s="3252"/>
    </row>
    <row r="37" spans="1:3">
      <c r="A37" s="2403" t="s">
        <v>308</v>
      </c>
      <c r="B37" s="2403" t="s">
        <v>308</v>
      </c>
      <c r="C37" s="3252"/>
    </row>
    <row r="38" spans="1:3">
      <c r="A38" s="2403" t="s">
        <v>308</v>
      </c>
      <c r="B38" s="2403" t="s">
        <v>308</v>
      </c>
      <c r="C38" s="3252"/>
    </row>
    <row r="39" spans="1:3">
      <c r="A39" s="2403" t="s">
        <v>308</v>
      </c>
      <c r="B39" s="2403" t="s">
        <v>308</v>
      </c>
      <c r="C39" s="3252"/>
    </row>
    <row r="40" spans="1:3">
      <c r="A40" s="2403" t="s">
        <v>308</v>
      </c>
      <c r="B40" s="2403" t="s">
        <v>308</v>
      </c>
      <c r="C40" s="3252"/>
    </row>
    <row r="41" spans="1:3">
      <c r="A41" s="2403" t="s">
        <v>308</v>
      </c>
      <c r="B41" s="2403" t="s">
        <v>308</v>
      </c>
      <c r="C41" s="3252"/>
    </row>
    <row r="42" spans="1:3">
      <c r="A42" s="2403" t="s">
        <v>308</v>
      </c>
      <c r="B42" s="2403" t="s">
        <v>308</v>
      </c>
      <c r="C42" s="3252"/>
    </row>
    <row r="43" spans="1:3">
      <c r="A43" s="2403" t="s">
        <v>308</v>
      </c>
      <c r="B43" s="2403" t="s">
        <v>308</v>
      </c>
      <c r="C43" s="3252"/>
    </row>
    <row r="44" spans="1:3">
      <c r="A44" s="2403" t="s">
        <v>308</v>
      </c>
      <c r="B44" s="2403" t="s">
        <v>308</v>
      </c>
      <c r="C44" s="3252"/>
    </row>
    <row r="45" spans="1:3">
      <c r="A45" s="2403" t="s">
        <v>308</v>
      </c>
      <c r="B45" s="2403" t="s">
        <v>308</v>
      </c>
      <c r="C45" s="3252"/>
    </row>
    <row r="46" spans="1:3">
      <c r="A46" s="2403" t="s">
        <v>308</v>
      </c>
      <c r="B46" s="2403" t="s">
        <v>308</v>
      </c>
      <c r="C46" s="3252"/>
    </row>
    <row r="47" spans="1:3">
      <c r="A47" s="2403" t="s">
        <v>308</v>
      </c>
      <c r="B47" s="2403" t="s">
        <v>308</v>
      </c>
      <c r="C47" s="3252"/>
    </row>
    <row r="48" spans="1:3">
      <c r="A48" s="2403" t="s">
        <v>308</v>
      </c>
      <c r="B48" s="2403" t="s">
        <v>308</v>
      </c>
      <c r="C48" s="3252"/>
    </row>
    <row r="49" spans="1:3">
      <c r="A49" s="2403" t="s">
        <v>308</v>
      </c>
      <c r="B49" s="2403" t="s">
        <v>308</v>
      </c>
      <c r="C49" s="3252"/>
    </row>
    <row r="50" spans="1:3">
      <c r="A50" s="2403" t="s">
        <v>308</v>
      </c>
      <c r="B50" s="2403" t="s">
        <v>308</v>
      </c>
      <c r="C50" s="3252"/>
    </row>
    <row r="51" spans="1:4">
      <c r="A51" s="3254" t="s">
        <v>314</v>
      </c>
      <c r="B51" s="274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3" t="s">
        <v>318</v>
      </c>
      <c r="D52" s="2743" t="s">
        <v>319</v>
      </c>
    </row>
    <row r="53" customHeight="1" spans="1:3">
      <c r="A53" s="3250" t="s">
        <v>320</v>
      </c>
      <c r="B53" s="2743" t="s">
        <v>321</v>
      </c>
      <c r="C53" s="274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row>
    <row r="54" spans="1:3">
      <c r="A54" s="3250"/>
      <c r="B54" s="2743" t="s">
        <v>322</v>
      </c>
      <c r="C54" s="2743" t="s">
        <v>323</v>
      </c>
    </row>
    <row r="55" spans="1:3">
      <c r="A55" s="3250"/>
      <c r="B55" s="2743" t="s">
        <v>324</v>
      </c>
      <c r="C55" s="2743" t="s">
        <v>325</v>
      </c>
    </row>
    <row r="56" spans="1:3">
      <c r="A56" s="3250"/>
      <c r="B56" s="2743" t="s">
        <v>326</v>
      </c>
      <c r="C56" s="2743" t="s">
        <v>327</v>
      </c>
    </row>
    <row r="57" spans="1:3">
      <c r="A57" s="3250"/>
      <c r="B57" s="2743" t="s">
        <v>328</v>
      </c>
      <c r="C57" s="2743" t="s">
        <v>329</v>
      </c>
    </row>
    <row r="58" spans="1:2">
      <c r="A58" s="3255"/>
      <c r="B58" s="3256"/>
    </row>
    <row r="59" spans="1:2">
      <c r="A59" s="3255"/>
      <c r="B59" s="3256"/>
    </row>
    <row r="60" spans="1:2">
      <c r="A60" s="3257"/>
      <c r="B60" s="2743"/>
    </row>
    <row r="61" spans="1:2">
      <c r="A61" s="3257"/>
      <c r="B61" s="2743"/>
    </row>
    <row r="62" spans="1:2">
      <c r="A62" s="3257"/>
      <c r="B62" s="2743"/>
    </row>
    <row r="63" spans="1:2">
      <c r="A63" s="3257"/>
      <c r="B63" s="2743"/>
    </row>
    <row r="64" spans="1:2">
      <c r="A64" s="3257"/>
      <c r="B64" s="2743"/>
    </row>
    <row r="65" spans="1:2">
      <c r="A65" s="3257"/>
      <c r="B65" s="2743"/>
    </row>
    <row r="66" spans="1:2">
      <c r="A66" s="3257"/>
      <c r="B66" s="2743"/>
    </row>
    <row r="67" spans="1:2">
      <c r="A67" s="3257"/>
      <c r="B67" s="2743"/>
    </row>
    <row r="68" spans="1:2">
      <c r="A68" s="3257"/>
      <c r="B68" s="2743"/>
    </row>
    <row r="69" spans="1:2">
      <c r="A69" s="3257"/>
      <c r="B69" s="2743"/>
    </row>
    <row r="70" spans="1:2">
      <c r="A70" s="3257"/>
      <c r="B70" s="2743"/>
    </row>
    <row r="71" spans="1:2">
      <c r="A71" s="3257"/>
      <c r="B71" s="2743"/>
    </row>
    <row r="72" spans="1:2">
      <c r="A72" s="3257"/>
      <c r="B72" s="2743"/>
    </row>
    <row r="73" spans="1:2">
      <c r="A73" s="3257"/>
      <c r="B73" s="2743"/>
    </row>
    <row r="74" spans="1:2">
      <c r="A74" s="3257"/>
      <c r="B74" s="2743"/>
    </row>
    <row r="75" spans="1:2">
      <c r="A75" s="3257"/>
      <c r="B75" s="2743"/>
    </row>
    <row r="76" spans="1:2">
      <c r="A76" s="3257"/>
      <c r="B76" s="2743"/>
    </row>
    <row r="77" spans="1:2">
      <c r="A77" s="3257"/>
      <c r="B77" s="2743"/>
    </row>
    <row r="78" spans="1:2">
      <c r="A78" s="3257"/>
      <c r="B78" s="2743"/>
    </row>
    <row r="79" spans="1:2">
      <c r="A79" s="3257"/>
      <c r="B79" s="2743"/>
    </row>
    <row r="80" spans="1:2">
      <c r="A80" s="3257"/>
      <c r="B80" s="2743"/>
    </row>
    <row r="81" spans="1:2">
      <c r="A81" s="3257"/>
      <c r="B81" s="2743"/>
    </row>
    <row r="82" spans="1:2">
      <c r="A82" s="3257"/>
      <c r="B82" s="2743"/>
    </row>
    <row r="83" spans="1:2">
      <c r="A83" s="3257"/>
      <c r="B83" s="2743"/>
    </row>
    <row r="84" spans="1:2">
      <c r="A84" s="3257"/>
      <c r="B84" s="2743"/>
    </row>
    <row r="85" spans="1:2">
      <c r="A85" s="3257"/>
      <c r="B85" s="2743"/>
    </row>
    <row r="86" spans="1:2">
      <c r="A86" s="3257"/>
      <c r="B86" s="2743"/>
    </row>
    <row r="87" spans="1:2">
      <c r="A87" s="3257"/>
      <c r="B87" s="2743"/>
    </row>
    <row r="88" spans="1:2">
      <c r="A88" s="3257"/>
      <c r="B88" s="2743"/>
    </row>
    <row r="89" spans="1:2">
      <c r="A89" s="3257"/>
      <c r="B89" s="2743"/>
    </row>
    <row r="90" spans="1:2">
      <c r="A90" s="3257"/>
      <c r="B90" s="2743"/>
    </row>
    <row r="91" spans="1:2">
      <c r="A91" s="3257"/>
      <c r="B91" s="2743"/>
    </row>
    <row r="92" spans="1:2">
      <c r="A92" s="3257"/>
      <c r="B92" s="2743"/>
    </row>
    <row r="93" spans="1:2">
      <c r="A93" s="3257"/>
      <c r="B93" s="2743"/>
    </row>
    <row r="94" spans="1:2">
      <c r="A94" s="3257"/>
      <c r="B94" s="2743"/>
    </row>
    <row r="95" spans="1:2">
      <c r="A95" s="3257"/>
      <c r="B95" s="2743"/>
    </row>
    <row r="96" spans="1:2">
      <c r="A96" s="3257"/>
      <c r="B96" s="2743"/>
    </row>
    <row r="97" spans="1:2">
      <c r="A97" s="3257"/>
      <c r="B97" s="2743"/>
    </row>
    <row r="98" spans="1:2">
      <c r="A98" s="3257"/>
      <c r="B98" s="2743"/>
    </row>
    <row r="99" spans="1:2">
      <c r="A99" s="3257"/>
      <c r="B99" s="2743"/>
    </row>
    <row r="100" spans="1:2">
      <c r="A100" s="3257"/>
      <c r="B100" s="2743"/>
    </row>
    <row r="101" spans="1:2">
      <c r="A101" s="3257"/>
      <c r="B101" s="2743"/>
    </row>
    <row r="102" spans="1:2">
      <c r="A102" s="3257"/>
      <c r="B102" s="2743"/>
    </row>
    <row r="103" spans="1:2">
      <c r="A103" s="3257"/>
      <c r="B103" s="2743"/>
    </row>
    <row r="104" spans="1:2">
      <c r="A104" s="3257"/>
      <c r="B104" s="2743"/>
    </row>
    <row r="105" spans="1:2">
      <c r="A105" s="3257"/>
      <c r="B105" s="2743"/>
    </row>
    <row r="106" spans="1:2">
      <c r="A106" s="3257"/>
      <c r="B106" s="2743"/>
    </row>
    <row r="107" spans="1:2">
      <c r="A107" s="3257"/>
      <c r="B107" s="2743"/>
    </row>
    <row r="108" spans="1:2">
      <c r="A108" s="3257"/>
      <c r="B108" s="2743"/>
    </row>
    <row r="109" spans="1:2">
      <c r="A109" s="3257"/>
      <c r="B109" s="2743"/>
    </row>
    <row r="110" spans="1:2">
      <c r="A110" s="3257"/>
      <c r="B110" s="2743"/>
    </row>
    <row r="111" spans="1:2">
      <c r="A111" s="3257"/>
      <c r="B111" s="2743"/>
    </row>
    <row r="112" spans="1:2">
      <c r="A112" s="3257"/>
      <c r="B112" s="2743"/>
    </row>
    <row r="113" spans="1:2">
      <c r="A113" s="3257"/>
      <c r="B113" s="2743"/>
    </row>
    <row r="114" spans="1:2">
      <c r="A114" s="3257"/>
      <c r="B114" s="2743"/>
    </row>
    <row r="115" spans="1:2">
      <c r="A115" s="3257"/>
      <c r="B115" s="2743"/>
    </row>
    <row r="116" spans="1:2">
      <c r="A116" s="3257"/>
      <c r="B116" s="2743"/>
    </row>
    <row r="117" spans="1:2">
      <c r="A117" s="3257"/>
      <c r="B117" s="2743"/>
    </row>
    <row r="118" spans="1:2">
      <c r="A118" s="3257"/>
      <c r="B118" s="2743"/>
    </row>
    <row r="119" spans="1:2">
      <c r="A119" s="3257"/>
      <c r="B119" s="2743"/>
    </row>
    <row r="120" spans="1:2">
      <c r="A120" s="3257"/>
      <c r="B120" s="2743"/>
    </row>
    <row r="121" spans="1:2">
      <c r="A121" s="3257"/>
      <c r="B121" s="2743"/>
    </row>
    <row r="122" spans="1:2">
      <c r="A122" s="3257"/>
      <c r="B122" s="2743"/>
    </row>
    <row r="123" spans="1:2">
      <c r="A123" s="3257"/>
      <c r="B123" s="2743"/>
    </row>
    <row r="124" spans="1:2">
      <c r="A124" s="3257"/>
      <c r="B124" s="2743"/>
    </row>
    <row r="125" spans="1:2">
      <c r="A125" s="3257"/>
      <c r="B125" s="2743"/>
    </row>
    <row r="126" spans="1:2">
      <c r="A126" s="3257"/>
      <c r="B126" s="2743"/>
    </row>
    <row r="127" spans="1:2">
      <c r="A127" s="3257"/>
      <c r="B127" s="2743"/>
    </row>
    <row r="128" spans="1:2">
      <c r="A128" s="3257"/>
      <c r="B128" s="27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2021-11-16T01:08:43Z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