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02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基准地价系数修正法" sheetId="71" r:id="rId30"/>
    <sheet name="剩余法-待开发" sheetId="12"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L8" i="71" l="1"/>
  <c r="K39" i="71"/>
  <c r="K32" i="71"/>
  <c r="S15" i="71"/>
  <c r="S16" i="71"/>
  <c r="S17" i="71"/>
  <c r="S18" i="71"/>
  <c r="S19" i="71" l="1"/>
  <c r="L7" i="71" s="1"/>
  <c r="H47" i="71"/>
  <c r="L10" i="71" s="1"/>
  <c r="R37" i="69"/>
  <c r="R5" i="69"/>
  <c r="S5" i="71" l="1"/>
  <c r="S6" i="71"/>
  <c r="S7" i="71"/>
  <c r="S8" i="71"/>
  <c r="S10" i="71" l="1"/>
  <c r="S11" i="71"/>
  <c r="L11" i="71" s="1"/>
  <c r="L12" i="71" s="1"/>
  <c r="S12" i="71"/>
  <c r="S13" i="71"/>
  <c r="S14" i="71"/>
  <c r="S9" i="71"/>
  <c r="N25" i="71" l="1"/>
  <c r="L3" i="12"/>
  <c r="D20" i="70"/>
  <c r="D21" i="70" s="1"/>
  <c r="B18" i="70"/>
  <c r="I48" i="39"/>
  <c r="E48" i="39"/>
  <c r="I40" i="39"/>
  <c r="G40" i="39"/>
  <c r="E40" i="39"/>
  <c r="C40" i="39"/>
  <c r="I9" i="39"/>
  <c r="G9" i="39"/>
  <c r="E9" i="39"/>
  <c r="I7" i="39"/>
  <c r="G7" i="39"/>
  <c r="E7" i="39"/>
  <c r="F19" i="6"/>
  <c r="R23" i="69"/>
  <c r="R24" i="69"/>
  <c r="R25" i="69"/>
  <c r="R26" i="69"/>
  <c r="R27" i="69"/>
  <c r="R28" i="69"/>
  <c r="R29" i="69"/>
  <c r="R30" i="69"/>
  <c r="R31" i="69"/>
  <c r="R32" i="69"/>
  <c r="R33" i="69"/>
  <c r="R34" i="69"/>
  <c r="R35" i="69"/>
  <c r="R36" i="69"/>
  <c r="R38" i="69"/>
  <c r="R39" i="69"/>
  <c r="R40" i="69"/>
  <c r="R41" i="69"/>
  <c r="R42" i="69"/>
  <c r="R43" i="69"/>
  <c r="R44" i="69"/>
  <c r="R45" i="69"/>
  <c r="R46" i="69"/>
  <c r="R47" i="69"/>
  <c r="R48" i="69"/>
  <c r="R6" i="69"/>
  <c r="R7" i="69"/>
  <c r="R8" i="69"/>
  <c r="R9" i="69"/>
  <c r="R10" i="69"/>
  <c r="R11" i="69"/>
  <c r="R12" i="69"/>
  <c r="R13" i="69"/>
  <c r="R14" i="69"/>
  <c r="R15" i="69"/>
  <c r="R16" i="69"/>
  <c r="R17" i="69"/>
  <c r="R18" i="69"/>
  <c r="R19" i="69"/>
  <c r="R20" i="69"/>
  <c r="R21" i="69"/>
  <c r="R22" i="69"/>
  <c r="G48" i="39" s="1"/>
  <c r="R2" i="69"/>
  <c r="R3" i="69"/>
  <c r="R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G12" i="46"/>
  <c r="AE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s="1"/>
  <c r="B40" i="50"/>
  <c r="B3" i="63" s="1"/>
  <c r="B21" i="63"/>
  <c r="B67" i="63"/>
  <c r="I19" i="46"/>
  <c r="Q29" i="59"/>
  <c r="F29" i="59" s="1"/>
  <c r="V29" i="59" s="1"/>
  <c r="P29" i="59"/>
  <c r="O29" i="59"/>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s="1"/>
  <c r="F68" i="59"/>
  <c r="F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AA39" i="59" s="1"/>
  <c r="O39" i="59"/>
  <c r="N39" i="59"/>
  <c r="X39" i="59" s="1"/>
  <c r="Q38" i="59"/>
  <c r="P38" i="59"/>
  <c r="O38" i="59"/>
  <c r="C39" i="59"/>
  <c r="C40" i="59" s="1"/>
  <c r="N38" i="59"/>
  <c r="B39" i="59"/>
  <c r="B40" i="59" s="1"/>
  <c r="B41" i="59" s="1"/>
  <c r="S41" i="59" s="1"/>
  <c r="D38" i="59"/>
  <c r="Q37" i="59"/>
  <c r="P37" i="59"/>
  <c r="O37" i="59"/>
  <c r="Y37" i="59" s="1"/>
  <c r="Z37" i="59" s="1"/>
  <c r="N37" i="59"/>
  <c r="Q36" i="59"/>
  <c r="AB36" i="59" s="1"/>
  <c r="P36" i="59"/>
  <c r="O36" i="59"/>
  <c r="N36" i="59"/>
  <c r="Q35" i="59"/>
  <c r="P35" i="59"/>
  <c r="O35" i="59"/>
  <c r="Y35" i="59" s="1"/>
  <c r="Z35" i="59" s="1"/>
  <c r="N35" i="59"/>
  <c r="Q34" i="59"/>
  <c r="AB34" i="59" s="1"/>
  <c r="P34" i="59"/>
  <c r="E35" i="59" s="1"/>
  <c r="E36" i="59" s="1"/>
  <c r="E37" i="59" s="1"/>
  <c r="U37" i="59" s="1"/>
  <c r="O34" i="59"/>
  <c r="Y27" i="59" s="1"/>
  <c r="Z27" i="59" s="1"/>
  <c r="N34" i="59"/>
  <c r="D34" i="59"/>
  <c r="Q33" i="59"/>
  <c r="P33" i="59"/>
  <c r="AA33" i="59" s="1"/>
  <c r="O33" i="59"/>
  <c r="N33" i="59"/>
  <c r="Q32" i="59"/>
  <c r="P32" i="59"/>
  <c r="O32" i="59"/>
  <c r="N32" i="59"/>
  <c r="X32" i="59" s="1"/>
  <c r="Q31" i="59"/>
  <c r="P31" i="59"/>
  <c r="AA31" i="59" s="1"/>
  <c r="O31" i="59"/>
  <c r="N31" i="59"/>
  <c r="X27" i="59" s="1"/>
  <c r="Q30" i="59"/>
  <c r="P30" i="59"/>
  <c r="AA30" i="59" s="1"/>
  <c r="O30" i="59"/>
  <c r="C31" i="59"/>
  <c r="C32" i="59" s="1"/>
  <c r="C33" i="59" s="1"/>
  <c r="N30" i="59"/>
  <c r="B31" i="59"/>
  <c r="B32" i="59" s="1"/>
  <c r="B33" i="59" s="1"/>
  <c r="S33" i="59" s="1"/>
  <c r="D30" i="59"/>
  <c r="X3" i="59"/>
  <c r="X29" i="59"/>
  <c r="Y26" i="59"/>
  <c r="Z26" i="59" s="1"/>
  <c r="Y28" i="59"/>
  <c r="Z28" i="59" s="1"/>
  <c r="AB29" i="59"/>
  <c r="AB28" i="59"/>
  <c r="E31" i="59"/>
  <c r="E32" i="59" s="1"/>
  <c r="E33" i="59" s="1"/>
  <c r="U33" i="59" s="1"/>
  <c r="S69" i="59"/>
  <c r="AA40" i="59"/>
  <c r="F49" i="59"/>
  <c r="V49" i="59" s="1"/>
  <c r="F56" i="59"/>
  <c r="F57" i="59" s="1"/>
  <c r="V57" i="59"/>
  <c r="F61" i="59"/>
  <c r="V61" i="59" s="1"/>
  <c r="D39" i="59"/>
  <c r="D43" i="59"/>
  <c r="C56" i="59"/>
  <c r="C60" i="59"/>
  <c r="D60" i="59" s="1"/>
  <c r="C64" i="59"/>
  <c r="E67" i="59"/>
  <c r="P67" i="59" s="1"/>
  <c r="B67" i="59"/>
  <c r="N66" i="59" s="1"/>
  <c r="Q68" i="59"/>
  <c r="T69" i="59"/>
  <c r="D69" i="59"/>
  <c r="P69" i="59"/>
  <c r="U69" i="59"/>
  <c r="Q69" i="59"/>
  <c r="E72" i="59"/>
  <c r="E71" i="59" s="1"/>
  <c r="D73" i="59"/>
  <c r="C76" i="59"/>
  <c r="D76" i="59" s="1"/>
  <c r="E76" i="59"/>
  <c r="E75" i="59" s="1"/>
  <c r="D77" i="59"/>
  <c r="E80" i="59"/>
  <c r="E79" i="59" s="1"/>
  <c r="D81" i="59"/>
  <c r="C88" i="59"/>
  <c r="D88" i="59" s="1"/>
  <c r="U16" i="4"/>
  <c r="S16" i="4"/>
  <c r="Q16" i="4"/>
  <c r="O16" i="4"/>
  <c r="M16" i="4"/>
  <c r="K16" i="4"/>
  <c r="P66" i="59"/>
  <c r="C87" i="59"/>
  <c r="D87" i="59" s="1"/>
  <c r="C75" i="59"/>
  <c r="D75" i="59" s="1"/>
  <c r="N67" i="59"/>
  <c r="C65" i="59"/>
  <c r="D64" i="59"/>
  <c r="C57" i="59"/>
  <c r="D57" i="59" s="1"/>
  <c r="D56" i="59"/>
  <c r="C41" i="59"/>
  <c r="D40" i="59"/>
  <c r="D32" i="59"/>
  <c r="T41" i="59"/>
  <c r="D41" i="59"/>
  <c r="T57" i="59"/>
  <c r="T65" i="59"/>
  <c r="D65"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5" i="46" s="1"/>
  <c r="C22" i="20"/>
  <c r="B65" i="46" s="1"/>
  <c r="S18" i="36"/>
  <c r="S18" i="35"/>
  <c r="S21" i="37"/>
  <c r="S21" i="34"/>
  <c r="S21" i="21"/>
  <c r="S31" i="39"/>
  <c r="C27" i="40"/>
  <c r="B5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W10" i="40"/>
  <c r="U11" i="40"/>
  <c r="U36" i="40"/>
  <c r="S40" i="39"/>
  <c r="F11" i="21"/>
  <c r="S11" i="21" s="1"/>
  <c r="AC40" i="21"/>
  <c r="AA38" i="21"/>
  <c r="AB36" i="21"/>
  <c r="AC35" i="21"/>
  <c r="C29" i="39"/>
  <c r="C23" i="39"/>
  <c r="U36" i="39"/>
  <c r="H32" i="33"/>
  <c r="AB32" i="33"/>
  <c r="H11" i="21"/>
  <c r="U11" i="21"/>
  <c r="J11" i="21"/>
  <c r="W11" i="21"/>
  <c r="F85" i="40"/>
  <c r="G85" i="40"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c r="H30" i="21"/>
  <c r="U30" i="21"/>
  <c r="F30" i="21"/>
  <c r="S30" i="21" s="1"/>
  <c r="J30" i="21"/>
  <c r="W30" i="21" s="1"/>
  <c r="J44" i="21"/>
  <c r="AC44" i="2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AB13" i="21"/>
  <c r="S46" i="21"/>
  <c r="U46" i="21"/>
  <c r="AC30" i="21"/>
  <c r="AB30" i="21"/>
  <c r="S28" i="21"/>
  <c r="AA28" i="21"/>
  <c r="AB14" i="21"/>
  <c r="W14" i="21"/>
  <c r="AC14" i="21"/>
  <c r="W42" i="21"/>
  <c r="U36" i="37"/>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3" i="21"/>
  <c r="I58" i="40"/>
  <c r="C58" i="40" s="1"/>
  <c r="I59" i="40"/>
  <c r="C59"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G198" i="3"/>
  <c r="BA200" i="3"/>
  <c r="AZ200" i="3" s="1"/>
  <c r="BL201" i="3"/>
  <c r="AZ201" i="3" s="1"/>
  <c r="AZ66"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62" i="3"/>
  <c r="AZ187" i="3"/>
  <c r="AZ195"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5" i="3"/>
  <c r="AZ313" i="3"/>
  <c r="AZ319" i="3"/>
  <c r="AZ347" i="3"/>
  <c r="AZ351" i="3"/>
  <c r="AZ369" i="3"/>
  <c r="AZ385" i="3"/>
  <c r="AZ390" i="3"/>
  <c r="AZ398" i="3"/>
  <c r="AZ414" i="3"/>
  <c r="AZ422" i="3"/>
  <c r="AZ434" i="3"/>
  <c r="AZ442" i="3"/>
  <c r="AZ446" i="3"/>
  <c r="AZ450" i="3"/>
  <c r="AZ459" i="3"/>
  <c r="AZ463"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U42" i="21"/>
  <c r="AC26" i="36"/>
  <c r="W25" i="35"/>
  <c r="AZ300" i="3"/>
  <c r="AZ354" i="3"/>
  <c r="AZ322"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AC15" i="40" s="1"/>
  <c r="H15" i="40"/>
  <c r="AB15" i="40"/>
  <c r="E91" i="40"/>
  <c r="F91" i="40"/>
  <c r="G91"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54" i="3"/>
  <c r="B41" i="1"/>
  <c r="F72" i="9" s="1"/>
  <c r="J42" i="40"/>
  <c r="AC42" i="40" s="1"/>
  <c r="J40" i="40"/>
  <c r="AC40" i="40" s="1"/>
  <c r="J34" i="40"/>
  <c r="AC34" i="40" s="1"/>
  <c r="H16" i="40"/>
  <c r="AB16" i="40" s="1"/>
  <c r="H14" i="40"/>
  <c r="U14" i="40" s="1"/>
  <c r="F32" i="40"/>
  <c r="AA32" i="40" s="1"/>
  <c r="AZ401" i="3"/>
  <c r="AZ433" i="3"/>
  <c r="AZ436" i="3"/>
  <c r="AZ444" i="3"/>
  <c r="AZ452" i="3"/>
  <c r="M1" i="46"/>
  <c r="M6" i="46"/>
  <c r="M10" i="46"/>
  <c r="N2" i="46"/>
  <c r="N5" i="46"/>
  <c r="F58" i="46"/>
  <c r="H61" i="46" s="1"/>
  <c r="N7" i="46"/>
  <c r="AZ456" i="3"/>
  <c r="AZ458" i="3"/>
  <c r="AZ461" i="3"/>
  <c r="AZ474" i="3"/>
  <c r="AZ477" i="3"/>
  <c r="AZ212" i="3"/>
  <c r="AZ215" i="3"/>
  <c r="AZ228" i="3"/>
  <c r="AZ231" i="3"/>
  <c r="AZ244" i="3"/>
  <c r="AZ247" i="3"/>
  <c r="AZ260" i="3"/>
  <c r="AZ263" i="3"/>
  <c r="AZ276" i="3"/>
  <c r="AZ281" i="3"/>
  <c r="AZ289" i="3"/>
  <c r="AZ121" i="3"/>
  <c r="AZ140" i="3"/>
  <c r="M7" i="46"/>
  <c r="M11" i="46"/>
  <c r="N3" i="46"/>
  <c r="N6" i="46"/>
  <c r="N10" i="46"/>
  <c r="F69" i="46"/>
  <c r="H71" i="46"/>
  <c r="AZ167" i="3"/>
  <c r="AZ180" i="3"/>
  <c r="AZ24" i="3"/>
  <c r="AZ40" i="3"/>
  <c r="AZ56" i="3"/>
  <c r="AZ71" i="3"/>
  <c r="AZ91" i="3"/>
  <c r="AZ107" i="3"/>
  <c r="AZ112" i="3"/>
  <c r="J13" i="40"/>
  <c r="W13" i="40"/>
  <c r="AB14" i="40"/>
  <c r="W40" i="40"/>
  <c r="AC14" i="40"/>
  <c r="S33" i="40"/>
  <c r="S47" i="39"/>
  <c r="U37" i="34"/>
  <c r="AC41" i="40"/>
  <c r="W41" i="40"/>
  <c r="U41" i="40"/>
  <c r="J23" i="40"/>
  <c r="AC23" i="40" s="1"/>
  <c r="F23" i="40"/>
  <c r="S23" i="40" s="1"/>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c r="H33" i="37"/>
  <c r="AB33" i="37"/>
  <c r="U20" i="35"/>
  <c r="AB20" i="35"/>
  <c r="W23" i="40"/>
  <c r="AP11" i="1"/>
  <c r="B11" i="1"/>
  <c r="E11" i="1" s="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AA21" i="39"/>
  <c r="AC38" i="39"/>
  <c r="AC21" i="39"/>
  <c r="AC17" i="39"/>
  <c r="S14" i="39"/>
  <c r="AB15" i="39"/>
  <c r="U11" i="39"/>
  <c r="U41" i="39"/>
  <c r="AB38" i="39"/>
  <c r="U31" i="39"/>
  <c r="AB31" i="39"/>
  <c r="S38" i="39"/>
  <c r="S22" i="31"/>
  <c r="M20" i="15"/>
  <c r="D96" i="9"/>
  <c r="M18" i="15"/>
  <c r="A18" i="64"/>
  <c r="B74" i="63" s="1"/>
  <c r="C53" i="10"/>
  <c r="A25" i="64" s="1"/>
  <c r="A18" i="51"/>
  <c r="B14" i="63" s="1"/>
  <c r="BA16" i="3"/>
  <c r="BA17" i="3"/>
  <c r="AZ17" i="3"/>
  <c r="F3" i="35"/>
  <c r="K1" i="43"/>
  <c r="K1" i="12"/>
  <c r="G1" i="44"/>
  <c r="AZ15" i="3"/>
  <c r="BK5" i="3"/>
  <c r="BO5" i="3"/>
  <c r="BP5" i="3"/>
  <c r="BN5" i="3"/>
  <c r="G29" i="6" s="1"/>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E5" i="6"/>
  <c r="D12" i="11" s="1"/>
  <c r="C12" i="11" s="1"/>
  <c r="AT6" i="3"/>
  <c r="AZ13" i="3"/>
  <c r="AZ16" i="3"/>
  <c r="E4" i="4"/>
  <c r="B21" i="55" s="1"/>
  <c r="B72" i="63" s="1"/>
  <c r="C4" i="4"/>
  <c r="B20" i="55" s="1"/>
  <c r="B70" i="63" s="1"/>
  <c r="G66" i="36"/>
  <c r="J18" i="36"/>
  <c r="W18" i="36" s="1"/>
  <c r="AE8" i="1"/>
  <c r="AE7" i="1"/>
  <c r="AG6" i="1"/>
  <c r="L20" i="6"/>
  <c r="L19" i="6"/>
  <c r="S7" i="1"/>
  <c r="S8" i="1"/>
  <c r="S9" i="1"/>
  <c r="R9" i="1"/>
  <c r="R7" i="1"/>
  <c r="R8" i="1"/>
  <c r="C45" i="9"/>
  <c r="H14" i="66" s="1"/>
  <c r="B7" i="66" s="1"/>
  <c r="C44" i="9"/>
  <c r="G14" i="66" s="1"/>
  <c r="B6" i="66" s="1"/>
  <c r="O39" i="9"/>
  <c r="R6" i="54" s="1"/>
  <c r="B50" i="63" s="1"/>
  <c r="K29" i="9"/>
  <c r="K30" i="9"/>
  <c r="N76" i="9"/>
  <c r="C46" i="9"/>
  <c r="K33" i="9"/>
  <c r="K34" i="9" s="1"/>
  <c r="O41" i="9"/>
  <c r="I14" i="66"/>
  <c r="B8" i="66" s="1"/>
  <c r="R8" i="54"/>
  <c r="B54" i="63" s="1"/>
  <c r="H58" i="46"/>
  <c r="J17" i="46"/>
  <c r="C17" i="46"/>
  <c r="F34" i="46"/>
  <c r="F38" i="46"/>
  <c r="F37" i="46"/>
  <c r="H113" i="46"/>
  <c r="H49"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J7" i="65"/>
  <c r="B9" i="67"/>
  <c r="M24" i="44"/>
  <c r="F43" i="44"/>
  <c r="F28" i="44"/>
  <c r="M9" i="15"/>
  <c r="M25" i="44"/>
  <c r="M24" i="15"/>
  <c r="F43" i="15"/>
  <c r="F15" i="44"/>
  <c r="B13" i="67"/>
  <c r="M11" i="44"/>
  <c r="J4" i="65"/>
  <c r="N3" i="65"/>
  <c r="F12" i="67"/>
  <c r="F40" i="44"/>
  <c r="J17" i="44"/>
  <c r="F14" i="67"/>
  <c r="E10" i="67"/>
  <c r="J3" i="65"/>
  <c r="F13" i="67"/>
  <c r="F10" i="67"/>
  <c r="F8" i="44"/>
  <c r="B10" i="67"/>
  <c r="M26" i="44"/>
  <c r="I6" i="65"/>
  <c r="F9" i="67"/>
  <c r="M29" i="44"/>
  <c r="B12" i="67"/>
  <c r="I4" i="65"/>
  <c r="F45" i="44"/>
  <c r="B14" i="67"/>
  <c r="F11" i="44"/>
  <c r="M8" i="44"/>
  <c r="F9" i="44"/>
  <c r="F13" i="15"/>
  <c r="I7" i="65"/>
  <c r="E11" i="67"/>
  <c r="I3" i="65"/>
  <c r="N5" i="65"/>
  <c r="M28" i="44"/>
  <c r="F8" i="67"/>
  <c r="E8" i="67"/>
  <c r="B11" i="67"/>
  <c r="F11" i="67"/>
  <c r="I5" i="65"/>
  <c r="F38" i="44"/>
  <c r="E9" i="67"/>
  <c r="E14" i="67"/>
  <c r="F10" i="44"/>
  <c r="J6" i="65"/>
  <c r="M30" i="44"/>
  <c r="F16" i="15"/>
  <c r="M10" i="44"/>
  <c r="L47" i="15"/>
  <c r="N6" i="65"/>
  <c r="F46" i="44"/>
  <c r="F38" i="15"/>
  <c r="L48" i="44"/>
  <c r="N4" i="65"/>
  <c r="N7" i="65"/>
  <c r="M31" i="44"/>
  <c r="F36" i="15"/>
  <c r="B8" i="67"/>
  <c r="F18" i="44"/>
  <c r="E12" i="67"/>
  <c r="F39" i="44"/>
  <c r="L49" i="44"/>
  <c r="E13" i="67"/>
  <c r="J5" i="65"/>
  <c r="O40" i="9" l="1"/>
  <c r="K31" i="9" s="1"/>
  <c r="K32" i="9" s="1"/>
  <c r="A9" i="51"/>
  <c r="B9" i="63" s="1"/>
  <c r="E69" i="46"/>
  <c r="B67" i="46" s="1"/>
  <c r="F28" i="6"/>
  <c r="AC15" i="34"/>
  <c r="AZ494" i="3"/>
  <c r="AZ499" i="3"/>
  <c r="AZ507" i="3"/>
  <c r="AZ522" i="3"/>
  <c r="AZ365" i="3"/>
  <c r="U27" i="37"/>
  <c r="AB27" i="37"/>
  <c r="K141" i="21"/>
  <c r="K144" i="21"/>
  <c r="AC23" i="37"/>
  <c r="AZ502" i="3"/>
  <c r="AZ550" i="3"/>
  <c r="AZ562" i="3"/>
  <c r="AZ569" i="3"/>
  <c r="AC28" i="33"/>
  <c r="AC13" i="36"/>
  <c r="S46" i="33"/>
  <c r="AA39" i="37"/>
  <c r="I4" i="6"/>
  <c r="BA570" i="3"/>
  <c r="AZ570" i="3" s="1"/>
  <c r="BT5" i="3"/>
  <c r="BI5" i="3"/>
  <c r="BG5" i="3"/>
  <c r="F26" i="37"/>
  <c r="G568" i="3"/>
  <c r="G519" i="3"/>
  <c r="G503" i="3"/>
  <c r="G495" i="3"/>
  <c r="G486" i="3"/>
  <c r="G14" i="3"/>
  <c r="C18"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AZ304" i="3"/>
  <c r="AZ339" i="3"/>
  <c r="AZ331" i="3"/>
  <c r="AZ323" i="3"/>
  <c r="AZ343" i="3"/>
  <c r="AZ327" i="3"/>
  <c r="AZ302" i="3"/>
  <c r="AZ500" i="3"/>
  <c r="AZ510" i="3"/>
  <c r="AZ552" i="3"/>
  <c r="AZ492" i="3"/>
  <c r="AZ544" i="3"/>
  <c r="BF5" i="3"/>
  <c r="G551" i="3"/>
  <c r="G547" i="3"/>
  <c r="G536" i="3"/>
  <c r="G532" i="3"/>
  <c r="G524" i="3"/>
  <c r="G512" i="3"/>
  <c r="K145" i="21"/>
  <c r="AZ400" i="3"/>
  <c r="BA437" i="3"/>
  <c r="AZ437" i="3" s="1"/>
  <c r="BA438" i="3"/>
  <c r="AZ438" i="3" s="1"/>
  <c r="BA439" i="3"/>
  <c r="AZ439" i="3" s="1"/>
  <c r="BL441" i="3"/>
  <c r="AZ441" i="3" s="1"/>
  <c r="G444" i="3"/>
  <c r="G445" i="3"/>
  <c r="BL445" i="3"/>
  <c r="AZ445"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G288" i="3"/>
  <c r="BL288" i="3"/>
  <c r="BL290" i="3"/>
  <c r="AZ290" i="3" s="1"/>
  <c r="BA291" i="3"/>
  <c r="AZ291" i="3" s="1"/>
  <c r="BA292" i="3"/>
  <c r="AZ292" i="3" s="1"/>
  <c r="G295" i="3"/>
  <c r="G296" i="3"/>
  <c r="BL296" i="3"/>
  <c r="BA113" i="3"/>
  <c r="AZ113" i="3" s="1"/>
  <c r="BL114" i="3"/>
  <c r="AZ114" i="3" s="1"/>
  <c r="BA116" i="3"/>
  <c r="AZ116" i="3" s="1"/>
  <c r="G119"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29" i="3"/>
  <c r="AZ460" i="3"/>
  <c r="AZ214" i="3"/>
  <c r="AZ230" i="3"/>
  <c r="AZ262" i="3"/>
  <c r="BL120" i="3"/>
  <c r="AZ120" i="3" s="1"/>
  <c r="G123" i="3"/>
  <c r="BA124" i="3"/>
  <c r="AZ124" i="3" s="1"/>
  <c r="G127" i="3"/>
  <c r="AZ198" i="3"/>
  <c r="BA197" i="3"/>
  <c r="AZ197" i="3" s="1"/>
  <c r="BL198" i="3"/>
  <c r="G201" i="3"/>
  <c r="G203" i="3"/>
  <c r="G204" i="3"/>
  <c r="BL204" i="3"/>
  <c r="AZ204" i="3" s="1"/>
  <c r="BA21" i="3"/>
  <c r="AZ21" i="3" s="1"/>
  <c r="BL23" i="3"/>
  <c r="AZ23" i="3" s="1"/>
  <c r="G26" i="3"/>
  <c r="BL26" i="3"/>
  <c r="AZ26" i="3" s="1"/>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AZ67" i="3" s="1"/>
  <c r="BA68" i="3"/>
  <c r="AZ68" i="3" s="1"/>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AZ36" i="3"/>
  <c r="AZ42" i="3"/>
  <c r="AZ45" i="3"/>
  <c r="AZ52" i="3"/>
  <c r="AZ58" i="3"/>
  <c r="AZ61" i="3"/>
  <c r="AZ73" i="3"/>
  <c r="AZ83" i="3"/>
  <c r="AZ87" i="3"/>
  <c r="AZ93" i="3"/>
  <c r="AZ96" i="3"/>
  <c r="AZ103" i="3"/>
  <c r="AZ109" i="3"/>
  <c r="T33" i="59"/>
  <c r="D33" i="59"/>
  <c r="D51" i="59"/>
  <c r="C52" i="59"/>
  <c r="B74" i="46"/>
  <c r="C31" i="39"/>
  <c r="P27" i="6"/>
  <c r="C61" i="59"/>
  <c r="D31" i="59"/>
  <c r="AB26" i="59"/>
  <c r="Y29" i="59"/>
  <c r="Z29" i="59" s="1"/>
  <c r="AA28" i="59"/>
  <c r="X30" i="59"/>
  <c r="AB31" i="59"/>
  <c r="AB32" i="59"/>
  <c r="AB33" i="59"/>
  <c r="F35" i="59"/>
  <c r="F36" i="59" s="1"/>
  <c r="F37" i="59" s="1"/>
  <c r="V37" i="59" s="1"/>
  <c r="X35" i="59"/>
  <c r="AA35" i="59"/>
  <c r="X36" i="59"/>
  <c r="AA36" i="59"/>
  <c r="X37" i="59"/>
  <c r="AA37" i="59"/>
  <c r="Y39" i="59"/>
  <c r="Z39" i="59" s="1"/>
  <c r="C44" i="59"/>
  <c r="B56" i="59"/>
  <c r="B57" i="59" s="1"/>
  <c r="S57" i="59" s="1"/>
  <c r="AI12" i="46"/>
  <c r="D25" i="59"/>
  <c r="J51" i="15"/>
  <c r="E53" i="40"/>
  <c r="F27" i="6"/>
  <c r="W29" i="39"/>
  <c r="S29" i="39"/>
  <c r="AB29" i="39"/>
  <c r="F100" i="39"/>
  <c r="G100" i="39" s="1"/>
  <c r="H27" i="39"/>
  <c r="AB27" i="39" s="1"/>
  <c r="F27" i="39"/>
  <c r="AA27" i="39" s="1"/>
  <c r="J27" i="39"/>
  <c r="AC27" i="39" s="1"/>
  <c r="U27" i="39"/>
  <c r="AB25" i="39"/>
  <c r="W25" i="39"/>
  <c r="S25" i="39"/>
  <c r="W23" i="39"/>
  <c r="U23" i="39"/>
  <c r="S23" i="39"/>
  <c r="AB19" i="39"/>
  <c r="AA19" i="39"/>
  <c r="AC19" i="39"/>
  <c r="F30" i="6"/>
  <c r="F31" i="6" s="1"/>
  <c r="E29" i="6"/>
  <c r="L16" i="4"/>
  <c r="N16" i="4"/>
  <c r="AP7" i="1"/>
  <c r="G8" i="1"/>
  <c r="G12" i="1"/>
  <c r="G9" i="1"/>
  <c r="B20" i="59"/>
  <c r="B19" i="59" s="1"/>
  <c r="B18" i="59" s="1"/>
  <c r="S21" i="59"/>
  <c r="F20" i="59"/>
  <c r="F19" i="59" s="1"/>
  <c r="F18" i="59" s="1"/>
  <c r="F17" i="59" s="1"/>
  <c r="V21" i="59"/>
  <c r="BL5" i="3"/>
  <c r="AZ488" i="3"/>
  <c r="AZ520" i="3"/>
  <c r="U18" i="36"/>
  <c r="C22" i="59"/>
  <c r="N69" i="9"/>
  <c r="R7" i="54"/>
  <c r="B52" i="63" s="1"/>
  <c r="AC18" i="36"/>
  <c r="A3" i="55"/>
  <c r="B56" i="63" s="1"/>
  <c r="E58" i="39"/>
  <c r="A17" i="51"/>
  <c r="B13" i="63" s="1"/>
  <c r="U25" i="33"/>
  <c r="AB11" i="33"/>
  <c r="AC11" i="34"/>
  <c r="S10" i="35"/>
  <c r="AC41" i="34"/>
  <c r="W31" i="34"/>
  <c r="AB40" i="37"/>
  <c r="W46" i="33"/>
  <c r="W35" i="35"/>
  <c r="AC34" i="36"/>
  <c r="AZ389" i="3"/>
  <c r="AZ404" i="3"/>
  <c r="AZ416" i="3"/>
  <c r="AZ421" i="3"/>
  <c r="AZ440" i="3"/>
  <c r="AZ464" i="3"/>
  <c r="AZ480" i="3"/>
  <c r="AZ368" i="3"/>
  <c r="AZ384" i="3"/>
  <c r="AZ386" i="3"/>
  <c r="AZ218" i="3"/>
  <c r="AZ234" i="3"/>
  <c r="AZ246" i="3"/>
  <c r="AZ250" i="3"/>
  <c r="AZ266" i="3"/>
  <c r="AZ280" i="3"/>
  <c r="H5" i="3"/>
  <c r="AZ396" i="3"/>
  <c r="AZ409" i="3"/>
  <c r="AZ412" i="3"/>
  <c r="AZ429" i="3"/>
  <c r="AZ448" i="3"/>
  <c r="AZ472" i="3"/>
  <c r="AZ210" i="3"/>
  <c r="AZ226" i="3"/>
  <c r="AZ254" i="3"/>
  <c r="AZ258" i="3"/>
  <c r="AZ272" i="3"/>
  <c r="F9" i="36"/>
  <c r="H9" i="36"/>
  <c r="H24" i="36"/>
  <c r="AZ288" i="3"/>
  <c r="AZ296" i="3"/>
  <c r="AZ125" i="3"/>
  <c r="AZ128" i="3"/>
  <c r="AZ141" i="3"/>
  <c r="AZ144" i="3"/>
  <c r="AZ155" i="3"/>
  <c r="AZ168" i="3"/>
  <c r="AZ171" i="3"/>
  <c r="AZ186" i="3"/>
  <c r="AZ194" i="3"/>
  <c r="AZ22" i="3"/>
  <c r="AZ33" i="3"/>
  <c r="AZ38" i="3"/>
  <c r="AZ49" i="3"/>
  <c r="AZ54" i="3"/>
  <c r="AZ64" i="3"/>
  <c r="AZ69" i="3"/>
  <c r="AZ80" i="3"/>
  <c r="AZ89" i="3"/>
  <c r="AZ100" i="3"/>
  <c r="AZ105" i="3"/>
  <c r="A30" i="64"/>
  <c r="A30" i="51"/>
  <c r="B22" i="63" s="1"/>
  <c r="B37" i="50"/>
  <c r="B2" i="63" s="1"/>
  <c r="Y9" i="59"/>
  <c r="Z9" i="59" s="1"/>
  <c r="X9" i="59"/>
  <c r="AB9" i="59"/>
  <c r="AA9" i="59"/>
  <c r="Y34" i="59"/>
  <c r="Z34" i="59" s="1"/>
  <c r="C35" i="59"/>
  <c r="AA38" i="59"/>
  <c r="E39" i="59"/>
  <c r="E40" i="59" s="1"/>
  <c r="E41" i="59" s="1"/>
  <c r="U41" i="59" s="1"/>
  <c r="X7" i="59"/>
  <c r="X5" i="59"/>
  <c r="X8" i="59"/>
  <c r="X6" i="59"/>
  <c r="X10" i="59"/>
  <c r="X11" i="59"/>
  <c r="X40" i="59"/>
  <c r="AB5" i="59"/>
  <c r="AB7" i="59"/>
  <c r="AB6" i="59"/>
  <c r="AB8" i="59"/>
  <c r="AB10" i="59"/>
  <c r="AB11" i="59"/>
  <c r="AB40" i="59"/>
  <c r="T73" i="59"/>
  <c r="C72" i="59"/>
  <c r="T81" i="59"/>
  <c r="C80" i="59"/>
  <c r="B29" i="59"/>
  <c r="X26" i="59"/>
  <c r="X28" i="59"/>
  <c r="E29" i="59"/>
  <c r="AA3" i="59"/>
  <c r="AA27" i="59"/>
  <c r="AA29" i="59"/>
  <c r="AC12" i="46"/>
  <c r="Z12" i="46"/>
  <c r="AA26" i="59"/>
  <c r="AB30" i="59"/>
  <c r="F31" i="59"/>
  <c r="F32" i="59" s="1"/>
  <c r="F33" i="59" s="1"/>
  <c r="V33" i="59" s="1"/>
  <c r="AB3" i="59"/>
  <c r="AB27" i="59"/>
  <c r="Y31" i="59"/>
  <c r="Z31" i="59" s="1"/>
  <c r="Y32" i="59"/>
  <c r="Z32" i="59" s="1"/>
  <c r="Y33" i="59"/>
  <c r="Z33" i="59" s="1"/>
  <c r="X34" i="59"/>
  <c r="B35" i="59"/>
  <c r="B36" i="59" s="1"/>
  <c r="B37" i="59" s="1"/>
  <c r="S37" i="59" s="1"/>
  <c r="X38" i="59"/>
  <c r="AB38" i="59"/>
  <c r="F39" i="59"/>
  <c r="F40" i="59" s="1"/>
  <c r="F41" i="59" s="1"/>
  <c r="V41" i="59" s="1"/>
  <c r="AB39" i="59"/>
  <c r="AA5" i="59"/>
  <c r="AA7" i="59"/>
  <c r="AA6" i="59"/>
  <c r="AA8" i="59"/>
  <c r="AA10" i="59"/>
  <c r="AA11" i="59"/>
  <c r="C48" i="59"/>
  <c r="D48" i="59" s="1"/>
  <c r="D47" i="59"/>
  <c r="Q67" i="59"/>
  <c r="Q66" i="59"/>
  <c r="O69" i="59"/>
  <c r="C68" i="59"/>
  <c r="D85" i="59"/>
  <c r="C84" i="59"/>
  <c r="Y25" i="59"/>
  <c r="Z25" i="59" s="1"/>
  <c r="Y30" i="59"/>
  <c r="Z30" i="59" s="1"/>
  <c r="X31" i="59"/>
  <c r="AA32" i="59"/>
  <c r="X33" i="59"/>
  <c r="AA34" i="59"/>
  <c r="AB35" i="59"/>
  <c r="Y36" i="59"/>
  <c r="Z36" i="59" s="1"/>
  <c r="AB37" i="59"/>
  <c r="Y38" i="59"/>
  <c r="Z38" i="59" s="1"/>
  <c r="Y8" i="59"/>
  <c r="Z8" i="59" s="1"/>
  <c r="Y5" i="59"/>
  <c r="Z5" i="59" s="1"/>
  <c r="Y7" i="59"/>
  <c r="Z7" i="59" s="1"/>
  <c r="Y6" i="59"/>
  <c r="Z6" i="59" s="1"/>
  <c r="Y10" i="59"/>
  <c r="Z10" i="59" s="1"/>
  <c r="Y11" i="59"/>
  <c r="Z11" i="59" s="1"/>
  <c r="A28" i="64"/>
  <c r="U25" i="59"/>
  <c r="F28" i="59"/>
  <c r="F27" i="59" s="1"/>
  <c r="C29" i="59"/>
  <c r="X25" i="59"/>
  <c r="X22" i="59"/>
  <c r="Y24" i="59"/>
  <c r="Z24" i="59" s="1"/>
  <c r="AB24" i="59"/>
  <c r="X19" i="59"/>
  <c r="X18" i="59"/>
  <c r="Y18" i="59"/>
  <c r="Z18" i="59" s="1"/>
  <c r="AA15" i="59"/>
  <c r="AB18" i="59"/>
  <c r="X15" i="59"/>
  <c r="AB25" i="59"/>
  <c r="X24" i="59"/>
  <c r="AA24" i="59"/>
  <c r="AA19" i="59"/>
  <c r="X13" i="59"/>
  <c r="Y15" i="59"/>
  <c r="Z15" i="59" s="1"/>
  <c r="AB15" i="59"/>
  <c r="AA22" i="59"/>
  <c r="Y19" i="59"/>
  <c r="Z19" i="59" s="1"/>
  <c r="AB19" i="59"/>
  <c r="AA16" i="59"/>
  <c r="X17" i="59"/>
  <c r="AA14" i="59"/>
  <c r="X12" i="59"/>
  <c r="X14" i="59"/>
  <c r="AB12" i="59"/>
  <c r="Y13" i="59"/>
  <c r="Z13" i="59" s="1"/>
  <c r="Y14" i="59"/>
  <c r="Z14" i="59" s="1"/>
  <c r="AB16" i="59"/>
  <c r="AA18" i="59"/>
  <c r="AA12" i="59"/>
  <c r="AA13" i="59"/>
  <c r="AB13" i="59"/>
  <c r="AB14" i="59"/>
  <c r="Y12" i="59"/>
  <c r="Z12"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G28" i="6"/>
  <c r="G27" i="12"/>
  <c r="G13" i="3"/>
  <c r="Q16" i="1"/>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J1" i="65"/>
  <c r="I1" i="65"/>
  <c r="F70" i="15"/>
  <c r="M9" i="44"/>
  <c r="J8" i="44" s="1"/>
  <c r="L59" i="15"/>
  <c r="L60" i="44"/>
  <c r="L59" i="44"/>
  <c r="I55" i="44"/>
  <c r="J54" i="44"/>
  <c r="L57" i="44"/>
  <c r="J58" i="44"/>
  <c r="J56" i="44" s="1"/>
  <c r="J59" i="44" s="1"/>
  <c r="Q52" i="44" s="1"/>
  <c r="J60" i="44"/>
  <c r="J61" i="44"/>
  <c r="Q50" i="44" s="1"/>
  <c r="F63" i="15"/>
  <c r="C4" i="65"/>
  <c r="B39" i="1" s="1"/>
  <c r="M6" i="15"/>
  <c r="M27" i="15"/>
  <c r="F6" i="15"/>
  <c r="J36" i="15"/>
  <c r="M28" i="15"/>
  <c r="L48" i="15"/>
  <c r="F9" i="15"/>
  <c r="F7" i="15"/>
  <c r="M29" i="15"/>
  <c r="F37" i="15"/>
  <c r="F40" i="15"/>
  <c r="F26" i="15"/>
  <c r="M26" i="15"/>
  <c r="M8" i="15"/>
  <c r="C16" i="15"/>
  <c r="C19" i="44"/>
  <c r="F42" i="15"/>
  <c r="M22" i="15"/>
  <c r="F8" i="15"/>
  <c r="E3" i="65"/>
  <c r="J15" i="15"/>
  <c r="E2" i="65"/>
  <c r="M23" i="15"/>
  <c r="C18" i="44"/>
  <c r="C27" i="15" l="1"/>
  <c r="L58" i="15"/>
  <c r="Q61" i="15" s="1"/>
  <c r="J57" i="15"/>
  <c r="J55" i="15" s="1"/>
  <c r="J58" i="15" s="1"/>
  <c r="Q51" i="15" s="1"/>
  <c r="L56" i="15"/>
  <c r="I54" i="15"/>
  <c r="J53" i="15"/>
  <c r="F1" i="15" s="1"/>
  <c r="F50" i="15"/>
  <c r="L13" i="71"/>
  <c r="N26" i="71" s="1"/>
  <c r="AZ5" i="3"/>
  <c r="E3" i="6" s="1"/>
  <c r="D16" i="43" s="1"/>
  <c r="C16" i="43" s="1"/>
  <c r="S27" i="39"/>
  <c r="D61" i="59"/>
  <c r="T61" i="59"/>
  <c r="C53" i="59"/>
  <c r="D52" i="59"/>
  <c r="AA26" i="37"/>
  <c r="S26" i="37"/>
  <c r="D44" i="59"/>
  <c r="C45" i="59"/>
  <c r="M43" i="9"/>
  <c r="D18" i="9"/>
  <c r="M44" i="9" s="1"/>
  <c r="BA5" i="3"/>
  <c r="E27" i="6" s="1"/>
  <c r="W27" i="39"/>
  <c r="E16" i="6"/>
  <c r="F64" i="15"/>
  <c r="F49" i="15"/>
  <c r="M7" i="15"/>
  <c r="M17" i="15" s="1"/>
  <c r="Q72" i="15"/>
  <c r="F67" i="15"/>
  <c r="F31" i="15"/>
  <c r="C6" i="15"/>
  <c r="D46" i="9"/>
  <c r="L38" i="9"/>
  <c r="B14" i="66" s="1"/>
  <c r="B1" i="66" s="1"/>
  <c r="D44" i="9"/>
  <c r="D16" i="12"/>
  <c r="D19" i="12" s="1"/>
  <c r="C19" i="12" s="1"/>
  <c r="B16" i="59"/>
  <c r="B15" i="59" s="1"/>
  <c r="B14" i="59" s="1"/>
  <c r="B13" i="59" s="1"/>
  <c r="S17" i="59"/>
  <c r="D29" i="59"/>
  <c r="T29" i="59"/>
  <c r="C28" i="59"/>
  <c r="D84" i="59"/>
  <c r="C83" i="59"/>
  <c r="D83" i="59" s="1"/>
  <c r="O68" i="59"/>
  <c r="C67" i="59"/>
  <c r="D68" i="59"/>
  <c r="B28" i="59"/>
  <c r="B27" i="59" s="1"/>
  <c r="S29" i="59"/>
  <c r="AB24" i="36"/>
  <c r="U24" i="36"/>
  <c r="AA9" i="36"/>
  <c r="S9" i="36"/>
  <c r="C21" i="59"/>
  <c r="D22" i="59"/>
  <c r="E16" i="59"/>
  <c r="E15" i="59" s="1"/>
  <c r="E14" i="59" s="1"/>
  <c r="E13" i="59" s="1"/>
  <c r="U17" i="59"/>
  <c r="U29" i="59"/>
  <c r="E28" i="59"/>
  <c r="E27" i="59" s="1"/>
  <c r="C79" i="59"/>
  <c r="D79" i="59" s="1"/>
  <c r="D80" i="59"/>
  <c r="D72" i="59"/>
  <c r="C71" i="59"/>
  <c r="D71" i="59" s="1"/>
  <c r="D35" i="59"/>
  <c r="C36" i="59"/>
  <c r="AB9" i="36"/>
  <c r="U9" i="36"/>
  <c r="M86" i="9"/>
  <c r="N86" i="9" s="1"/>
  <c r="M84" i="9"/>
  <c r="N84" i="9" s="1"/>
  <c r="M88" i="9"/>
  <c r="N88" i="9" s="1"/>
  <c r="M87" i="9"/>
  <c r="N87" i="9" s="1"/>
  <c r="M85" i="9"/>
  <c r="N85" i="9" s="1"/>
  <c r="M83" i="9"/>
  <c r="N83" i="9" s="1"/>
  <c r="N89" i="9" s="1"/>
  <c r="O89" i="9" s="1"/>
  <c r="F16" i="59"/>
  <c r="F15" i="59" s="1"/>
  <c r="F14" i="59" s="1"/>
  <c r="F13" i="59" s="1"/>
  <c r="V17" i="59"/>
  <c r="C7" i="46"/>
  <c r="G5" i="3"/>
  <c r="B3"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Q74" i="15"/>
  <c r="AE6" i="1"/>
  <c r="Q53" i="15" l="1"/>
  <c r="E31" i="6"/>
  <c r="E6" i="6"/>
  <c r="D45" i="9"/>
  <c r="C21" i="4"/>
  <c r="O5" i="54" s="1"/>
  <c r="B45" i="63" s="1"/>
  <c r="C48" i="15"/>
  <c r="T45" i="59"/>
  <c r="D45" i="59"/>
  <c r="K26" i="6"/>
  <c r="M26" i="6" s="1"/>
  <c r="I26" i="6" s="1"/>
  <c r="S26" i="6" s="1"/>
  <c r="K23" i="6"/>
  <c r="M23" i="6" s="1"/>
  <c r="I23" i="6" s="1"/>
  <c r="S23" i="6" s="1"/>
  <c r="K20" i="6"/>
  <c r="M20" i="6" s="1"/>
  <c r="I20" i="6" s="1"/>
  <c r="S20" i="6" s="1"/>
  <c r="K25" i="6"/>
  <c r="M25" i="6" s="1"/>
  <c r="I25" i="6" s="1"/>
  <c r="S25" i="6" s="1"/>
  <c r="K19" i="6"/>
  <c r="K24" i="6"/>
  <c r="M24" i="6" s="1"/>
  <c r="I24" i="6" s="1"/>
  <c r="S24" i="6" s="1"/>
  <c r="K21" i="6"/>
  <c r="M21" i="6" s="1"/>
  <c r="I21" i="6" s="1"/>
  <c r="S21" i="6" s="1"/>
  <c r="K22" i="6"/>
  <c r="M22" i="6" s="1"/>
  <c r="I22" i="6" s="1"/>
  <c r="S22" i="6" s="1"/>
  <c r="T53" i="59"/>
  <c r="D53" i="59"/>
  <c r="C16" i="12"/>
  <c r="J6" i="15"/>
  <c r="J18" i="15" s="1"/>
  <c r="V13" i="59"/>
  <c r="F12" i="59"/>
  <c r="F11" i="59" s="1"/>
  <c r="C20" i="59"/>
  <c r="T21" i="59"/>
  <c r="D21" i="59"/>
  <c r="D67" i="59"/>
  <c r="O67" i="59"/>
  <c r="O66" i="59"/>
  <c r="C27" i="59"/>
  <c r="D27" i="59" s="1"/>
  <c r="D28" i="59"/>
  <c r="C37" i="59"/>
  <c r="D36" i="59"/>
  <c r="C7" i="66"/>
  <c r="C8" i="66"/>
  <c r="C6"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C10" i="15"/>
  <c r="C5" i="15" s="1"/>
  <c r="C20" i="11"/>
  <c r="C21" i="11" s="1"/>
  <c r="C22" i="11" s="1"/>
  <c r="C23" i="11" s="1"/>
  <c r="B2" i="11" s="1"/>
  <c r="F41" i="15"/>
  <c r="C47" i="15" l="1"/>
  <c r="C65" i="15" s="1"/>
  <c r="G43" i="35"/>
  <c r="H43" i="35" s="1"/>
  <c r="S6" i="1"/>
  <c r="K27" i="6"/>
  <c r="M19" i="6"/>
  <c r="D22" i="12"/>
  <c r="C22" i="12" s="1"/>
  <c r="C20" i="12" s="1"/>
  <c r="D13" i="11"/>
  <c r="C13" i="11" s="1"/>
  <c r="J5" i="15"/>
  <c r="J24" i="15" s="1"/>
  <c r="F68" i="15"/>
  <c r="D37" i="59"/>
  <c r="T37" i="59"/>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B5" i="11"/>
  <c r="B3" i="11"/>
  <c r="B4" i="11"/>
  <c r="C38" i="15"/>
  <c r="Q58" i="44"/>
  <c r="Q67" i="44"/>
  <c r="Q49" i="44"/>
  <c r="Q55" i="44" s="1"/>
  <c r="F7" i="67"/>
  <c r="C17" i="15"/>
  <c r="C59" i="15" l="1"/>
  <c r="J26" i="15"/>
  <c r="J29" i="15" s="1"/>
  <c r="I19" i="6"/>
  <c r="M27" i="6"/>
  <c r="S16" i="1"/>
  <c r="E6" i="3"/>
  <c r="C18" i="59"/>
  <c r="D19"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T11" i="1" l="1"/>
  <c r="T6" i="1"/>
  <c r="T8" i="1"/>
  <c r="T12" i="1"/>
  <c r="T7" i="1"/>
  <c r="T9" i="1"/>
  <c r="T10" i="1"/>
  <c r="T13" i="1"/>
  <c r="I27" i="6"/>
  <c r="H19" i="6"/>
  <c r="R19" i="6" s="1"/>
  <c r="S19" i="6"/>
  <c r="S27" i="6" s="1"/>
  <c r="H27" i="6"/>
  <c r="R26" i="6"/>
  <c r="C17" i="59"/>
  <c r="D18" i="59"/>
  <c r="F7" i="59"/>
  <c r="B8" i="59"/>
  <c r="E8" i="59"/>
  <c r="R25" i="6"/>
  <c r="R21" i="6"/>
  <c r="D27" i="6"/>
  <c r="D31" i="6" s="1"/>
  <c r="A20" i="64"/>
  <c r="A6" i="64"/>
  <c r="A20" i="51"/>
  <c r="B15" i="63" s="1"/>
  <c r="N5" i="54"/>
  <c r="B43" i="63" s="1"/>
  <c r="A6" i="51"/>
  <c r="B7" i="63" s="1"/>
  <c r="D6" i="66"/>
  <c r="D8" i="66"/>
  <c r="D7" i="66"/>
  <c r="D16" i="6"/>
  <c r="R23" i="6"/>
  <c r="R20" i="6"/>
  <c r="R27" i="6" s="1"/>
  <c r="R6" i="1"/>
  <c r="C17" i="43"/>
  <c r="C14" i="43"/>
  <c r="C14" i="12"/>
  <c r="C17" i="12"/>
  <c r="I64" i="40"/>
  <c r="H66" i="40"/>
  <c r="H71" i="39"/>
  <c r="I69" i="39"/>
  <c r="N46" i="36"/>
  <c r="E3" i="67"/>
  <c r="B2" i="67"/>
  <c r="M21" i="15"/>
  <c r="F37" i="44"/>
  <c r="C14" i="15"/>
  <c r="C16" i="44"/>
  <c r="F35" i="15"/>
  <c r="M23" i="44"/>
  <c r="C15" i="15" l="1"/>
  <c r="C18" i="15"/>
  <c r="C17" i="44"/>
  <c r="C20" i="44"/>
  <c r="T16" i="1"/>
  <c r="C16" i="59"/>
  <c r="T17" i="59"/>
  <c r="D17" i="59"/>
  <c r="E7" i="59"/>
  <c r="B7" i="59"/>
  <c r="F6" i="59"/>
  <c r="I6" i="6"/>
  <c r="I7" i="6" s="1"/>
  <c r="G3" i="46" s="1"/>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Y11" i="46"/>
  <c r="Y13" i="46" s="1"/>
  <c r="I101" i="46"/>
  <c r="AD11" i="46"/>
  <c r="AD13" i="46" s="1"/>
  <c r="H22" i="46"/>
  <c r="J22" i="46"/>
  <c r="N101" i="46"/>
  <c r="C101" i="46"/>
  <c r="N104" i="45"/>
  <c r="Z7" i="46"/>
  <c r="Z11" i="46"/>
  <c r="Z13" i="46" s="1"/>
  <c r="AF11" i="46"/>
  <c r="AF13" i="46" s="1"/>
  <c r="C23" i="46"/>
  <c r="H101" i="46"/>
  <c r="D101" i="46"/>
  <c r="J101" i="46"/>
  <c r="F22" i="46"/>
  <c r="E22" i="46"/>
  <c r="AA11" i="46"/>
  <c r="AA13" i="46" s="1"/>
  <c r="AB11" i="46"/>
  <c r="AB13" i="46" s="1"/>
  <c r="AI11" i="46"/>
  <c r="AI13" i="46" s="1"/>
  <c r="AG11" i="46"/>
  <c r="AG13" i="46" s="1"/>
  <c r="E101" i="46"/>
  <c r="B113" i="46"/>
  <c r="AJ11" i="46"/>
  <c r="AJ13" i="46" s="1"/>
  <c r="M101" i="46"/>
  <c r="G22" i="46"/>
  <c r="AE11" i="46"/>
  <c r="AE13" i="46" s="1"/>
  <c r="AH11" i="46"/>
  <c r="AH13" i="46" s="1"/>
  <c r="K101" i="46"/>
  <c r="L101" i="46"/>
  <c r="G101" i="46"/>
  <c r="AC11" i="46"/>
  <c r="AC13" i="46" s="1"/>
  <c r="F101" i="46"/>
  <c r="D16" i="59"/>
  <c r="C15" i="59"/>
  <c r="F5" i="59"/>
  <c r="V5" i="59" s="1"/>
  <c r="B6" i="59"/>
  <c r="E6" i="59"/>
  <c r="C19" i="43"/>
  <c r="K69" i="39"/>
  <c r="J71" i="39"/>
  <c r="U7" i="36"/>
  <c r="AB7" i="36"/>
  <c r="T36" i="36" s="1"/>
  <c r="G36" i="36" s="1"/>
  <c r="AC7" i="36"/>
  <c r="V36" i="36" s="1"/>
  <c r="I36" i="36" s="1"/>
  <c r="W7" i="36"/>
  <c r="J66" i="40"/>
  <c r="K64" i="40"/>
  <c r="S7" i="36"/>
  <c r="AA7" i="36"/>
  <c r="R36" i="36" s="1"/>
  <c r="I105" i="46" l="1"/>
  <c r="I102" i="46"/>
  <c r="I107" i="46"/>
  <c r="I106" i="46"/>
  <c r="I109" i="46"/>
  <c r="I103" i="46"/>
  <c r="I104" i="46"/>
  <c r="L104" i="46"/>
  <c r="L102" i="46"/>
  <c r="L103" i="46"/>
  <c r="L106" i="46"/>
  <c r="L105" i="46"/>
  <c r="L107" i="46"/>
  <c r="L109" i="46"/>
  <c r="E109" i="46"/>
  <c r="E104" i="46"/>
  <c r="E107" i="46"/>
  <c r="E102" i="46"/>
  <c r="E103" i="46"/>
  <c r="E105" i="46"/>
  <c r="E106" i="46"/>
  <c r="D105" i="46"/>
  <c r="D106" i="46"/>
  <c r="D104" i="46"/>
  <c r="D109" i="46"/>
  <c r="D103" i="46"/>
  <c r="D107" i="46"/>
  <c r="D102" i="46"/>
  <c r="N105" i="46"/>
  <c r="N106" i="46"/>
  <c r="N107" i="46"/>
  <c r="N109" i="46"/>
  <c r="N104" i="46"/>
  <c r="N103" i="46"/>
  <c r="N102" i="46"/>
  <c r="F106" i="46"/>
  <c r="F102" i="46"/>
  <c r="F105" i="46"/>
  <c r="F103" i="46"/>
  <c r="F109" i="46"/>
  <c r="F104" i="46"/>
  <c r="F107" i="46"/>
  <c r="G104" i="46"/>
  <c r="G105" i="46"/>
  <c r="G109" i="46"/>
  <c r="G102" i="46"/>
  <c r="G106" i="46"/>
  <c r="G103" i="46"/>
  <c r="G107" i="46"/>
  <c r="K109" i="46"/>
  <c r="K105" i="46"/>
  <c r="K102" i="46"/>
  <c r="K106" i="46"/>
  <c r="K104" i="46"/>
  <c r="K107" i="46"/>
  <c r="K103" i="46"/>
  <c r="M106" i="46"/>
  <c r="M105" i="46"/>
  <c r="M104" i="46"/>
  <c r="M103" i="46"/>
  <c r="M107" i="46"/>
  <c r="M102" i="46"/>
  <c r="M109" i="46"/>
  <c r="D115" i="46"/>
  <c r="E115" i="46" s="1"/>
  <c r="F115" i="46" s="1"/>
  <c r="G115" i="46" s="1"/>
  <c r="H115" i="46" s="1"/>
  <c r="I116" i="46"/>
  <c r="J116" i="46" s="1"/>
  <c r="K116" i="46" s="1"/>
  <c r="L116" i="46" s="1"/>
  <c r="M116" i="46" s="1"/>
  <c r="B117" i="46"/>
  <c r="C117" i="46" s="1"/>
  <c r="D118" i="46"/>
  <c r="E118" i="46" s="1"/>
  <c r="F118" i="46" s="1"/>
  <c r="B115" i="46"/>
  <c r="B118" i="46"/>
  <c r="C118" i="46" s="1"/>
  <c r="D116" i="46"/>
  <c r="E116" i="46" s="1"/>
  <c r="F116" i="46" s="1"/>
  <c r="G116" i="46" s="1"/>
  <c r="H116" i="46" s="1"/>
  <c r="I117" i="46"/>
  <c r="J117" i="46" s="1"/>
  <c r="K117" i="46" s="1"/>
  <c r="L117" i="46" s="1"/>
  <c r="M117" i="46" s="1"/>
  <c r="B116" i="46"/>
  <c r="C116" i="46" s="1"/>
  <c r="D117" i="46"/>
  <c r="E117" i="46" s="1"/>
  <c r="F117" i="46" s="1"/>
  <c r="G117" i="46" s="1"/>
  <c r="H117" i="46" s="1"/>
  <c r="G118" i="46"/>
  <c r="H118" i="46" s="1"/>
  <c r="I115" i="46"/>
  <c r="J115" i="46" s="1"/>
  <c r="K115" i="46" s="1"/>
  <c r="L115" i="46" s="1"/>
  <c r="M115" i="46" s="1"/>
  <c r="I118" i="46"/>
  <c r="J118" i="46" s="1"/>
  <c r="K118" i="46" s="1"/>
  <c r="L118" i="46" s="1"/>
  <c r="M118" i="46" s="1"/>
  <c r="D22" i="46"/>
  <c r="C21" i="46" s="1"/>
  <c r="C29" i="46" s="1"/>
  <c r="J106" i="46"/>
  <c r="J103" i="46"/>
  <c r="J107" i="46"/>
  <c r="J102" i="46"/>
  <c r="J104" i="46"/>
  <c r="J109" i="46"/>
  <c r="J105" i="46"/>
  <c r="H102" i="46"/>
  <c r="H103" i="46"/>
  <c r="H109" i="46"/>
  <c r="H106" i="46"/>
  <c r="H107" i="46"/>
  <c r="H104" i="46"/>
  <c r="H105" i="46"/>
  <c r="C109" i="46"/>
  <c r="C106" i="46"/>
  <c r="C105" i="46"/>
  <c r="C107" i="46"/>
  <c r="C103" i="46"/>
  <c r="C104" i="46"/>
  <c r="C102" i="46"/>
  <c r="D15" i="59"/>
  <c r="C14" i="59"/>
  <c r="E5" i="59"/>
  <c r="U5" i="59" s="1"/>
  <c r="B5" i="59"/>
  <c r="C21" i="43"/>
  <c r="R37" i="36"/>
  <c r="E36" i="36"/>
  <c r="K66" i="40"/>
  <c r="L64" i="40"/>
  <c r="G41" i="36"/>
  <c r="H41" i="36" s="1"/>
  <c r="G40" i="36"/>
  <c r="H40" i="36" s="1"/>
  <c r="I40" i="36"/>
  <c r="J40" i="36" s="1"/>
  <c r="I41" i="36"/>
  <c r="J41" i="36" s="1"/>
  <c r="L69" i="39"/>
  <c r="K71" i="39"/>
  <c r="S4" i="46" l="1"/>
  <c r="T4" i="46" s="1"/>
  <c r="V4" i="46" s="1"/>
  <c r="S2" i="46"/>
  <c r="T2" i="46" s="1"/>
  <c r="V2" i="46" s="1"/>
  <c r="S7" i="46"/>
  <c r="T7" i="46" s="1"/>
  <c r="V7" i="46" s="1"/>
  <c r="S3" i="46"/>
  <c r="T3" i="46" s="1"/>
  <c r="V3" i="46" s="1"/>
  <c r="S5" i="46"/>
  <c r="T5" i="46" s="1"/>
  <c r="V5" i="46" s="1"/>
  <c r="S6" i="46"/>
  <c r="T6" i="46" s="1"/>
  <c r="V6" i="46" s="1"/>
  <c r="C115" i="46"/>
  <c r="D113" i="46" s="1"/>
  <c r="C30" i="46"/>
  <c r="E30" i="46" s="1"/>
  <c r="C27" i="46" s="1"/>
  <c r="E29" i="46"/>
  <c r="C26" i="46" s="1"/>
  <c r="B2" i="46" s="1"/>
  <c r="D14" i="59"/>
  <c r="C13" i="59"/>
  <c r="S5" i="59"/>
  <c r="L71" i="39"/>
  <c r="M69" i="39"/>
  <c r="M64" i="40"/>
  <c r="L66" i="40"/>
  <c r="E40" i="36"/>
  <c r="F40" i="36" s="1"/>
  <c r="E41" i="36"/>
  <c r="F41" i="36" s="1"/>
  <c r="C37" i="36"/>
  <c r="B3" i="36" s="1"/>
  <c r="B2" i="36" s="1"/>
  <c r="C36" i="36"/>
  <c r="D4" i="46" l="1"/>
  <c r="B4" i="46"/>
  <c r="B3" i="46"/>
  <c r="C12" i="59"/>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M25" i="71"/>
  <c r="O25" i="71" s="1"/>
  <c r="D14" i="66" s="1"/>
  <c r="D7" i="59"/>
  <c r="C6" i="59"/>
  <c r="B5" i="39"/>
  <c r="B4" i="39"/>
  <c r="B3" i="39"/>
  <c r="B5" i="40"/>
  <c r="B4" i="40"/>
  <c r="B3" i="40"/>
  <c r="C20" i="9"/>
  <c r="C21" i="9"/>
  <c r="M26" i="71" l="1"/>
  <c r="Q28" i="71"/>
  <c r="O26" i="71"/>
  <c r="D6" i="59"/>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C63" i="15"/>
  <c r="C57" i="15" s="1"/>
  <c r="C66" i="15" s="1"/>
  <c r="C67" i="15" s="1"/>
  <c r="C70" i="15" s="1"/>
  <c r="C39" i="44"/>
  <c r="C32" i="44" s="1"/>
  <c r="C42" i="44" s="1"/>
  <c r="C43" i="44"/>
  <c r="J15" i="44"/>
  <c r="J25" i="44" s="1"/>
  <c r="J18" i="44" s="1"/>
  <c r="J27" i="44" s="1"/>
  <c r="J16" i="15"/>
  <c r="J25" i="15" s="1"/>
  <c r="L51" i="15"/>
  <c r="Q70" i="15" l="1"/>
  <c r="Q69" i="15" s="1"/>
  <c r="C40" i="15"/>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6" i="12"/>
  <c r="Q76" i="15"/>
  <c r="Q69" i="44"/>
  <c r="Q59" i="44"/>
  <c r="Q64" i="44" s="1"/>
  <c r="Q68" i="44"/>
  <c r="Q77" i="44" s="1"/>
  <c r="C24" i="12" l="1"/>
  <c r="C29" i="12"/>
  <c r="C35" i="12" l="1"/>
  <c r="C33" i="12" s="1"/>
  <c r="C28" i="12"/>
  <c r="C26" i="12" s="1"/>
  <c r="C31" i="12" s="1"/>
  <c r="C30" i="12" s="1"/>
  <c r="C36" i="12" l="1"/>
  <c r="B2" i="12" s="1"/>
  <c r="B3" i="12" s="1"/>
  <c r="D19" i="9"/>
  <c r="D20" i="9"/>
  <c r="B4" i="12" l="1"/>
  <c r="L44" i="9"/>
  <c r="D22" i="9"/>
  <c r="G19" i="9"/>
  <c r="N43" i="9" s="1"/>
  <c r="B5" i="12"/>
  <c r="G20" i="9"/>
  <c r="D21" i="9"/>
  <c r="G22" i="9" l="1"/>
  <c r="C32" i="9"/>
  <c r="O38" i="9" s="1"/>
  <c r="G21" i="9"/>
  <c r="O43" i="9"/>
  <c r="C35" i="9" l="1"/>
  <c r="F42" i="9" s="1"/>
  <c r="C34" i="9"/>
  <c r="M38" i="9" s="1"/>
  <c r="K27" i="9" s="1"/>
  <c r="C33" i="9"/>
  <c r="D42" i="9" s="1"/>
  <c r="Q5" i="54" s="1"/>
  <c r="B47" i="63" s="1"/>
  <c r="C42" i="9"/>
  <c r="R5" i="54" s="1"/>
  <c r="B48" i="63" s="1"/>
  <c r="K25" i="9"/>
  <c r="K26" i="9"/>
  <c r="N38" i="9" l="1"/>
  <c r="K28" i="9" s="1"/>
  <c r="N68" i="9"/>
  <c r="D63" i="9"/>
  <c r="C111" i="9" s="1"/>
  <c r="C104" i="9" s="1"/>
  <c r="E42" i="9"/>
  <c r="P5" i="54" s="1"/>
  <c r="B46" i="63" s="1"/>
  <c r="F14" i="66"/>
  <c r="D70" i="9" l="1"/>
  <c r="B5" i="66"/>
  <c r="D5" i="66" s="1"/>
  <c r="C82" i="9"/>
  <c r="C81" i="9" s="1"/>
  <c r="C85" i="9" s="1"/>
  <c r="C86" i="9" s="1"/>
  <c r="D72" i="9" s="1"/>
  <c r="C90" i="9"/>
  <c r="E14" i="66"/>
  <c r="C103" i="9"/>
  <c r="C113" i="9" s="1"/>
  <c r="C114" i="9" s="1"/>
  <c r="E114" i="9" s="1"/>
  <c r="E115" i="9" s="1"/>
  <c r="C96" i="9"/>
  <c r="C91" i="9" s="1"/>
  <c r="D73" i="9"/>
  <c r="N73" i="9" s="1"/>
  <c r="D71" i="9"/>
  <c r="D66" i="9" s="1"/>
  <c r="N72" i="9" s="1"/>
  <c r="C5" i="66" l="1"/>
  <c r="C97" i="9"/>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WANG</author>
  </authors>
  <commentList>
    <comment ref="L5" authorId="0">
      <text>
        <r>
          <rPr>
            <b/>
            <sz val="9"/>
            <color indexed="81"/>
            <rFont val="宋体"/>
            <family val="3"/>
            <charset val="134"/>
          </rPr>
          <t>WANG:</t>
        </r>
        <r>
          <rPr>
            <sz val="9"/>
            <color indexed="81"/>
            <rFont val="宋体"/>
            <family val="3"/>
            <charset val="134"/>
          </rPr>
          <t xml:space="preserve">
土地级别</t>
        </r>
      </text>
    </comment>
    <comment ref="L7" authorId="0">
      <text>
        <r>
          <rPr>
            <b/>
            <sz val="9"/>
            <color indexed="81"/>
            <rFont val="宋体"/>
            <family val="3"/>
            <charset val="134"/>
          </rPr>
          <t>WANG:</t>
        </r>
        <r>
          <rPr>
            <sz val="9"/>
            <color indexed="81"/>
            <rFont val="宋体"/>
            <family val="3"/>
            <charset val="134"/>
          </rPr>
          <t xml:space="preserve">
仅到21年3季度？</t>
        </r>
      </text>
    </comment>
    <comment ref="L8" authorId="0">
      <text>
        <r>
          <rPr>
            <b/>
            <sz val="9"/>
            <color indexed="81"/>
            <rFont val="宋体"/>
            <family val="3"/>
            <charset val="134"/>
          </rPr>
          <t>WANG:</t>
        </r>
        <r>
          <rPr>
            <sz val="9"/>
            <color indexed="81"/>
            <rFont val="宋体"/>
            <family val="3"/>
            <charset val="134"/>
          </rPr>
          <t xml:space="preserve">
31.6年，介于31至32之间</t>
        </r>
      </text>
    </comment>
    <comment ref="L10" authorId="0">
      <text>
        <r>
          <rPr>
            <b/>
            <sz val="9"/>
            <color indexed="81"/>
            <rFont val="宋体"/>
            <family val="3"/>
            <charset val="134"/>
          </rPr>
          <t>WANG:</t>
        </r>
        <r>
          <rPr>
            <sz val="9"/>
            <color indexed="81"/>
            <rFont val="宋体"/>
            <family val="3"/>
            <charset val="134"/>
          </rPr>
          <t xml:space="preserve">
土地级别</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<sst xmlns="http://schemas.openxmlformats.org/spreadsheetml/2006/main" count="7481" uniqueCount="3319">
  <si>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</si>
  <si>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</si>
  <si>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</si>
  <si>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</si>
  <si>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</si>
  <si>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</si>
  <si>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</si>
  <si>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</si>
  <si>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</si>
  <si>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</si>
  <si>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</si>
  <si>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</si>
  <si>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</si>
  <si>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</si>
  <si>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</si>
  <si>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</si>
  <si>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</si>
  <si>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</si>
  <si>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</si>
  <si>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</si>
  <si>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</si>
  <si>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</si>
  <si>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</si>
  <si>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</si>
  <si>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</si>
  <si>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</si>
  <si>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</si>
  <si>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</si>
  <si>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</si>
  <si>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</si>
  <si>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</si>
  <si>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</si>
  <si>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</si>
  <si>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</si>
  <si>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</si>
  <si>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</si>
  <si>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</si>
  <si>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</si>
  <si>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</si>
  <si>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</si>
  <si>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</si>
  <si>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</si>
  <si>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</si>
  <si>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</si>
  <si>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</si>
  <si>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</si>
  <si>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</si>
  <si>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</si>
  <si>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</si>
  <si>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</si>
  <si>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</si>
  <si>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</si>
  <si>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</si>
  <si>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</si>
  <si>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</si>
  <si>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</si>
  <si>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</si>
  <si>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</si>
  <si>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</si>
  <si>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</si>
  <si>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</si>
  <si>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</si>
  <si>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</si>
  <si>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</si>
  <si>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</si>
  <si>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</si>
  <si>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</si>
  <si>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</si>
  <si>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</si>
  <si>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</si>
  <si>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</si>
  <si>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</si>
  <si>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</si>
  <si>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</si>
  <si>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</si>
  <si>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</si>
  <si>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</si>
  <si>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</si>
  <si>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</si>
  <si>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</si>
  <si>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</si>
  <si>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</si>
  <si>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</si>
  <si>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</si>
  <si>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</si>
  <si>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</si>
  <si>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</si>
  <si>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</si>
  <si>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</si>
  <si>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</si>
  <si>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</si>
  <si>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</si>
  <si>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</si>
  <si>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</si>
  <si>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</si>
  <si>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</si>
  <si>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</si>
  <si>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</si>
  <si>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</si>
  <si>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</si>
  <si>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</si>
  <si>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</si>
  <si>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</si>
  <si>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</si>
  <si>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</si>
  <si>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</si>
  <si>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</si>
  <si>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</si>
  <si>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</si>
  <si>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</si>
  <si>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</si>
  <si>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</si>
  <si>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</si>
  <si>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</si>
  <si>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</si>
  <si>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</si>
  <si>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</si>
  <si>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</si>
  <si>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</si>
  <si>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</si>
  <si>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</si>
  <si>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</si>
  <si>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</si>
  <si>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</si>
  <si>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</si>
  <si>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</si>
  <si>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</si>
  <si>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</si>
  <si>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</si>
  <si>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</si>
  <si>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</si>
  <si>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</si>
  <si>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</si>
  <si>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</si>
  <si>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</si>
  <si>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</si>
  <si>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</si>
  <si>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</si>
  <si>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</si>
  <si>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</si>
  <si>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</si>
  <si>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</si>
  <si>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</si>
  <si>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</si>
  <si>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</si>
  <si>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</si>
  <si>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</si>
  <si>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</si>
  <si>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</si>
  <si>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</si>
  <si>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</si>
  <si>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</si>
  <si>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</si>
  <si>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</si>
  <si>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</si>
  <si>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</si>
  <si>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</si>
  <si>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</si>
  <si>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</si>
  <si>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</si>
  <si>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</si>
  <si>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</si>
  <si>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</si>
  <si>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</si>
  <si>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</si>
  <si>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</si>
  <si>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</si>
  <si>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</si>
  <si>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</si>
  <si>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</si>
  <si>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</si>
  <si>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</si>
  <si>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</si>
  <si>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</si>
  <si>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</si>
  <si>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</si>
  <si>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</si>
  <si>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</si>
  <si>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</si>
  <si>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</si>
  <si>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</si>
  <si>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</si>
  <si>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</si>
  <si>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</si>
  <si>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</si>
  <si>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</si>
  <si>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</si>
  <si>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</si>
  <si>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</si>
  <si>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</si>
  <si>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</si>
  <si>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</si>
  <si>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</si>
  <si>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</si>
  <si>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</si>
  <si>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</si>
  <si>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</si>
  <si>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</si>
  <si>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</si>
  <si>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</si>
  <si>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</si>
  <si>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</si>
  <si>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</si>
  <si>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</si>
  <si>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</si>
  <si>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</si>
  <si>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</si>
  <si>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</si>
  <si>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</si>
  <si>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</si>
  <si>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</si>
  <si>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</si>
  <si>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</si>
  <si>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</si>
  <si>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</si>
  <si>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</si>
  <si>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</si>
  <si>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</si>
  <si>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</si>
  <si>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</si>
  <si>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</si>
  <si>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</si>
  <si>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</si>
  <si>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</si>
  <si>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</si>
  <si>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</si>
  <si>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</si>
  <si>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</si>
  <si>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</si>
  <si>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</si>
  <si>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</si>
  <si>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</si>
  <si>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</si>
  <si>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</si>
  <si>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</si>
  <si>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</si>
  <si>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</si>
  <si>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</si>
  <si>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</si>
  <si>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</si>
  <si>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</si>
  <si>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</si>
  <si>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</si>
  <si>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</si>
  <si>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</si>
  <si>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</si>
  <si>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</si>
  <si>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</si>
  <si>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</si>
  <si>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</si>
  <si>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</si>
  <si>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</si>
  <si>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</si>
  <si>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</si>
  <si>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</si>
  <si>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</si>
  <si>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</si>
  <si>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</si>
  <si>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</si>
  <si>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</si>
  <si>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</si>
  <si>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</si>
  <si>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</si>
  <si>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</si>
  <si>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</si>
  <si>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</si>
  <si>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</si>
  <si>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</si>
  <si>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</si>
  <si>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</si>
  <si>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</si>
  <si>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</si>
  <si>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</si>
  <si>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</si>
  <si>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</si>
  <si>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</si>
  <si>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</si>
  <si>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</si>
  <si>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</si>
  <si>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</si>
  <si>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</si>
  <si>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</si>
  <si>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</si>
  <si>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</si>
  <si>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</si>
  <si>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</si>
  <si>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</si>
  <si>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</si>
  <si>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</si>
  <si>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</si>
  <si>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</si>
  <si>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</si>
  <si>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</si>
  <si>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</si>
  <si>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</si>
  <si>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</si>
  <si>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</si>
  <si>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</si>
  <si>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</si>
  <si>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</si>
  <si>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</si>
  <si>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</si>
  <si>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</si>
  <si>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</si>
  <si>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</si>
  <si>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</si>
  <si>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</si>
  <si>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</si>
  <si>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</si>
  <si>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</si>
  <si>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</si>
  <si>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</si>
  <si>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</si>
  <si>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</si>
  <si>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</si>
  <si>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</si>
  <si>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</si>
  <si>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</si>
  <si>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</si>
  <si>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</si>
  <si>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</si>
  <si>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</si>
  <si>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</si>
  <si>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</si>
  <si>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</si>
  <si>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</si>
  <si>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</si>
  <si>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</si>
  <si>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</si>
  <si>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</si>
  <si>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</si>
  <si>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</si>
  <si>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</si>
  <si>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</si>
  <si>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</si>
  <si>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</si>
  <si>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</si>
  <si>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</si>
  <si>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</si>
  <si>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</si>
  <si>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</si>
  <si>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</si>
  <si>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</si>
  <si>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</si>
  <si>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</si>
  <si>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</si>
  <si>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</si>
  <si>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</si>
  <si>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</si>
  <si>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</si>
  <si>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</si>
  <si>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</si>
  <si>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</si>
  <si>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</si>
  <si>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</si>
  <si>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</si>
  <si>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</si>
  <si>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</si>
  <si>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</si>
  <si>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</si>
  <si>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</si>
  <si>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</si>
  <si>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</si>
  <si>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</si>
  <si>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</si>
  <si>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</si>
  <si>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</si>
  <si>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</si>
  <si>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</si>
  <si>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</si>
  <si>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</si>
  <si>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</si>
  <si>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</si>
  <si>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</si>
  <si>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</si>
  <si>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</si>
  <si>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</si>
  <si>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</si>
  <si>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</si>
  <si>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</si>
  <si>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</si>
  <si>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</si>
  <si>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</si>
  <si>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</si>
  <si>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</si>
  <si>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</si>
  <si>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</si>
  <si>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</si>
  <si>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</si>
  <si>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</si>
  <si>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</si>
  <si>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</si>
  <si>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</si>
  <si>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</si>
  <si>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</si>
  <si>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</si>
  <si>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</si>
  <si>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</si>
  <si>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</si>
  <si>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</si>
  <si>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</si>
  <si>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</si>
  <si>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</si>
  <si>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</si>
  <si>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</si>
  <si>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</si>
  <si>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</si>
  <si>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</si>
  <si>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</si>
  <si>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</si>
  <si>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</si>
  <si>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</si>
  <si>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</si>
  <si>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</si>
  <si>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</si>
  <si>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</si>
  <si>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</si>
  <si>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</si>
  <si>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</si>
  <si>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</si>
  <si>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</si>
  <si>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</si>
  <si>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</si>
  <si>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</si>
  <si>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</si>
  <si>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</si>
  <si>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</si>
  <si>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</si>
  <si>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</si>
  <si>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</si>
  <si>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</si>
  <si>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</si>
  <si>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</si>
  <si>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</si>
  <si>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</si>
  <si>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</si>
  <si>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</si>
  <si>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</si>
  <si>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</si>
  <si>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</si>
  <si>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</si>
  <si>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</si>
  <si>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</si>
  <si>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</si>
  <si>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</si>
  <si>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</si>
  <si>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</si>
  <si>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</si>
  <si>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</si>
  <si>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</si>
  <si>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</si>
  <si>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</si>
  <si>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</si>
  <si>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</si>
  <si>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</si>
  <si>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</si>
  <si>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</si>
  <si>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</si>
  <si>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</si>
  <si>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</si>
  <si>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</si>
  <si>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</si>
  <si>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</si>
  <si>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</si>
  <si>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</si>
  <si>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</si>
  <si>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</si>
  <si>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</si>
  <si>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</si>
  <si>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</si>
  <si>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</si>
  <si>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</si>
  <si>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</si>
  <si>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</si>
  <si>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</si>
  <si>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</si>
  <si>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</si>
  <si>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</si>
  <si>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</si>
  <si>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</si>
  <si>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</si>
  <si>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</si>
  <si>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</si>
  <si>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</si>
  <si>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</si>
  <si>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</si>
  <si>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</si>
  <si>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</si>
  <si>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</si>
  <si>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</si>
  <si>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</si>
  <si>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</si>
  <si>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</si>
  <si>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</si>
  <si>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</si>
  <si>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</si>
  <si>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</si>
  <si>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</si>
  <si>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</si>
  <si>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</si>
  <si>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</si>
  <si>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</si>
  <si>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</si>
  <si>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</si>
  <si>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</si>
  <si>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</si>
  <si>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</si>
  <si>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</si>
  <si>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</si>
  <si>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</si>
  <si>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</si>
  <si>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</si>
  <si>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</si>
  <si>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</si>
  <si>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</si>
  <si>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</si>
  <si>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</si>
  <si>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</si>
  <si>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</si>
  <si>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</si>
  <si>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</si>
  <si>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</si>
  <si>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</si>
  <si>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</si>
  <si>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</si>
  <si>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</si>
  <si>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</si>
  <si>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</si>
  <si>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</si>
  <si>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</si>
  <si>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</si>
  <si>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</si>
  <si>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</si>
  <si>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</si>
  <si>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</si>
  <si>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</si>
  <si>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</si>
  <si>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</si>
  <si>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</si>
  <si>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</si>
  <si>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</si>
  <si>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</si>
  <si>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</si>
  <si>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</si>
  <si>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</si>
  <si>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</si>
  <si>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</si>
  <si>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</si>
  <si>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</si>
  <si>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</si>
  <si>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</si>
  <si>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</si>
  <si>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</si>
  <si>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</si>
  <si>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</si>
  <si>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</si>
  <si>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</si>
  <si>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</si>
  <si>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</si>
  <si>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</si>
  <si>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</si>
  <si>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</si>
  <si>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</si>
  <si>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</si>
  <si>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</si>
  <si>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</si>
  <si>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</si>
  <si>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</si>
  <si>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</si>
  <si>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</si>
  <si>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</si>
  <si>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</si>
  <si>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</si>
  <si>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</si>
  <si>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</si>
  <si>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</si>
  <si>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</si>
  <si>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</si>
  <si>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</si>
  <si>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</si>
  <si>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</si>
  <si>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</si>
  <si>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</si>
  <si>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</si>
  <si>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</si>
  <si>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</si>
  <si>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</si>
  <si>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</si>
  <si>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</si>
  <si>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</si>
  <si>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</si>
  <si>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</si>
  <si>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</si>
  <si>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</si>
  <si>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</si>
  <si>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</si>
  <si>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</si>
  <si>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</si>
  <si>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</si>
  <si>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</si>
  <si>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</si>
  <si>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</si>
  <si>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</si>
  <si>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</si>
  <si>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</si>
  <si>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</si>
  <si>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</si>
  <si>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</si>
  <si>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</si>
  <si>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</si>
  <si>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</si>
  <si>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</si>
  <si>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</si>
  <si>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</si>
  <si>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</si>
  <si>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</si>
  <si>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</si>
  <si>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</si>
  <si>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</si>
  <si>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</si>
  <si>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</si>
  <si>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</si>
  <si>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</si>
  <si>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</si>
  <si>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</si>
  <si>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</si>
  <si>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</si>
  <si>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</si>
  <si>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</si>
  <si>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</si>
  <si>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</si>
  <si>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</si>
  <si>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</si>
  <si>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</si>
  <si>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</si>
  <si>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</si>
  <si>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</si>
  <si>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</si>
  <si>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</si>
  <si>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</si>
  <si>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</si>
  <si>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</si>
  <si>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</si>
  <si>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</si>
  <si>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</si>
  <si>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</si>
  <si>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</si>
  <si>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</si>
  <si>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</si>
  <si>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</si>
  <si>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</si>
  <si>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</si>
  <si>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</si>
  <si>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</si>
  <si>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</si>
  <si>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</si>
  <si>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</si>
  <si>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</si>
  <si>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</si>
  <si>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</si>
  <si>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</si>
  <si>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</si>
  <si>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</si>
  <si>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</si>
  <si>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</si>
  <si>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</si>
  <si>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</si>
  <si>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</si>
  <si>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</si>
  <si>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</si>
  <si>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</si>
  <si>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</si>
  <si>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</si>
  <si>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</si>
  <si>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</si>
  <si>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</si>
  <si>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</si>
  <si>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</si>
  <si>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</si>
  <si>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</si>
  <si>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</si>
  <si>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</si>
  <si>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</si>
  <si>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</si>
  <si>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</si>
  <si>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</si>
  <si>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</si>
  <si>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</si>
  <si>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</si>
  <si>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</si>
  <si>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</si>
  <si>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</si>
  <si>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</si>
  <si>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</si>
  <si>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</si>
  <si>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</si>
  <si>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</si>
  <si>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</si>
  <si>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</si>
  <si>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</si>
  <si>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</si>
  <si>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</si>
  <si>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</si>
  <si>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</si>
  <si>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</si>
  <si>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</si>
  <si>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</si>
  <si>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</si>
  <si>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</si>
  <si>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</si>
  <si>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</si>
  <si>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</si>
  <si>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</si>
  <si>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</si>
  <si>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</si>
  <si>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</si>
  <si>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</si>
  <si>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</si>
  <si>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</si>
  <si>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</si>
  <si>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</si>
  <si>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</si>
  <si>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</si>
  <si>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</si>
  <si>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</si>
  <si>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</si>
  <si>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</si>
  <si>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</si>
  <si>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</si>
  <si>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</si>
  <si>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</si>
  <si>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</si>
  <si>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</si>
  <si>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</si>
  <si>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</si>
  <si>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</si>
  <si>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</si>
  <si>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</si>
  <si>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</si>
  <si>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</si>
  <si>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</si>
  <si>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</si>
  <si>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</si>
  <si>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</si>
  <si>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</si>
  <si>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</si>
  <si>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</si>
  <si>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</si>
  <si>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</si>
  <si>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</si>
  <si>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</si>
  <si>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</si>
  <si>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</si>
  <si>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</si>
  <si>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</si>
  <si>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</si>
  <si>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</si>
  <si>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</si>
  <si>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</si>
  <si>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</si>
  <si>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</si>
  <si>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</si>
  <si>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</si>
  <si>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</si>
  <si>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</si>
  <si>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</si>
  <si>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</si>
  <si>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</si>
  <si>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</si>
  <si>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</si>
  <si>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</si>
  <si>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</si>
  <si>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</si>
  <si>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</si>
  <si>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</si>
  <si>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</si>
  <si>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</si>
  <si>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</si>
  <si>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</si>
  <si>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</si>
  <si>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</si>
  <si>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</si>
  <si>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</si>
  <si>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</si>
  <si>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</si>
  <si>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</si>
  <si>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</si>
  <si>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</si>
  <si>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</si>
  <si>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</si>
  <si>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</si>
  <si>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</si>
  <si>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</si>
  <si>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</si>
  <si>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</si>
  <si>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</si>
  <si>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</si>
  <si>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</si>
  <si>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</si>
  <si>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</si>
  <si>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</si>
  <si>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</si>
  <si>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</si>
  <si>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</si>
  <si>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</si>
  <si>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</si>
  <si>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</si>
  <si>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</si>
  <si>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</si>
  <si>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</si>
  <si>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</si>
  <si>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</si>
  <si>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</si>
  <si>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</si>
  <si>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</si>
  <si>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</si>
  <si>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</si>
  <si>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</si>
  <si>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</si>
  <si>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</si>
  <si>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</si>
  <si>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</si>
  <si>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</si>
  <si>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</si>
  <si>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</si>
  <si>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</si>
  <si>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</si>
  <si>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</si>
  <si>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</si>
  <si>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</si>
  <si>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</si>
  <si>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</si>
  <si>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</si>
  <si>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</si>
  <si>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</si>
  <si>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</si>
  <si>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</si>
  <si>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</si>
  <si>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</si>
  <si>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</si>
  <si>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</si>
  <si>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</si>
  <si>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</si>
  <si>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</si>
  <si>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</si>
  <si>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</si>
  <si>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</si>
  <si>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</si>
  <si>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</si>
  <si>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</si>
  <si>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</si>
  <si>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</si>
  <si>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</si>
  <si>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</si>
  <si>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</si>
  <si>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</si>
  <si>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</si>
  <si>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</si>
  <si>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</si>
  <si>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</si>
  <si>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</si>
  <si>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</si>
  <si>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</si>
  <si>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</si>
  <si>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</si>
  <si>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</si>
  <si>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</si>
  <si>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</si>
  <si>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</si>
  <si>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</si>
  <si>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</si>
  <si>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</si>
  <si>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</si>
  <si>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</si>
  <si>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</si>
  <si>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</si>
  <si>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</si>
  <si>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</si>
  <si>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</si>
  <si>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</si>
  <si>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</si>
  <si>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</si>
  <si>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</si>
  <si>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</si>
  <si>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</si>
  <si>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</si>
  <si>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</si>
  <si>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</si>
  <si>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</si>
  <si>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</si>
  <si>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</si>
  <si>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</si>
  <si>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</si>
  <si>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</si>
  <si>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</si>
  <si>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</si>
  <si>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</si>
  <si>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</si>
  <si>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</si>
  <si>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</si>
  <si>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</si>
  <si>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</si>
  <si>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</si>
  <si>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</si>
  <si>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</si>
  <si>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</si>
  <si>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</si>
  <si>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</si>
  <si>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</si>
  <si>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</si>
  <si>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</si>
  <si>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</si>
  <si>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</si>
  <si>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</si>
  <si>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</si>
  <si>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</si>
  <si>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</si>
  <si>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</si>
  <si>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</si>
  <si>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</si>
  <si>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</si>
  <si>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</si>
  <si>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</si>
  <si>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</si>
  <si>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</si>
  <si>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</si>
  <si>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</si>
  <si>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</si>
  <si>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</si>
  <si>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</si>
  <si>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</si>
  <si>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</si>
  <si>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</si>
  <si>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</si>
  <si>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</si>
  <si>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</si>
  <si>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</si>
  <si>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</si>
  <si>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</si>
  <si>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</si>
  <si>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</si>
  <si>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</si>
  <si>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</si>
  <si>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</si>
  <si>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</si>
  <si>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</si>
  <si>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</si>
  <si>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</si>
  <si>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</si>
  <si>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</si>
  <si>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</si>
  <si>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</si>
  <si>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</si>
  <si>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</si>
  <si>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</si>
  <si>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</si>
  <si>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</si>
  <si>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</si>
  <si>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</si>
  <si>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</si>
  <si>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</si>
  <si>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</si>
  <si>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</si>
  <si>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</si>
  <si>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</si>
  <si>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</si>
  <si>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</si>
  <si>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</si>
  <si>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</si>
  <si>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</si>
  <si>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</si>
  <si>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</si>
  <si>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</si>
  <si>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</si>
  <si>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</si>
  <si>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</si>
  <si>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</si>
  <si>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</si>
  <si>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</si>
  <si>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</si>
  <si>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</si>
  <si>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</si>
  <si>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</si>
  <si>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</si>
  <si>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</si>
  <si>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</si>
  <si>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</si>
  <si>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</si>
  <si>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</si>
  <si>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</si>
  <si>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</si>
  <si>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</si>
  <si>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</si>
  <si>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</si>
  <si>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</si>
  <si>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</si>
  <si>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</si>
  <si>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</si>
  <si>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</si>
  <si>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</si>
  <si>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</si>
  <si>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</si>
  <si>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</si>
  <si>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</si>
  <si>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</si>
  <si>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</si>
  <si>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</si>
  <si>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</si>
  <si>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</si>
  <si>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</si>
  <si>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</si>
  <si>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</si>
  <si>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</si>
  <si>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</si>
  <si>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</si>
  <si>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</si>
  <si>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</si>
  <si>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</si>
  <si>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</si>
  <si>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</si>
  <si>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</si>
  <si>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</si>
  <si>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</si>
  <si>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</si>
  <si>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</si>
  <si>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</si>
  <si>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</si>
  <si>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</si>
  <si>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</si>
  <si>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</si>
  <si>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</si>
  <si>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</si>
  <si>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</si>
  <si>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</si>
  <si>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</si>
  <si>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</si>
  <si>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</si>
  <si>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</si>
  <si>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</si>
  <si>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</si>
  <si>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</si>
  <si>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</si>
  <si>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</si>
  <si>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</si>
  <si>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</si>
  <si>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</si>
  <si>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</si>
  <si>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</si>
  <si>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</si>
  <si>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</si>
  <si>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</si>
  <si>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</si>
  <si>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</si>
  <si>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</si>
  <si>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</si>
  <si>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</si>
  <si>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</si>
  <si>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</si>
  <si>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</si>
  <si>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</si>
  <si>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</si>
  <si>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</si>
  <si>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</si>
  <si>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</si>
  <si>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</si>
  <si>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</si>
  <si>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</si>
  <si>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</si>
  <si>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</si>
  <si>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</si>
  <si>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</si>
  <si>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</si>
  <si>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</si>
  <si>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</si>
  <si>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</si>
  <si>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</si>
  <si>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</si>
  <si>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</si>
  <si>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</si>
  <si>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</si>
  <si>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</si>
  <si>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</si>
  <si>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</si>
  <si>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</si>
  <si>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</si>
  <si>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</si>
  <si>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</si>
  <si>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</si>
  <si>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</si>
  <si>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</si>
  <si>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</si>
  <si>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</si>
  <si>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</si>
  <si>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</si>
  <si>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</si>
  <si>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</si>
  <si>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</si>
  <si>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</si>
  <si>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</si>
  <si>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</si>
  <si>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</si>
  <si>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</si>
  <si>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</si>
  <si>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</si>
  <si>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</si>
  <si>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</si>
  <si>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</si>
  <si>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</si>
  <si>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</si>
  <si>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</si>
  <si>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</si>
  <si>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</si>
  <si>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</si>
  <si>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</si>
  <si>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</si>
  <si>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</si>
  <si>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</si>
  <si>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</si>
  <si>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</si>
  <si>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</si>
  <si>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</si>
  <si>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</si>
  <si>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</si>
  <si>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</si>
  <si>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</si>
  <si>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</si>
  <si>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</si>
  <si>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</si>
  <si>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</si>
  <si>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</si>
  <si>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</si>
  <si>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</si>
  <si>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</si>
  <si>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</si>
  <si>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</si>
  <si>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</si>
  <si>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</si>
  <si>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</si>
  <si>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</si>
  <si>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</si>
  <si>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</si>
  <si>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</si>
  <si>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</si>
  <si>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</si>
  <si>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</si>
  <si>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</si>
  <si>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</si>
  <si>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</si>
  <si>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</si>
  <si>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</si>
  <si>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</si>
  <si>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</si>
  <si>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</si>
  <si>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</si>
  <si>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</si>
  <si>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</si>
  <si>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</si>
  <si>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</si>
  <si>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</si>
  <si>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</si>
  <si>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</si>
  <si>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</si>
  <si>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</si>
  <si>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</si>
  <si>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</si>
  <si>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</si>
  <si>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</si>
  <si>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</si>
  <si>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</si>
  <si>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</si>
  <si>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</si>
  <si>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</si>
  <si>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</si>
  <si>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</si>
  <si>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</si>
  <si>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</si>
  <si>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</si>
  <si>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</si>
  <si>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</si>
  <si>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</si>
  <si>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</si>
  <si>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</si>
  <si>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</si>
  <si>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</si>
  <si>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</si>
  <si>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</si>
  <si>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</si>
  <si>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</si>
  <si>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</si>
  <si>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</si>
  <si>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</si>
  <si>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</si>
  <si>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</si>
  <si>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</si>
  <si>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</si>
  <si>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</si>
  <si>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</si>
  <si>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</si>
  <si>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</si>
  <si>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</si>
  <si>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</si>
  <si>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</si>
  <si>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</si>
  <si>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</si>
  <si>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</si>
  <si>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</si>
  <si>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</si>
  <si>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</si>
  <si>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</si>
  <si>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</si>
  <si>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</si>
  <si>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</si>
  <si>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</si>
  <si>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</si>
  <si>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</si>
  <si>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</si>
  <si>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</si>
  <si>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</si>
  <si>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</si>
  <si>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</si>
  <si>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</si>
  <si>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</si>
  <si>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</si>
  <si>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</si>
  <si>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</si>
  <si>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</si>
  <si>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</si>
  <si>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</si>
  <si>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</si>
  <si>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</si>
  <si>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</si>
  <si>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</si>
  <si>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</si>
  <si>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</si>
  <si>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</si>
  <si>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</si>
  <si>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</si>
  <si>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</si>
  <si>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</si>
  <si>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</si>
  <si>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</si>
  <si>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</si>
  <si>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</si>
  <si>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</si>
  <si>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</si>
  <si>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</si>
  <si>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</si>
  <si>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</si>
  <si>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</si>
  <si>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</si>
  <si>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</si>
  <si>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</si>
  <si>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</si>
  <si>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</si>
  <si>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</si>
  <si>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</si>
  <si>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</si>
  <si>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</si>
  <si>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</si>
  <si>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</si>
  <si>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</si>
  <si>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</si>
  <si>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</si>
  <si>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</si>
  <si>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</si>
  <si>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</si>
  <si>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</si>
  <si>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</si>
  <si>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</si>
  <si>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</si>
  <si>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</si>
  <si>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</si>
  <si>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</si>
  <si>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</si>
  <si>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</si>
  <si>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</si>
  <si>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</si>
  <si>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</si>
  <si>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</si>
  <si>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</si>
  <si>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</si>
  <si>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</si>
  <si>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</si>
  <si>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</si>
  <si>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</si>
  <si>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</si>
  <si>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</si>
  <si>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</si>
  <si>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</si>
  <si>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</si>
  <si>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</si>
  <si>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</si>
  <si>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</si>
  <si>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</si>
  <si>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</si>
  <si>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</si>
  <si>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</si>
  <si>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</si>
  <si>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</si>
  <si>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</si>
  <si>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</si>
  <si>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</si>
  <si>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</si>
  <si>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</si>
  <si>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</si>
  <si>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</si>
  <si>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</si>
  <si>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</si>
  <si>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</si>
  <si>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</si>
  <si>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</si>
  <si>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</si>
  <si>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</si>
  <si>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</si>
  <si>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</si>
  <si>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</si>
  <si>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</si>
  <si>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</si>
  <si>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</si>
  <si>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</si>
  <si>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</si>
  <si>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</si>
  <si>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</si>
  <si>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</si>
  <si>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</si>
  <si>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</si>
  <si>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</si>
  <si>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</si>
  <si>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</si>
  <si>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</si>
  <si>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</si>
  <si>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</si>
  <si>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</si>
  <si>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</si>
  <si>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</si>
  <si>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</si>
  <si>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</si>
  <si>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</si>
  <si>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</si>
  <si>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</si>
  <si>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</si>
  <si>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</si>
  <si>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</si>
  <si>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</si>
  <si>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</si>
  <si>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</si>
  <si>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</si>
  <si>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</si>
  <si>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</si>
  <si>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</si>
  <si>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</si>
  <si>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</si>
  <si>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</si>
  <si>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</si>
  <si>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</si>
  <si>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</si>
  <si>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</si>
  <si>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</si>
  <si>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</si>
  <si>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</si>
  <si>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</si>
  <si>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</si>
  <si>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</si>
  <si>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</si>
  <si>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</si>
  <si>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</si>
  <si>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</si>
  <si>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</si>
  <si>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</si>
  <si>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</si>
  <si>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</si>
  <si>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</si>
  <si>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</si>
  <si>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</si>
  <si>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</si>
  <si>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</si>
  <si>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</si>
  <si>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</si>
  <si>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</si>
  <si>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</si>
  <si>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</si>
  <si>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</si>
  <si>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</si>
  <si>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</si>
  <si>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</si>
  <si>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</si>
  <si>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</si>
  <si>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</si>
  <si>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</si>
  <si>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</si>
  <si>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</si>
  <si>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</si>
  <si>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</si>
  <si>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</si>
  <si>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</si>
  <si>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</si>
  <si>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</si>
  <si>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</si>
  <si>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</si>
  <si>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</si>
  <si>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</si>
  <si>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</si>
  <si>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</si>
  <si>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</si>
  <si>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</si>
  <si>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</si>
  <si>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</si>
  <si>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</si>
  <si>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</si>
  <si>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</si>
  <si>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</si>
  <si>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</si>
  <si>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</si>
  <si>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</si>
  <si>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</si>
  <si>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</si>
  <si>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</si>
  <si>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</si>
  <si>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</si>
  <si>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</si>
  <si>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</si>
  <si>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</si>
  <si>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</si>
  <si>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</si>
  <si>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</si>
  <si>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</si>
  <si>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</si>
  <si>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</si>
  <si>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</si>
  <si>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</si>
  <si>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</si>
  <si>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</si>
  <si>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</si>
  <si>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</si>
  <si>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</si>
  <si>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</si>
  <si>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</si>
  <si>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</si>
  <si>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</si>
  <si>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</si>
  <si>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</si>
  <si>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</si>
  <si>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</si>
  <si>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</si>
  <si>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</si>
  <si>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</si>
  <si>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</si>
  <si>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</si>
  <si>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</si>
  <si>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</si>
  <si>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</si>
  <si>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</si>
  <si>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</si>
  <si>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</si>
  <si>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</si>
  <si>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</si>
  <si>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</si>
  <si>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</si>
  <si>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</si>
  <si>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</si>
  <si>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</si>
  <si>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</si>
  <si>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</si>
  <si>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</si>
  <si>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</si>
  <si>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</si>
  <si>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</si>
  <si>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</si>
  <si>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</si>
  <si>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</si>
  <si>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</si>
  <si>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</si>
  <si>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</si>
  <si>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</si>
  <si>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</si>
  <si>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</si>
  <si>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</si>
  <si>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</si>
  <si>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</si>
  <si>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</si>
  <si>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</si>
  <si>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</si>
  <si>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</si>
  <si>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</si>
  <si>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</si>
  <si>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</si>
  <si>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</si>
  <si>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</si>
  <si>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</si>
  <si>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</si>
  <si>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</si>
  <si>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</si>
  <si>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</si>
  <si>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</si>
  <si>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</si>
  <si>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</si>
  <si>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</si>
  <si>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</si>
  <si>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</si>
  <si>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</si>
  <si>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</si>
  <si>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</si>
  <si>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</si>
  <si>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</si>
  <si>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</si>
  <si>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</si>
  <si>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</si>
  <si>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</si>
  <si>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</si>
  <si>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</si>
  <si>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</si>
  <si>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</si>
  <si>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</si>
  <si>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</si>
  <si>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</si>
  <si>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</si>
  <si>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</si>
  <si>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</si>
  <si>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</si>
  <si>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</si>
  <si>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</si>
  <si>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</si>
  <si>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</si>
  <si>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</si>
  <si>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</si>
  <si>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</si>
  <si>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</si>
  <si>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</si>
  <si>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</si>
  <si>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</si>
  <si>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</si>
  <si>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</si>
  <si>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</si>
  <si>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</si>
  <si>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</si>
  <si>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</si>
  <si>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</si>
  <si>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</si>
  <si>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</si>
  <si>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</si>
  <si>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</si>
  <si>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</si>
  <si>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</si>
  <si>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</si>
  <si>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</si>
  <si>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</si>
  <si>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</si>
  <si>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</si>
  <si>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</si>
  <si>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</si>
  <si>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</si>
  <si>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</si>
  <si>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</si>
  <si>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</si>
  <si>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</si>
  <si>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</si>
  <si>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</si>
  <si>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</si>
  <si>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</si>
  <si>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</si>
  <si>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</si>
  <si>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</si>
  <si>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</si>
  <si>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</si>
  <si>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</si>
  <si>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</si>
  <si>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</si>
  <si>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</si>
  <si>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</si>
  <si>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</si>
  <si>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</si>
  <si>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</si>
  <si>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</si>
  <si>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</si>
  <si>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</si>
  <si>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</si>
  <si>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</si>
  <si>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</si>
  <si>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</si>
  <si>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</si>
  <si>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</si>
  <si>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</si>
  <si>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</si>
  <si>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</si>
  <si>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</si>
  <si>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</si>
  <si>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</si>
  <si>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</si>
  <si>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</si>
  <si>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</si>
  <si>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</si>
  <si>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</si>
  <si>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</si>
  <si>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</si>
  <si>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</si>
  <si>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</si>
  <si>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</si>
  <si>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</si>
  <si>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</si>
  <si>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</si>
  <si>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</si>
  <si>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</si>
  <si>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</si>
  <si>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</si>
  <si>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</si>
  <si>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</si>
  <si>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</si>
  <si>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</si>
  <si>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</si>
  <si>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</si>
  <si>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</si>
  <si>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</si>
  <si>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</si>
  <si>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</si>
  <si>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</si>
  <si>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</si>
  <si>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</si>
  <si>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</si>
  <si>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</si>
  <si>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</si>
  <si>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</si>
  <si>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</si>
  <si>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</si>
  <si>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</si>
  <si>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</si>
  <si>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</si>
  <si>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</si>
  <si>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</si>
  <si>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</si>
  <si>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</si>
  <si>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</si>
  <si>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</si>
  <si>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</si>
  <si>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</si>
  <si>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</si>
  <si>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</si>
  <si>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</si>
  <si>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</si>
  <si>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</si>
  <si>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</si>
  <si>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</si>
  <si>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</si>
  <si>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</si>
  <si>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</si>
  <si>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</si>
  <si>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</si>
  <si>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</si>
  <si>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</si>
  <si>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</si>
  <si>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</si>
  <si>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</si>
  <si>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</si>
  <si>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</si>
  <si>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</si>
  <si>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</si>
  <si>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</si>
  <si>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</si>
  <si>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</si>
  <si>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</si>
  <si>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</si>
  <si>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</si>
  <si>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</si>
  <si>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</si>
  <si>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</si>
  <si>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</si>
  <si>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</si>
  <si>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</si>
  <si>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</si>
  <si>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</si>
  <si>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</si>
  <si>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</si>
  <si>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</si>
  <si>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</si>
  <si>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</si>
  <si>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</si>
  <si>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</si>
  <si>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</si>
  <si>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</si>
  <si>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</si>
  <si>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</si>
  <si>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</si>
  <si>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</si>
  <si>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</si>
  <si>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</si>
  <si>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</si>
  <si>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</si>
  <si>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</si>
  <si>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</si>
  <si>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</si>
  <si>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</si>
  <si>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</si>
  <si>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</si>
  <si>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</si>
  <si>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</si>
  <si>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</si>
  <si>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</si>
  <si>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</si>
  <si>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</si>
  <si>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</si>
  <si>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</si>
  <si>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</si>
  <si>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</si>
  <si>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</si>
  <si>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</si>
  <si>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</si>
  <si>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</si>
  <si>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</si>
  <si>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</si>
  <si>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</si>
  <si>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</si>
  <si>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</si>
  <si>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</si>
  <si>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</si>
  <si>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</si>
  <si>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</si>
  <si>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</si>
  <si>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</si>
  <si>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</si>
  <si>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</si>
  <si>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</si>
  <si>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</si>
  <si>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</si>
  <si>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</si>
  <si>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</si>
  <si>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</si>
  <si>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</si>
  <si>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</si>
  <si>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</si>
  <si>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</si>
  <si>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</si>
  <si>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</si>
  <si>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</si>
  <si>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</si>
  <si>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</si>
  <si>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</si>
  <si>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</si>
  <si>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</si>
  <si>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</si>
  <si>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</si>
  <si>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</si>
  <si>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</si>
  <si>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</si>
  <si>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</si>
  <si>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</si>
  <si>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</si>
  <si>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</si>
  <si>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</si>
  <si>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</si>
  <si>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</si>
  <si>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</si>
  <si>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</si>
  <si>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</si>
  <si>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</si>
  <si>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</si>
  <si>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</si>
  <si>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</si>
  <si>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</si>
  <si>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</si>
  <si>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</si>
  <si>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</si>
  <si>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</si>
  <si>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</si>
  <si>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</si>
  <si>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</si>
  <si>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</si>
  <si>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</si>
  <si>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</si>
  <si>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</si>
  <si>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</si>
  <si>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</si>
  <si>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</si>
  <si>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</si>
  <si>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</si>
  <si>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</si>
  <si>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</si>
  <si>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</si>
  <si>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</si>
  <si>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</si>
  <si>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</si>
  <si>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</si>
  <si>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</si>
  <si>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</si>
  <si>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</si>
  <si>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</si>
  <si>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</si>
  <si>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</si>
  <si>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</si>
  <si>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</si>
  <si>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</si>
  <si>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</si>
  <si>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</si>
  <si>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</si>
  <si>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</si>
  <si>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</si>
  <si>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</si>
  <si>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</si>
  <si>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</si>
  <si>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</si>
  <si>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</si>
  <si>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</si>
  <si>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</si>
  <si>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</si>
  <si>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</si>
  <si>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</si>
  <si>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</si>
  <si>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</si>
  <si>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</si>
  <si>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</si>
  <si>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</si>
  <si>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</si>
  <si>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</si>
  <si>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</si>
  <si>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</si>
  <si>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</si>
  <si>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</si>
  <si>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</si>
  <si>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</si>
  <si>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</si>
  <si>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</si>
  <si>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</si>
  <si>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</si>
  <si>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</si>
  <si>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</si>
  <si>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</si>
  <si>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</si>
  <si>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</si>
  <si>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</si>
  <si>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</si>
  <si>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</si>
  <si>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</si>
  <si>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</si>
  <si>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</si>
  <si>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</si>
  <si>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</si>
  <si>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</si>
  <si>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</si>
  <si>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</si>
  <si>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</si>
  <si>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</si>
  <si>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</si>
  <si>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</si>
  <si>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</si>
  <si>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</si>
  <si>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</si>
  <si>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</si>
  <si>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</si>
  <si>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</si>
  <si>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</si>
  <si>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</si>
  <si>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</si>
  <si>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</si>
  <si>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</si>
  <si>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</si>
  <si>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</si>
  <si>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</si>
  <si>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</si>
  <si>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</si>
  <si>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</si>
  <si>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</si>
  <si>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</si>
  <si>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</si>
  <si>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</si>
  <si>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</si>
  <si>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</si>
  <si>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</si>
  <si>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</si>
  <si>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</si>
  <si>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</si>
  <si>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</si>
  <si>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</si>
  <si>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</si>
  <si>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</si>
  <si>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</si>
  <si>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</si>
  <si>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</si>
  <si>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</si>
  <si>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</si>
  <si>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</si>
  <si>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</si>
  <si>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</si>
  <si>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</si>
  <si>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</si>
  <si>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</si>
  <si>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</si>
  <si>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</si>
  <si>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</si>
  <si>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</si>
  <si>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</si>
  <si>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</si>
  <si>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</si>
  <si>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</si>
  <si>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</si>
  <si>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</si>
  <si>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</si>
  <si>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</si>
  <si>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</si>
  <si>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</si>
  <si>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</si>
  <si>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</si>
  <si>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</si>
  <si>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</si>
  <si>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</si>
  <si>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</si>
  <si>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</si>
  <si>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</si>
  <si>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</si>
  <si>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</si>
  <si>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</si>
  <si>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</si>
  <si>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</si>
  <si>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</si>
  <si>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</si>
  <si>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</si>
  <si>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</si>
  <si>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</si>
  <si>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</si>
  <si>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</si>
  <si>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</si>
  <si>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</si>
  <si>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</si>
  <si>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</si>
  <si>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</si>
  <si>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</si>
  <si>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</si>
  <si>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</si>
  <si>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</si>
  <si>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</si>
  <si>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</si>
  <si>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</si>
  <si>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</si>
  <si>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</si>
  <si>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</si>
  <si>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</si>
  <si>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</si>
  <si>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</si>
  <si>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</si>
  <si>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</si>
  <si>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</si>
  <si>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</si>
  <si>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</si>
  <si>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</si>
  <si>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</si>
  <si>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</si>
  <si>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</si>
  <si>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</si>
  <si>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</si>
  <si>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</si>
  <si>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</si>
  <si>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</si>
  <si>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</si>
  <si>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</si>
  <si>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</si>
  <si>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</si>
  <si>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</si>
  <si>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</si>
  <si>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</si>
  <si>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</si>
  <si>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</si>
  <si>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</si>
  <si>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</si>
  <si>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</si>
  <si>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</si>
  <si>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</si>
  <si>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</si>
  <si>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</si>
  <si>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</si>
  <si>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</si>
  <si>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</si>
  <si>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</si>
  <si>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</si>
  <si>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</si>
  <si>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</si>
  <si>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</si>
  <si>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</si>
  <si>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</si>
  <si>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</si>
  <si>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</si>
  <si>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</si>
  <si>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</si>
  <si>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</si>
  <si>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</si>
  <si>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</si>
  <si>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</si>
  <si>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</si>
  <si>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</si>
  <si>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</si>
  <si>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</si>
  <si>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</si>
  <si>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</si>
  <si>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</si>
  <si>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</si>
  <si>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</si>
  <si>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</si>
  <si>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</si>
  <si>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</si>
  <si>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</si>
  <si>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</si>
  <si>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</si>
  <si>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</si>
  <si>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</si>
  <si>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</si>
  <si>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</si>
  <si>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</si>
  <si>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</si>
  <si>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</si>
  <si>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</si>
  <si>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</si>
  <si>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</si>
  <si>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</si>
  <si>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</si>
  <si>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</si>
  <si>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</si>
  <si>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</si>
  <si>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</si>
  <si>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</si>
  <si>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</si>
  <si>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</si>
  <si>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</si>
  <si>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</si>
  <si>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</si>
  <si>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</si>
  <si>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</si>
  <si>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</si>
  <si>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</si>
  <si>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</si>
  <si>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</si>
  <si>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</si>
  <si>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</si>
  <si>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</si>
  <si>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</si>
  <si>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</si>
  <si>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</si>
  <si>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</si>
  <si>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</si>
  <si>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</si>
  <si>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</si>
  <si>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</si>
  <si>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</si>
  <si>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</si>
  <si>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</si>
  <si>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</si>
  <si>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</si>
  <si>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</si>
  <si>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</si>
  <si>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</si>
  <si>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</si>
  <si>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</si>
  <si>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</si>
  <si>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</si>
  <si>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</si>
  <si>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</si>
  <si>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</si>
  <si>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</si>
  <si>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</si>
  <si>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</si>
  <si>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</si>
  <si>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</si>
  <si>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</si>
  <si>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</si>
  <si>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</si>
  <si>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</si>
  <si>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</si>
  <si>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</si>
  <si>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</si>
  <si>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</si>
  <si>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</si>
  <si>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</si>
  <si>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</si>
  <si>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</si>
  <si>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</si>
  <si>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</si>
  <si>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</si>
  <si>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</si>
  <si>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</si>
  <si>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</si>
  <si>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</si>
  <si>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</si>
  <si>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</si>
  <si>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</si>
  <si>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</si>
  <si>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</si>
  <si>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</si>
  <si>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</si>
  <si>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</si>
  <si>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</si>
  <si>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</si>
  <si>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</si>
  <si>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</si>
  <si>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</si>
  <si>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</si>
  <si>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</si>
  <si>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</si>
  <si>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</si>
  <si>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</si>
  <si>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</si>
  <si>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</si>
  <si>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</si>
  <si>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</si>
  <si>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</si>
  <si>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</si>
  <si>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</si>
  <si>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</si>
  <si>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</si>
  <si>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</si>
  <si>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</si>
  <si>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</si>
  <si>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</si>
  <si>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</si>
  <si>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</si>
  <si>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</si>
  <si>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</si>
  <si>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</si>
  <si>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</si>
  <si>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</si>
  <si>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</si>
  <si>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</si>
  <si>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</si>
  <si>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</si>
  <si>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</si>
  <si>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</si>
  <si>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</si>
  <si>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</si>
  <si>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</si>
  <si>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</si>
  <si>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</si>
  <si>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</si>
  <si>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</si>
  <si>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</si>
  <si>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</si>
  <si>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</si>
  <si>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</si>
  <si>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</si>
  <si>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</si>
  <si>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</si>
  <si>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</si>
  <si>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</si>
  <si>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</si>
  <si>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</si>
  <si>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</si>
  <si>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</si>
  <si>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</si>
  <si>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</si>
  <si>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</si>
  <si>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</si>
  <si>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</si>
  <si>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</si>
  <si>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</si>
  <si>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</si>
  <si>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</si>
  <si>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</si>
  <si>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</si>
  <si>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</si>
  <si>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</si>
  <si>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</si>
  <si>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</si>
  <si>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</si>
  <si>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</si>
  <si>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</si>
  <si>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</si>
  <si>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</si>
  <si>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</si>
  <si>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</si>
  <si>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</si>
  <si>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</si>
  <si>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</si>
  <si>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</si>
  <si>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</si>
  <si>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</si>
  <si>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</si>
  <si>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</si>
  <si>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</si>
  <si>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</si>
  <si>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</si>
  <si>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</si>
  <si>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</si>
  <si>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</si>
  <si>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</si>
  <si>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</si>
  <si>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</si>
  <si>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</si>
  <si>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</si>
  <si>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</si>
  <si>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</si>
  <si>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</si>
  <si>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</si>
  <si>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</si>
  <si>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</si>
  <si>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</si>
  <si>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</si>
  <si>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</si>
  <si>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</si>
  <si>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</si>
  <si>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</si>
  <si>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</si>
  <si>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</si>
  <si>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</si>
  <si>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</si>
  <si>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</si>
  <si>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</si>
  <si>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</si>
  <si>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</si>
  <si>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</si>
  <si>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</si>
  <si>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</si>
  <si>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</si>
  <si>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</si>
  <si>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</si>
  <si>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</si>
  <si>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</si>
  <si>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</si>
  <si>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</si>
  <si>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</si>
  <si>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</si>
  <si>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</si>
  <si>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</si>
  <si>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</si>
  <si>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</si>
  <si>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</si>
  <si>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</si>
  <si>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</si>
  <si>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</si>
  <si>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</si>
  <si>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</si>
  <si>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</si>
  <si>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</si>
  <si>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</si>
  <si>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</si>
  <si>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</si>
  <si>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</si>
  <si>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</si>
  <si>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</si>
  <si>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</si>
  <si>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</si>
  <si>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</si>
  <si>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</si>
  <si>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</si>
  <si>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</si>
  <si>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</si>
  <si>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</si>
  <si>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</si>
  <si>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</si>
  <si>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</si>
  <si>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</si>
  <si>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</si>
  <si>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</si>
  <si>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</si>
  <si>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</si>
  <si>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</si>
  <si>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</si>
  <si>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</si>
  <si>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</si>
  <si>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</si>
  <si>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</si>
  <si>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</si>
  <si>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</si>
  <si>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</si>
  <si>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</si>
  <si>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</si>
  <si>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</si>
  <si>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</si>
  <si>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</si>
  <si>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</si>
  <si>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</si>
  <si>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</si>
  <si>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</si>
  <si>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</si>
  <si>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</si>
  <si>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</si>
  <si>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</si>
  <si>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</si>
  <si>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</si>
  <si>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</si>
  <si>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</si>
  <si>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</si>
  <si>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</si>
  <si>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</si>
  <si>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</si>
  <si>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</si>
  <si>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</si>
  <si>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</si>
  <si>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</si>
  <si>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</si>
  <si>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</si>
  <si>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</si>
  <si>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</si>
  <si>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</si>
  <si>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</si>
  <si>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</si>
  <si>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</si>
  <si>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</si>
  <si>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</si>
  <si>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</si>
  <si>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</si>
  <si>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</si>
  <si>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</si>
  <si>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</si>
  <si>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</si>
  <si>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</si>
  <si>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</si>
  <si>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</si>
  <si>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</si>
  <si>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</si>
  <si>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</si>
  <si>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</si>
  <si>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</si>
  <si>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</si>
  <si>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</si>
  <si>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</si>
  <si>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</si>
  <si>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</si>
  <si>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</si>
  <si>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</si>
  <si>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</si>
  <si>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</si>
  <si>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</si>
  <si>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</si>
  <si>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</si>
  <si>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</si>
  <si>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</si>
  <si>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</si>
  <si>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</si>
  <si>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</si>
  <si>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</si>
  <si>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</si>
  <si>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</si>
  <si>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</si>
  <si>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</si>
  <si>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</si>
  <si>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</si>
  <si>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</si>
  <si>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</si>
  <si>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</si>
  <si>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</si>
  <si>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</si>
  <si>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</si>
  <si>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</si>
  <si>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</si>
  <si>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</si>
  <si>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</si>
  <si>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</si>
  <si>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</si>
  <si>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</si>
  <si>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</si>
  <si>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</si>
  <si>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</si>
  <si>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</si>
  <si>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</si>
  <si>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</si>
  <si>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</si>
  <si>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</si>
  <si>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</si>
  <si>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</si>
  <si>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</si>
  <si>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</si>
  <si>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</si>
  <si>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</si>
  <si>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</si>
  <si>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</si>
  <si>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</si>
  <si>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</si>
  <si>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</si>
  <si>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</si>
  <si>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</si>
  <si>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</si>
  <si>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</si>
  <si>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</si>
  <si>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</si>
  <si>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</si>
  <si>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</si>
  <si>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</si>
  <si>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</si>
  <si>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</si>
  <si>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</si>
  <si>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</si>
  <si>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</si>
  <si>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</si>
  <si>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</si>
  <si>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</si>
  <si>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</si>
  <si>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</si>
  <si>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</si>
  <si>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</si>
  <si>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</si>
  <si>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</si>
  <si>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</si>
  <si>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</si>
  <si>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</si>
  <si>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</si>
  <si>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</si>
  <si>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</si>
  <si>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</si>
  <si>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</si>
  <si>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</si>
  <si>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</si>
  <si>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</si>
  <si>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</si>
  <si>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</si>
  <si>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</si>
  <si>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</si>
  <si>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</si>
  <si>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</si>
  <si>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</si>
  <si>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</si>
  <si>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</si>
  <si>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</si>
  <si>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</si>
  <si>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</si>
  <si>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</si>
  <si>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</si>
  <si>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</si>
  <si>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</si>
  <si>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</si>
  <si>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</si>
  <si>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</si>
  <si>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</si>
  <si>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</si>
  <si>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</si>
  <si>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</si>
  <si>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</si>
  <si>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</si>
  <si>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</si>
  <si>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</si>
  <si>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</si>
  <si>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</si>
  <si>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</si>
  <si>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</si>
  <si>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</si>
  <si>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</si>
  <si>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</si>
  <si>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</si>
  <si>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</si>
  <si>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</si>
  <si>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</si>
  <si>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</si>
  <si>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</si>
  <si>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</si>
  <si>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</si>
  <si>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</si>
  <si>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</si>
  <si>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</si>
  <si>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</si>
  <si>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</si>
  <si>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</si>
  <si>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</si>
  <si>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</si>
  <si>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</si>
  <si>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</si>
  <si>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</si>
  <si>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</si>
  <si>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</si>
  <si>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</si>
  <si>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</si>
  <si>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</si>
  <si>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</si>
  <si>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</si>
  <si>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</si>
  <si>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</si>
  <si>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</si>
  <si>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</si>
  <si>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</si>
  <si>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</si>
  <si>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</si>
  <si>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</si>
  <si>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</si>
  <si>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</si>
  <si>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</si>
  <si>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</si>
  <si>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</si>
  <si>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</si>
  <si>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</si>
  <si>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</si>
  <si>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</si>
  <si>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</si>
  <si>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</si>
  <si>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</si>
  <si>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</si>
  <si>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</si>
  <si>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</si>
  <si>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</si>
  <si>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</si>
  <si>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</si>
  <si>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</si>
  <si>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</si>
  <si>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</si>
  <si>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</si>
  <si>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</si>
  <si>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</si>
  <si>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</si>
  <si>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</si>
  <si>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</si>
  <si>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</si>
  <si>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</si>
  <si>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</si>
  <si>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</si>
  <si>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</si>
  <si>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</si>
  <si>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</si>
  <si>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</si>
  <si>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</si>
  <si>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</si>
  <si>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</si>
  <si>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</si>
  <si>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</si>
  <si>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</si>
  <si>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</si>
  <si>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</si>
  <si>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</si>
  <si>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</si>
  <si>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</si>
  <si>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</si>
  <si>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</si>
  <si>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</si>
  <si>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</si>
  <si>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</si>
  <si>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</si>
  <si>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</si>
  <si>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</si>
  <si>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</si>
  <si>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</si>
  <si>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</si>
  <si>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</si>
  <si>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</si>
  <si>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</si>
  <si>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</si>
  <si>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</si>
  <si>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</si>
  <si>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</si>
  <si>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</si>
  <si>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</si>
  <si>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</si>
  <si>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</si>
  <si>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</si>
  <si>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</si>
  <si>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</si>
  <si>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</si>
  <si>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</si>
  <si>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</si>
  <si>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</si>
  <si>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</si>
  <si>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</si>
  <si>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</si>
  <si>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</si>
  <si>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</si>
  <si>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</si>
  <si>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</si>
  <si>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</si>
  <si>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</si>
  <si>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</si>
  <si>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</si>
  <si>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</si>
  <si>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</si>
  <si>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</si>
  <si>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</si>
  <si>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</si>
  <si>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</si>
  <si>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</si>
  <si>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</si>
  <si>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</si>
  <si>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</si>
  <si>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</si>
  <si>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</si>
  <si>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</si>
  <si>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</si>
  <si>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</si>
  <si>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</si>
  <si>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</si>
  <si>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</si>
  <si>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</si>
  <si>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</si>
  <si>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</si>
  <si>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</si>
  <si>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</si>
  <si>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</si>
  <si>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</si>
  <si>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</si>
  <si>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</si>
  <si>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</si>
  <si>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</si>
  <si>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</si>
  <si>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</si>
  <si>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</si>
  <si>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</si>
  <si>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</si>
  <si>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</si>
  <si>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</si>
  <si>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</si>
  <si>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</si>
  <si>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</si>
  <si>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</si>
  <si>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</si>
  <si>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</si>
  <si>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</si>
  <si>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</si>
  <si>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</si>
  <si>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</si>
  <si>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</si>
  <si>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</si>
  <si>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</si>
  <si>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</si>
  <si>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</si>
  <si>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</si>
  <si>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</si>
  <si>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</si>
  <si>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</si>
  <si>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</si>
  <si>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</si>
  <si>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</si>
  <si>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</si>
  <si>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</si>
  <si>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</si>
  <si>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</si>
  <si>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</si>
  <si>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</si>
  <si>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</si>
  <si>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</si>
  <si>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</si>
  <si>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</si>
  <si>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</si>
  <si>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</si>
  <si>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</si>
  <si>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</si>
  <si>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</si>
  <si>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</si>
  <si>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</si>
  <si>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</si>
  <si>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</si>
  <si>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</si>
  <si>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</si>
  <si>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</si>
  <si>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</si>
  <si>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</si>
  <si>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</si>
  <si>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</si>
  <si>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</si>
  <si>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</si>
  <si>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</si>
  <si>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</si>
  <si>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</si>
  <si>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</si>
  <si>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</si>
  <si>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</si>
  <si>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</si>
  <si>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</si>
  <si>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</si>
  <si>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</si>
  <si>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</si>
  <si>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</si>
  <si>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</si>
  <si>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</si>
  <si>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</si>
  <si>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</si>
  <si>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</si>
  <si>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</si>
  <si>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</si>
  <si>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</si>
  <si>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</si>
  <si>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</si>
  <si>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</si>
  <si>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</si>
  <si>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</si>
  <si>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</si>
  <si>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</si>
  <si>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</si>
  <si>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</si>
  <si>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</si>
  <si>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</si>
  <si>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</si>
  <si>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</si>
  <si>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</si>
  <si>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</si>
  <si>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</si>
  <si>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</si>
  <si>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</si>
  <si>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</si>
  <si>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</si>
  <si>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</si>
  <si>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</si>
  <si>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</si>
  <si>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</si>
  <si>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</si>
  <si>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</si>
  <si>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</si>
  <si>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</si>
  <si>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</si>
  <si>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</si>
  <si>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</si>
  <si>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</si>
  <si>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</si>
  <si>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</si>
  <si>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</si>
  <si>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</si>
  <si>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</si>
  <si>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</si>
  <si>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</si>
  <si>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</si>
  <si>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</si>
  <si>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</si>
  <si>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</si>
  <si>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</si>
  <si>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</si>
  <si>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</si>
  <si>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</si>
  <si>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</si>
  <si>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</si>
  <si>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</si>
  <si>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</si>
  <si>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</si>
  <si>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</si>
  <si>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</si>
  <si>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</si>
  <si>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</si>
  <si>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</si>
  <si>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</si>
  <si>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</si>
  <si>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</si>
  <si>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</si>
  <si>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</si>
  <si>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</si>
  <si>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</si>
  <si>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</si>
  <si>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</si>
  <si>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</si>
  <si>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</si>
  <si>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</si>
  <si>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</si>
  <si>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</si>
  <si>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</si>
  <si>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</si>
  <si>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</si>
  <si>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</si>
  <si>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</si>
  <si>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</si>
  <si>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</si>
  <si>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</si>
  <si>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</si>
  <si>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</si>
  <si>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</si>
  <si>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</si>
  <si>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</si>
  <si>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</si>
  <si>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</si>
  <si>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</si>
  <si>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</si>
  <si>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</si>
  <si>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</si>
  <si>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</si>
  <si>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</si>
  <si>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</si>
  <si>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</si>
  <si>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</si>
  <si>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</si>
  <si>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</si>
  <si>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</si>
  <si>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</si>
  <si>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</si>
  <si>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</si>
  <si>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</si>
  <si>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</si>
  <si>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</si>
  <si>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</si>
  <si>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</si>
  <si>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</si>
  <si>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</si>
  <si>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</si>
  <si>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</si>
  <si>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</si>
  <si>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</si>
  <si>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</si>
  <si>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</si>
  <si>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</si>
  <si>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</si>
  <si>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</si>
  <si>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</si>
  <si>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</si>
  <si>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</si>
  <si>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</si>
  <si>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</si>
  <si>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</si>
  <si>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</si>
  <si>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</si>
  <si>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</si>
  <si>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</si>
  <si>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</si>
  <si>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</si>
  <si>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</si>
  <si>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</si>
  <si>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</si>
  <si>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</si>
  <si>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</si>
  <si>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</si>
  <si>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</si>
  <si>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</si>
  <si>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</si>
  <si>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</si>
  <si>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</si>
  <si>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</si>
  <si>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</si>
  <si>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</si>
  <si>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</si>
  <si>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</si>
  <si>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</si>
  <si>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</si>
  <si>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</si>
  <si>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</si>
  <si>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</si>
  <si>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</si>
  <si>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</si>
  <si>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</si>
  <si>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</si>
  <si>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</si>
  <si>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</si>
  <si>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</si>
  <si>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</si>
  <si>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</si>
  <si>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</si>
  <si>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</si>
  <si>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</si>
  <si>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</si>
  <si>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</si>
  <si>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</si>
  <si>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</si>
  <si>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</si>
  <si>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</si>
  <si>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</si>
  <si>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</si>
  <si>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</si>
  <si>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</si>
  <si>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</si>
  <si>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</si>
  <si>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</si>
  <si>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</si>
  <si>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</si>
  <si>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</si>
  <si>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</si>
  <si>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</si>
  <si>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</si>
  <si>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</si>
  <si>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</si>
  <si>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</si>
  <si>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</si>
  <si>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</si>
  <si>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</si>
  <si>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</si>
  <si>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</si>
  <si>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</si>
  <si>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</si>
  <si>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</si>
  <si>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</si>
  <si>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</si>
  <si>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</si>
  <si>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</si>
  <si>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</si>
  <si>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</si>
  <si>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</si>
  <si>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</si>
  <si>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</si>
  <si>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</si>
  <si>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</si>
  <si>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</si>
  <si>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</si>
  <si>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</si>
  <si>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</si>
  <si>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</si>
  <si>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</si>
  <si>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</si>
  <si>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</si>
  <si>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</si>
  <si>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</si>
  <si>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</si>
  <si>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</si>
  <si>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</si>
  <si>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</si>
  <si>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</si>
  <si>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</si>
  <si>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</si>
  <si>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</si>
  <si>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</si>
  <si>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</si>
  <si>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</si>
  <si>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</si>
  <si>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</si>
  <si>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</si>
  <si>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</si>
  <si>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</si>
  <si>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</si>
  <si>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</si>
  <si>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</si>
  <si>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</si>
  <si>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</si>
  <si>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</si>
  <si>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</si>
  <si>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</si>
  <si>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</si>
  <si>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</si>
  <si>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</si>
  <si>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</si>
  <si>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</si>
  <si>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</si>
  <si>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</si>
  <si>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</si>
  <si>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</si>
  <si>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</si>
  <si>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</si>
  <si>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</si>
  <si>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</si>
  <si>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</si>
  <si>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</si>
  <si>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</si>
  <si>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</si>
  <si>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</si>
  <si>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</si>
  <si>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</si>
  <si>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</si>
  <si>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</si>
  <si>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</si>
  <si>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</si>
  <si>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</si>
  <si>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</si>
  <si>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</si>
  <si>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</si>
  <si>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</si>
  <si>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</si>
  <si>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</si>
  <si>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</si>
  <si>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</si>
  <si>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</si>
  <si>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</si>
  <si>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</si>
  <si>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</si>
  <si>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</si>
  <si>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</si>
  <si>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</si>
  <si>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</si>
  <si>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</si>
  <si>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</si>
  <si>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</si>
  <si>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</si>
  <si>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</si>
  <si>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</si>
  <si>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</si>
  <si>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</si>
  <si>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</si>
  <si>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</si>
  <si>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</si>
  <si>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</si>
  <si>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</si>
  <si>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</si>
  <si>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</si>
  <si>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</si>
  <si>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</si>
  <si>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</si>
  <si>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</si>
  <si>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</si>
  <si>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</si>
  <si>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</si>
  <si>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</si>
  <si>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</si>
  <si>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</si>
  <si>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</si>
  <si>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</si>
  <si>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</si>
  <si>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</si>
  <si>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</si>
  <si>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</si>
  <si>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</si>
  <si>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</si>
  <si>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</si>
  <si>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</si>
  <si>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</si>
  <si>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</si>
  <si>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</si>
  <si>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</si>
  <si>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</si>
  <si>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</si>
  <si>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</si>
  <si>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</si>
  <si>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</si>
  <si>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</si>
  <si>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</si>
  <si>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</si>
  <si>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</si>
  <si>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</si>
  <si>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</si>
  <si>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</si>
  <si>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</si>
  <si>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</si>
  <si>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</si>
  <si>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</si>
  <si>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</si>
  <si>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</si>
  <si>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</si>
  <si>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</si>
  <si>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</si>
  <si>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</si>
  <si>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</si>
  <si>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</si>
  <si>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</si>
  <si>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</si>
  <si>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</si>
  <si>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</si>
  <si>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</si>
  <si>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</si>
  <si>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</si>
  <si>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</si>
  <si>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</si>
  <si>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</si>
  <si>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</si>
  <si>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</si>
  <si>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</si>
  <si>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</si>
  <si>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</si>
  <si>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</si>
  <si>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</si>
  <si>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</si>
  <si>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</si>
  <si>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</si>
  <si>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</si>
  <si>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</si>
  <si>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</si>
  <si>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</si>
  <si>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</si>
  <si>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</si>
  <si>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</si>
  <si>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</si>
  <si>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</si>
  <si>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</si>
  <si>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</si>
  <si>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</si>
  <si>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</si>
  <si>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</si>
  <si>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</si>
  <si>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</si>
  <si>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</si>
  <si>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</si>
  <si>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</si>
  <si>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</si>
  <si>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</si>
  <si>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</si>
  <si>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</si>
  <si>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</si>
  <si>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</si>
  <si>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</si>
  <si>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</si>
  <si>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</si>
  <si>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</si>
  <si>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</si>
  <si>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</si>
  <si>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</si>
  <si>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</si>
  <si>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</si>
  <si>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</si>
  <si>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</si>
  <si>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</si>
  <si>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</si>
  <si>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</si>
  <si>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</si>
  <si>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</si>
  <si>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</si>
  <si>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</si>
  <si>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</si>
  <si>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</si>
  <si>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</si>
  <si>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</si>
  <si>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</si>
  <si>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</si>
  <si>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</si>
  <si>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</si>
  <si>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</si>
  <si>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</si>
  <si>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</si>
  <si>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</si>
  <si>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</si>
  <si>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</si>
  <si>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</si>
  <si>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</si>
  <si>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</si>
  <si>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</si>
  <si>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</si>
  <si>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</si>
  <si>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</si>
  <si>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</si>
  <si>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</si>
  <si>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</si>
  <si>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</si>
  <si>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</si>
  <si>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</si>
  <si>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</si>
  <si>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</si>
  <si>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</si>
  <si>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</si>
  <si>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</si>
  <si>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</si>
  <si>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</si>
  <si>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</si>
  <si>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</si>
  <si>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</si>
  <si>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</si>
  <si>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</si>
  <si>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</si>
  <si>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</si>
  <si>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</si>
  <si>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</si>
  <si>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</si>
  <si>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</si>
  <si>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</si>
  <si>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</si>
  <si>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</si>
  <si>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</si>
  <si>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</si>
  <si>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</si>
  <si>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</si>
  <si>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</si>
  <si>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</si>
  <si>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</si>
  <si>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</si>
  <si>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</si>
  <si>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</si>
  <si>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</si>
  <si>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</si>
  <si>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</si>
  <si>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</si>
  <si>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</si>
  <si>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</si>
  <si>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</si>
  <si>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</si>
  <si>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</si>
  <si>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</si>
  <si>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</si>
  <si>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</si>
  <si>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</si>
  <si>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</si>
  <si>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</si>
  <si>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</si>
  <si>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</si>
  <si>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经一路东、规划路南、县人民医院北侧</t>
  </si>
  <si>
    <t>济南市</t>
  </si>
  <si>
    <t>商业/办公用地</t>
  </si>
  <si>
    <t>大于或等于1.2并且小于1.5</t>
  </si>
  <si>
    <t>挂牌</t>
  </si>
  <si>
    <t>商务金融用地</t>
  </si>
  <si>
    <t>2021-12-23</t>
  </si>
  <si>
    <t>山东炬通程燃气工程有限公司济阳分公司</t>
  </si>
  <si>
    <t>3星</t>
  </si>
  <si>
    <t>经一路东、规划路南侧</t>
  </si>
  <si>
    <t>大于或等于1.2并且小于或等于2</t>
  </si>
  <si>
    <t>经一路东、纬三路北</t>
  </si>
  <si>
    <t>大于或等于1.2并且小于2</t>
  </si>
  <si>
    <t>山东林华置业有限公司</t>
  </si>
  <si>
    <t>实验二中西、纬四路南</t>
  </si>
  <si>
    <t>大于或等于1.2并且小于1.4</t>
  </si>
  <si>
    <t>济南百佳置业有限公司</t>
  </si>
  <si>
    <t>中科新经济科创园D-6地块</t>
  </si>
  <si>
    <t>1.5≤地上容积率≤2.0,地下容积率≤1.0</t>
  </si>
  <si>
    <t>2021-12-13</t>
  </si>
  <si>
    <t>济南先行投资有限责任公司</t>
  </si>
  <si>
    <t>2星</t>
  </si>
  <si>
    <t>澄波湖路东、同德街南、银河路西</t>
  </si>
  <si>
    <t>大于或等于1.2并且小于2.6</t>
  </si>
  <si>
    <t>2021-11-27</t>
  </si>
  <si>
    <t>济南万成商贸有限公司</t>
  </si>
  <si>
    <t>汇鑫路西、银安路北</t>
  </si>
  <si>
    <t>大于或等于1.2并且小于1.6</t>
  </si>
  <si>
    <t>2021-10-30</t>
  </si>
  <si>
    <t>济南栖凤置业有限公司</t>
  </si>
  <si>
    <t>汇鑫路东、闻韶佳苑路北</t>
  </si>
  <si>
    <t>大于或等于1.2并且小于2.4</t>
  </si>
  <si>
    <t>山东利隆置业有限公司</t>
  </si>
  <si>
    <t>大寺河东、G220线西、济太路南、富阳街北</t>
  </si>
  <si>
    <t>大于或等于1.2并且小于或等于1.5</t>
  </si>
  <si>
    <t>第二批</t>
  </si>
  <si>
    <t>2021-09-10</t>
  </si>
  <si>
    <t>山东中荣置业有限公司</t>
  </si>
  <si>
    <t>纬二路北、经四路西</t>
  </si>
  <si>
    <t>大于或等于2并且小于3</t>
  </si>
  <si>
    <t>2021-08-05</t>
  </si>
  <si>
    <t>济南济北新城置业有限公司</t>
  </si>
  <si>
    <t>澄波湖路东、同德街南</t>
  </si>
  <si>
    <t>大于或等于1.2并且小于或等于2.6</t>
  </si>
  <si>
    <t>2021-06-30</t>
  </si>
  <si>
    <t>山东国民科技发展有限公司</t>
  </si>
  <si>
    <t>先行区崔寨片区中科新经济科创园D-3地块</t>
  </si>
  <si>
    <t>1.0≤地上容积率≤1.8,*地下容积率≤1.0</t>
  </si>
  <si>
    <t>2021-06-10</t>
  </si>
  <si>
    <t>先行区崔寨片区中科新经济科创园D-1地块</t>
  </si>
  <si>
    <t>1.2≤地上容积率≤1.8,地下容积率≤1.0</t>
  </si>
  <si>
    <t>光明街北、银河路西</t>
  </si>
  <si>
    <t>2021-05-31</t>
  </si>
  <si>
    <t>济南华硕置业有限公司</t>
  </si>
  <si>
    <t>纬二路南、经三路东</t>
  </si>
  <si>
    <t>2021-03-04</t>
  </si>
  <si>
    <t>王继伦</t>
  </si>
  <si>
    <t>纬二路北、步行街东、泉城尚郡南</t>
  </si>
  <si>
    <t>小于或等于1</t>
  </si>
  <si>
    <t>2021-02-21</t>
  </si>
  <si>
    <t>济南众海置业有限公司</t>
  </si>
  <si>
    <t>曲堤镇G220线东、规划四路北</t>
  </si>
  <si>
    <t>2021-01-25</t>
  </si>
  <si>
    <t>济南安群仓储有限公司</t>
  </si>
  <si>
    <t>新元大街南、正安路东</t>
  </si>
  <si>
    <t>大于或等于3并且小于3.5</t>
  </si>
  <si>
    <t>2020-12-26</t>
  </si>
  <si>
    <t>济南泽阳置业有限公司</t>
  </si>
  <si>
    <t>规划一路东、纬二路北、经二路西</t>
  </si>
  <si>
    <t>2020-12-14</t>
  </si>
  <si>
    <t>山东力高凯力房地产有限公司</t>
  </si>
  <si>
    <t>纬三路北、现济阳区第二实验中学东</t>
  </si>
  <si>
    <t>大于或等于1.2并且小于1.7</t>
  </si>
  <si>
    <t>2020-11-28</t>
  </si>
  <si>
    <t>卫玉焕</t>
  </si>
  <si>
    <t>崔寨片区34街区C-3地块</t>
  </si>
  <si>
    <t>1.2≤地上容积率≤3.5,地下容积率≤2.0</t>
  </si>
  <si>
    <t>2020-10-19</t>
  </si>
  <si>
    <t>绿地北展济南置业有限公司</t>
  </si>
  <si>
    <t>垛石街道、省道248线东</t>
  </si>
  <si>
    <t>2020-10-12</t>
  </si>
  <si>
    <t>王建康</t>
  </si>
  <si>
    <t>1星</t>
  </si>
  <si>
    <t>国道220线东、同德街北</t>
  </si>
  <si>
    <t>1.2≤地上容积率＜1.5,地下容积率＜1.0</t>
  </si>
  <si>
    <t>2020-09-02</t>
  </si>
  <si>
    <t>山东万建房地产开发有限公司</t>
  </si>
  <si>
    <t>曲白路东、高速公路连接线(科技九路)南</t>
  </si>
  <si>
    <t>2020-07-19</t>
  </si>
  <si>
    <t>济南经开投资有限公司</t>
  </si>
  <si>
    <t>新元大街南、规划纵二路西</t>
  </si>
  <si>
    <t>1.2≤地上容积率＜1.6,地下容积率≤1.0</t>
  </si>
  <si>
    <t>2020-07-05</t>
  </si>
  <si>
    <t>济南世茂新发展置业有限公司</t>
  </si>
  <si>
    <t>富阳街南、规划纵二路东、规划纵三路西、规划横一路北</t>
  </si>
  <si>
    <t>1.2≤地上容积率,地下容积率≤1.0</t>
  </si>
  <si>
    <t>济南意达置业西、龙源路东</t>
  </si>
  <si>
    <t>≥1.2</t>
  </si>
  <si>
    <t>2020-02-16</t>
  </si>
  <si>
    <t>姜华</t>
  </si>
  <si>
    <t>纬二路北、经一路西、纬三路南</t>
  </si>
  <si>
    <t>商服用地</t>
  </si>
  <si>
    <t>2019-12-25</t>
  </si>
  <si>
    <t>杨孟玉</t>
  </si>
  <si>
    <t>黄河大街南、银河路西</t>
  </si>
  <si>
    <t>1.5≤地上容积率＜2.0</t>
  </si>
  <si>
    <t>2019-12-24</t>
  </si>
  <si>
    <t>济南济阳鑫土投资有限公司</t>
  </si>
  <si>
    <t>1.2≤地上容积率＜2.0</t>
  </si>
  <si>
    <t>2019-12-23</t>
  </si>
  <si>
    <t>经一路东、纬四路南</t>
  </si>
  <si>
    <t>1.3≤地上容积率＜1.5</t>
  </si>
  <si>
    <t>济南柯基置业有限公司</t>
  </si>
  <si>
    <t>纬二路南、经四路西</t>
  </si>
  <si>
    <t>1.5≤r＜2.2</t>
  </si>
  <si>
    <t>2019-10-14</t>
  </si>
  <si>
    <t>山东兴鸿房地产开发有限公司</t>
  </si>
  <si>
    <t>纬二路北、经二路西</t>
  </si>
  <si>
    <t>≥1.2且＜2.2</t>
  </si>
  <si>
    <t>2019-10-03</t>
  </si>
  <si>
    <t>中国农业银行股份有限公司济南济阳支行</t>
  </si>
  <si>
    <t>经五路东、富阳街北</t>
  </si>
  <si>
    <t>大于或等于1.2并且小于2.2</t>
  </si>
  <si>
    <t>济阳县城建开发有限公司</t>
  </si>
  <si>
    <t>纬二路南、区中医院西、雅居园北苑北</t>
  </si>
  <si>
    <t>2.0≤r＜2.5</t>
  </si>
  <si>
    <t>2019-09-25</t>
  </si>
  <si>
    <t>山东龙港投资置业有限公司</t>
  </si>
  <si>
    <t>纬二路南、区中医院西、济阳县工程咨询设计有限公司北</t>
  </si>
  <si>
    <t>大于或等于2并且小于2.5</t>
  </si>
  <si>
    <t>新元大街北、经五路西</t>
  </si>
  <si>
    <t>大于或等于1并且小于1.5</t>
  </si>
  <si>
    <t>2019-09-24</t>
  </si>
  <si>
    <t>济南绿发置业发展有限公司</t>
  </si>
  <si>
    <t>垛石镇西宋屯村</t>
  </si>
  <si>
    <t>大于或等于1.2并且小于或等于1.8</t>
  </si>
  <si>
    <t>2019-08-31</t>
  </si>
  <si>
    <t>山东济阳农村商业银行股份有限公司</t>
  </si>
  <si>
    <t>垛石镇唐庙南街村</t>
  </si>
  <si>
    <t>抵押价格</t>
  </si>
  <si>
    <t>其他：</t>
  </si>
  <si>
    <t>企业</t>
  </si>
  <si>
    <t>出让</t>
  </si>
  <si>
    <t>一致</t>
  </si>
  <si>
    <t>商业</t>
  </si>
  <si>
    <t>地上</t>
  </si>
  <si>
    <t>加气站</t>
  </si>
  <si>
    <t>加气站</t>
    <phoneticPr fontId="7" type="noConversion"/>
  </si>
  <si>
    <t>工程进度</t>
  </si>
  <si>
    <t>利息：取LPR加浮动点数</t>
  </si>
  <si>
    <t>不动产收益法</t>
  </si>
  <si>
    <t>正常</t>
    <phoneticPr fontId="26" type="noConversion"/>
  </si>
  <si>
    <t>单位面积地价</t>
  </si>
  <si>
    <t>一般</t>
    <phoneticPr fontId="26" type="noConversion"/>
  </si>
  <si>
    <t>较好</t>
    <phoneticPr fontId="26" type="noConversion"/>
  </si>
  <si>
    <t>七通</t>
    <phoneticPr fontId="26" type="noConversion"/>
  </si>
  <si>
    <t>网上查询</t>
    <phoneticPr fontId="225" type="noConversion"/>
  </si>
  <si>
    <t>押一</t>
  </si>
  <si>
    <t>按租金收入计税</t>
  </si>
  <si>
    <t>钢</t>
  </si>
  <si>
    <t>比较法-住宅、综合</t>
  </si>
  <si>
    <t>剩余法-待开发</t>
  </si>
  <si>
    <t>适用的楼面熟地价</t>
    <phoneticPr fontId="225" type="noConversion"/>
  </si>
  <si>
    <t>用途修正系数</t>
    <phoneticPr fontId="225" type="noConversion"/>
  </si>
  <si>
    <t>期日修正系数</t>
    <phoneticPr fontId="225" type="noConversion"/>
  </si>
  <si>
    <t>年期修正系数</t>
    <phoneticPr fontId="225" type="noConversion"/>
  </si>
  <si>
    <t>容积率修正</t>
    <phoneticPr fontId="225" type="noConversion"/>
  </si>
  <si>
    <t>因素修正</t>
    <phoneticPr fontId="225" type="noConversion"/>
  </si>
  <si>
    <t>结果</t>
    <phoneticPr fontId="225" type="noConversion"/>
  </si>
  <si>
    <t>年度</t>
    <phoneticPr fontId="225" type="noConversion"/>
  </si>
  <si>
    <t>季度</t>
    <phoneticPr fontId="225" type="noConversion"/>
  </si>
  <si>
    <t>市场比较法</t>
    <phoneticPr fontId="225" type="noConversion"/>
  </si>
  <si>
    <t>基准地价系数修正法</t>
    <phoneticPr fontId="225" type="noConversion"/>
  </si>
  <si>
    <t>总价</t>
    <phoneticPr fontId="225" type="noConversion"/>
  </si>
  <si>
    <t>单价</t>
    <phoneticPr fontId="225" type="noConversion"/>
  </si>
  <si>
    <t>占比</t>
    <phoneticPr fontId="225" type="noConversion"/>
  </si>
  <si>
    <t>评估总价</t>
    <phoneticPr fontId="225" type="noConversion"/>
  </si>
  <si>
    <t>楼面单价</t>
    <phoneticPr fontId="225" type="noConversion"/>
  </si>
  <si>
    <t>地面单价</t>
    <phoneticPr fontId="225" type="noConversion"/>
  </si>
  <si>
    <r>
      <t>G</t>
    </r>
    <r>
      <rPr>
        <sz val="11"/>
        <color theme="1"/>
        <rFont val="宋体"/>
        <family val="3"/>
        <charset val="134"/>
        <scheme val="minor"/>
      </rPr>
      <t>20土地还原率</t>
    </r>
    <phoneticPr fontId="225" type="noConversion"/>
  </si>
  <si>
    <r>
      <t>J</t>
    </r>
    <r>
      <rPr>
        <sz val="11"/>
        <color theme="1"/>
        <rFont val="宋体"/>
        <family val="3"/>
        <charset val="134"/>
        <scheme val="minor"/>
      </rPr>
      <t>20总年限</t>
    </r>
    <phoneticPr fontId="225" type="noConversion"/>
  </si>
  <si>
    <r>
      <t>I</t>
    </r>
    <r>
      <rPr>
        <sz val="11"/>
        <color theme="1"/>
        <rFont val="宋体"/>
        <family val="3"/>
        <charset val="134"/>
        <scheme val="minor"/>
      </rPr>
      <t>20剩余年限</t>
    </r>
    <phoneticPr fontId="225" type="noConversion"/>
  </si>
  <si>
    <t>土地还原率</t>
    <phoneticPr fontId="225" type="noConversion"/>
  </si>
  <si>
    <t>总年限</t>
    <phoneticPr fontId="225" type="noConversion"/>
  </si>
  <si>
    <t>剩余年限</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</si>
</sst>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9" borderId="0" xfId="16" applyFill="1"/>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3" fillId="0" borderId="0" xfId="0" applyFont="1">
      <alignment vertical="center"/>
    </xf>
    <xf numFmtId="0" fontId="142" fillId="0" borderId="0" xfId="0" applyNumberFormat="1" applyFont="1">
      <alignment vertical="center"/>
    </xf>
    <xf numFmtId="10" fontId="0" fillId="0" borderId="0" xfId="0" applyNumberFormat="1">
      <alignment vertical="center"/>
    </xf>
    <xf numFmtId="9" fontId="142" fillId="0" borderId="0" xfId="0" applyNumberFormat="1" applyFont="1">
      <alignment vertical="center"/>
    </xf>
    <xf numFmtId="9" fontId="0" fillId="0" borderId="0" xfId="0" applyNumberFormat="1">
      <alignment vertical="center"/>
    </xf>
    <xf numFmtId="0" fontId="161" fillId="0" borderId="0" xfId="0" applyFont="1">
      <alignment vertical="center"/>
    </xf>
    <xf numFmtId="178" fontId="73" fillId="21" borderId="2" xfId="2" applyNumberFormat="1" applyFont="1" applyFill="1" applyBorder="1" applyAlignment="1" applyProtection="1">
      <alignment horizontal="center" vertical="center"/>
      <protection locked="0"/>
    </xf>
    <xf numFmtId="177" fontId="68" fillId="21" borderId="12" xfId="2" applyNumberFormat="1" applyFont="1" applyFill="1" applyBorder="1" applyAlignment="1" applyProtection="1">
      <alignment horizontal="center" vertical="center"/>
      <protection locked="0"/>
    </xf>
    <xf numFmtId="182" fontId="68" fillId="21" borderId="2" xfId="0" applyNumberFormat="1" applyFont="1" applyFill="1" applyBorder="1" applyAlignment="1" applyProtection="1">
      <alignment vertical="center"/>
      <protection locked="0"/>
    </xf>
    <xf numFmtId="185" fontId="149" fillId="21" borderId="10" xfId="0" applyNumberFormat="1" applyFont="1" applyFill="1" applyBorder="1" applyAlignment="1" applyProtection="1">
      <alignment horizontal="center" vertical="center"/>
      <protection locked="0"/>
    </xf>
    <xf numFmtId="0" fontId="83" fillId="21" borderId="12" xfId="2" applyNumberFormat="1" applyFont="1" applyFill="1" applyBorder="1" applyAlignment="1" applyProtection="1">
      <alignment horizontal="center" vertical="center"/>
      <protection locked="0"/>
    </xf>
    <xf numFmtId="10" fontId="68" fillId="21" borderId="25" xfId="0" applyNumberFormat="1" applyFont="1" applyFill="1" applyBorder="1" applyAlignment="1" applyProtection="1">
      <alignment horizontal="center" vertical="center"/>
      <protection locked="0"/>
    </xf>
    <xf numFmtId="0" fontId="72" fillId="21" borderId="63" xfId="0" applyFont="1" applyFill="1" applyBorder="1" applyAlignment="1" applyProtection="1">
      <alignment horizontal="left" vertical="center" wrapText="1"/>
    </xf>
    <xf numFmtId="0" fontId="0" fillId="21" borderId="0" xfId="0" applyFill="1">
      <alignment vertical="center"/>
    </xf>
    <xf numFmtId="10" fontId="0" fillId="21" borderId="0" xfId="0" applyNumberFormat="1" applyFill="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627281</xdr:colOff>
      <xdr:row>87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0"/>
          <a:ext cx="10961906"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20</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9" cy="3504762"/>
        </a:xfrm>
        <a:prstGeom prst="rect">
          <a:avLst/>
        </a:prstGeom>
      </xdr:spPr>
    </xdr:pic>
    <xdr:clientData/>
  </xdr:twoCellAnchor>
  <xdr:twoCellAnchor editAs="oneCell">
    <xdr:from>
      <xdr:col>0</xdr:col>
      <xdr:colOff>0</xdr:colOff>
      <xdr:row>21</xdr:row>
      <xdr:rowOff>0</xdr:rowOff>
    </xdr:from>
    <xdr:to>
      <xdr:col>8</xdr:col>
      <xdr:colOff>332648</xdr:colOff>
      <xdr:row>30</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819048" cy="1638095"/>
        </a:xfrm>
        <a:prstGeom prst="rect">
          <a:avLst/>
        </a:prstGeom>
      </xdr:spPr>
    </xdr:pic>
    <xdr:clientData/>
  </xdr:twoCellAnchor>
  <xdr:twoCellAnchor editAs="oneCell">
    <xdr:from>
      <xdr:col>0</xdr:col>
      <xdr:colOff>0</xdr:colOff>
      <xdr:row>31</xdr:row>
      <xdr:rowOff>0</xdr:rowOff>
    </xdr:from>
    <xdr:to>
      <xdr:col>6</xdr:col>
      <xdr:colOff>351867</xdr:colOff>
      <xdr:row>49</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4466667" cy="3200000"/>
        </a:xfrm>
        <a:prstGeom prst="rect">
          <a:avLst/>
        </a:prstGeom>
      </xdr:spPr>
    </xdr:pic>
    <xdr:clientData/>
  </xdr:twoCellAnchor>
  <xdr:twoCellAnchor editAs="oneCell">
    <xdr:from>
      <xdr:col>0</xdr:col>
      <xdr:colOff>0</xdr:colOff>
      <xdr:row>51</xdr:row>
      <xdr:rowOff>0</xdr:rowOff>
    </xdr:from>
    <xdr:to>
      <xdr:col>8</xdr:col>
      <xdr:colOff>532648</xdr:colOff>
      <xdr:row>68</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019048" cy="3000000"/>
        </a:xfrm>
        <a:prstGeom prst="rect">
          <a:avLst/>
        </a:prstGeom>
      </xdr:spPr>
    </xdr:pic>
    <xdr:clientData/>
  </xdr:twoCellAnchor>
  <xdr:twoCellAnchor editAs="oneCell">
    <xdr:from>
      <xdr:col>1</xdr:col>
      <xdr:colOff>0</xdr:colOff>
      <xdr:row>70</xdr:row>
      <xdr:rowOff>0</xdr:rowOff>
    </xdr:from>
    <xdr:to>
      <xdr:col>7</xdr:col>
      <xdr:colOff>66153</xdr:colOff>
      <xdr:row>98</xdr:row>
      <xdr:rowOff>47019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001500"/>
          <a:ext cx="4180953"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6</xdr:col>
      <xdr:colOff>142343</xdr:colOff>
      <xdr:row>11</xdr:row>
      <xdr:rowOff>152198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
          <a:ext cx="4257143" cy="1619048"/>
        </a:xfrm>
        <a:prstGeom prst="rect">
          <a:avLst/>
        </a:prstGeom>
      </xdr:spPr>
    </xdr:pic>
    <xdr:clientData/>
  </xdr:twoCellAnchor>
  <xdr:twoCellAnchor editAs="oneCell">
    <xdr:from>
      <xdr:col>0</xdr:col>
      <xdr:colOff>219075</xdr:colOff>
      <xdr:row>21</xdr:row>
      <xdr:rowOff>104775</xdr:rowOff>
    </xdr:from>
    <xdr:to>
      <xdr:col>9</xdr:col>
      <xdr:colOff>466725</xdr:colOff>
      <xdr:row>58</xdr:row>
      <xdr:rowOff>39738</xdr:rowOff>
    </xdr:to>
    <xdr:pic>
      <xdr:nvPicPr>
        <xdr:cNvPr id="4" name="图片 3" descr="https://imagepphcloud.thepaper.cn/pph/image/107/49/71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705225"/>
          <a:ext cx="6419850" cy="627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24</xdr:row>
      <xdr:rowOff>76200</xdr:rowOff>
    </xdr:from>
    <xdr:to>
      <xdr:col>15</xdr:col>
      <xdr:colOff>228600</xdr:colOff>
      <xdr:row>55</xdr:row>
      <xdr:rowOff>28575</xdr:rowOff>
    </xdr:to>
    <xdr:pic>
      <xdr:nvPicPr>
        <xdr:cNvPr id="5" name="图片 4" descr="https://imagepphcloud.thepaper.cn/pph/image/107/49/70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0" y="4191000"/>
          <a:ext cx="318135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受贵公司委托，我公司对出让国有建设用地使用权抵押价格进行了预评估。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16450平方米。根据《建设工程规划许可证》[]、《出让合同》[]，估价对象规划建筑面积为1790.62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2022年9月15日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根据《国有土地使用证》[]，估价对象（分摊）出让国有建设用地使用权面积为16450平方米。根据《建设工程规划许可证》[]、《出让合同》[]，估价对象规划建筑面积为1790.62平方米。</v>
      </c>
    </row>
    <row r="16" spans="1:55" s="2515" customFormat="1">
      <c r="A16" s="2516" t="s">
        <v>2386</v>
      </c>
      <c r="B16" s="2517" t="str">
        <f>'预评函-1'!A22</f>
        <v>本次估价对象为出让国有建设用地使用权，《国有土地使用证》[]证载土地终止日期为商业2054年4月17日。截至估价期日，出让国有建设用地使用权剩余土地使用年限为。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估价期日：2022年9月15日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16450</v>
      </c>
    </row>
    <row r="44" spans="1:2">
      <c r="A44" s="2516" t="s">
        <v>2457</v>
      </c>
      <c r="B44" s="2517" t="str">
        <f>'预评函-2'!O3</f>
        <v>规划建筑面积/㎡</v>
      </c>
    </row>
    <row r="45" spans="1:2">
      <c r="A45" s="2516" t="s">
        <v>2439</v>
      </c>
      <c r="B45" s="2517">
        <f>'预评函-2'!O5</f>
        <v>1790.62</v>
      </c>
    </row>
    <row r="46" spans="1:2">
      <c r="A46" s="2516" t="s">
        <v>2440</v>
      </c>
      <c r="B46" s="2517">
        <f ca="1">'预评函-2'!P5</f>
        <v>1324</v>
      </c>
    </row>
    <row r="47" spans="1:2">
      <c r="A47" s="2516" t="s">
        <v>2441</v>
      </c>
      <c r="B47" s="2517">
        <f ca="1">'预评函-2'!Q5</f>
        <v>12163</v>
      </c>
    </row>
    <row r="48" spans="1:2">
      <c r="A48" s="2516" t="s">
        <v>2442</v>
      </c>
      <c r="B48" s="2517">
        <f ca="1">'预评函-2'!R5</f>
        <v>2178</v>
      </c>
    </row>
    <row r="49" spans="1:2">
      <c r="A49" s="2516" t="s">
        <v>2458</v>
      </c>
      <c r="B49" s="2517" t="str">
        <f>'预评函-2'!A6</f>
        <v>抵押价格</v>
      </c>
    </row>
    <row r="50" spans="1:2">
      <c r="A50" s="2516" t="s">
        <v>2443</v>
      </c>
      <c r="B50" s="2517" t="str">
        <f>'预评函-2'!R6</f>
        <v>——</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0" zoomScaleNormal="100" zoomScaleSheetLayoutView="80" workbookViewId="0">
      <selection activeCell="O25" sqref="O25"/>
    </sheetView>
  </sheetViews>
  <sheetFormatPr defaultColWidth="10" defaultRowHeight="14.25"/>
  <cols>
    <col min="1" max="1" width="15.375" style="1567" customWidth="1"/>
    <col min="2" max="2" width="11.375" style="1567" customWidth="1"/>
    <col min="3" max="3" width="12.625" style="1567" customWidth="1"/>
    <col min="4" max="4" width="11.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10" t="str">
        <f>IF(B10="北京市","北京市",C10)&amp;F10&amp;B16&amp;"国有建设用地使用权"&amp;B9&amp;"预评估"</f>
        <v>出让国有建设用地使用权抵押价格预评估</v>
      </c>
      <c r="C1" s="3511"/>
      <c r="D1" s="3511"/>
      <c r="E1" s="3511"/>
      <c r="F1" s="3511"/>
      <c r="G1" s="3511"/>
      <c r="H1" s="3511"/>
      <c r="I1" s="3512"/>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c r="C3" s="2904" t="s">
        <v>1787</v>
      </c>
      <c r="D3" s="1543">
        <v>44819</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16" t="s">
        <v>1736</v>
      </c>
      <c r="E8" s="1711"/>
      <c r="F8" s="1553"/>
      <c r="G8" s="2982"/>
      <c r="H8" s="2982"/>
      <c r="I8" s="2985"/>
      <c r="J8" s="2981"/>
      <c r="K8" s="2964"/>
      <c r="L8" s="2960"/>
      <c r="M8" s="2960"/>
      <c r="N8" s="2961"/>
      <c r="O8" s="2962"/>
      <c r="P8" s="2961"/>
      <c r="Q8" s="2961"/>
      <c r="R8" s="2961"/>
      <c r="S8" s="2961"/>
      <c r="T8" s="2961"/>
      <c r="U8" s="2961"/>
    </row>
    <row r="9" spans="1:21" ht="15" thickBot="1">
      <c r="A9" s="2906" t="s">
        <v>1735</v>
      </c>
      <c r="B9" s="1554" t="s">
        <v>3273</v>
      </c>
      <c r="C9" s="1555"/>
      <c r="D9" s="3517"/>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3274</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3275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13"/>
      <c r="C12" s="3514"/>
      <c r="D12" s="3515"/>
      <c r="E12" s="1574" t="s">
        <v>1853</v>
      </c>
      <c r="F12" s="3531" t="s">
        <v>2602</v>
      </c>
      <c r="G12" s="3532"/>
      <c r="H12" s="3532"/>
      <c r="I12" s="3533"/>
      <c r="J12" s="2981"/>
      <c r="K12" s="2964"/>
      <c r="L12" s="2960"/>
      <c r="M12" s="2960"/>
      <c r="N12" s="2961"/>
      <c r="O12" s="2962"/>
      <c r="P12" s="2961"/>
      <c r="Q12" s="2961"/>
      <c r="R12" s="2961"/>
      <c r="S12" s="2961"/>
      <c r="T12" s="2961"/>
      <c r="U12" s="2961"/>
    </row>
    <row r="13" spans="1:21">
      <c r="A13" s="1565" t="s">
        <v>1851</v>
      </c>
      <c r="B13" s="3513"/>
      <c r="C13" s="3514"/>
      <c r="D13" s="3515"/>
      <c r="E13" s="1574" t="s">
        <v>1853</v>
      </c>
      <c r="F13" s="3531" t="s">
        <v>2603</v>
      </c>
      <c r="G13" s="3532"/>
      <c r="H13" s="3532"/>
      <c r="I13" s="3533"/>
      <c r="J13" s="2981"/>
      <c r="K13" s="2964"/>
      <c r="L13" s="2960"/>
      <c r="M13" s="2960"/>
      <c r="N13" s="2961"/>
      <c r="O13" s="2962"/>
      <c r="P13" s="2961"/>
      <c r="Q13" s="2961"/>
      <c r="R13" s="2961"/>
      <c r="S13" s="2961"/>
      <c r="T13" s="2961"/>
      <c r="U13" s="2961"/>
    </row>
    <row r="14" spans="1:21">
      <c r="A14" s="1542" t="s">
        <v>1854</v>
      </c>
      <c r="B14" s="1574"/>
      <c r="C14" s="1712" t="s">
        <v>3277</v>
      </c>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3276</v>
      </c>
      <c r="C16" s="1574" t="s">
        <v>1740</v>
      </c>
      <c r="D16" s="2409" t="s">
        <v>1741</v>
      </c>
      <c r="E16" s="1597" t="s">
        <v>3278</v>
      </c>
      <c r="F16" s="1597"/>
      <c r="G16" s="1597"/>
      <c r="H16" s="1597"/>
      <c r="I16" s="1564" t="s">
        <v>1746</v>
      </c>
      <c r="J16" s="2981"/>
      <c r="K16" s="2264" t="str">
        <f>IF(D17="","",D16&amp;TEXT(D17,"yyyy年m月d日;;"))</f>
        <v/>
      </c>
      <c r="L16" s="1574" t="str">
        <f>IF(OR(K16="",M16=""),"","、")</f>
        <v/>
      </c>
      <c r="M16" s="2264" t="str">
        <f>IF(E17="","",E16&amp;TEXT(E17,"yyyy年m月d日;;"))</f>
        <v>商业2054年4月17日</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1747</v>
      </c>
      <c r="D17" s="1575"/>
      <c r="E17" s="1575">
        <v>56356</v>
      </c>
      <c r="F17" s="1575"/>
      <c r="G17" s="1575"/>
      <c r="H17" s="1575"/>
      <c r="I17" s="1575"/>
      <c r="J17" s="2981"/>
      <c r="K17" s="2959" t="str">
        <f>CONCATENATE(K16,L16,M16,N16,O16,P16,Q16,R16,S16,T16,,U16)</f>
        <v>商业2054年4月17日</v>
      </c>
      <c r="L17" s="2960"/>
      <c r="M17" s="2960"/>
      <c r="N17" s="2961"/>
      <c r="O17" s="2962"/>
      <c r="P17" s="2961"/>
      <c r="Q17" s="2961"/>
      <c r="R17" s="2961"/>
      <c r="S17" s="2961"/>
      <c r="T17" s="2961"/>
      <c r="U17" s="2961"/>
    </row>
    <row r="18" spans="1:21">
      <c r="A18" s="1634"/>
      <c r="B18" s="1561"/>
      <c r="C18" s="2910" t="s">
        <v>1748</v>
      </c>
      <c r="D18" s="1562"/>
      <c r="E18" s="1562">
        <v>40</v>
      </c>
      <c r="F18" s="1562"/>
      <c r="G18" s="1562"/>
      <c r="H18" s="1562"/>
      <c r="I18" s="1562"/>
      <c r="J18" s="2981"/>
      <c r="K18" s="2964"/>
      <c r="L18" s="2960"/>
      <c r="M18" s="2960"/>
      <c r="N18" s="2961"/>
      <c r="O18" s="2962"/>
      <c r="P18" s="2961"/>
      <c r="Q18" s="2961"/>
      <c r="R18" s="2961"/>
      <c r="S18" s="2961"/>
      <c r="T18" s="2961"/>
      <c r="U18" s="2961"/>
    </row>
    <row r="19" spans="1:21">
      <c r="A19" s="1634"/>
      <c r="B19" s="1561"/>
      <c r="C19" s="1541" t="s">
        <v>1749</v>
      </c>
      <c r="D19" s="1629" t="str">
        <f>IF(B16="出让",IF(D17="","",ROUNDDOWN(MIN((D17-$D$3)/365,D18),2)),D18)</f>
        <v/>
      </c>
      <c r="E19" s="1563">
        <f>IF(B16="出让",IF(E17="","",ROUNDDOWN(MIN((E17-$D$3)/365,E18),2)),E18)</f>
        <v>31.6</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28"/>
      <c r="E20" s="3529"/>
      <c r="F20" s="3529"/>
      <c r="G20" s="3529"/>
      <c r="H20" s="3529"/>
      <c r="I20" s="3530"/>
      <c r="J20" s="2981"/>
      <c r="K20" s="2964"/>
      <c r="L20" s="2960"/>
      <c r="M20" s="2960"/>
      <c r="N20" s="2961"/>
      <c r="O20" s="2962"/>
      <c r="P20" s="2961"/>
      <c r="Q20" s="2961"/>
      <c r="R20" s="2961"/>
      <c r="S20" s="2961"/>
      <c r="T20" s="2961"/>
      <c r="U20" s="2961"/>
    </row>
    <row r="21" spans="1:21">
      <c r="A21" s="1634" t="s">
        <v>1750</v>
      </c>
      <c r="B21" s="1635" t="s">
        <v>1751</v>
      </c>
      <c r="C21" s="1630">
        <f>'数据-汇总表'!E3</f>
        <v>1790.62</v>
      </c>
      <c r="D21" s="1631" t="s">
        <v>1752</v>
      </c>
      <c r="E21" s="3518" t="s">
        <v>1790</v>
      </c>
      <c r="F21" s="3519"/>
      <c r="G21" s="3519"/>
      <c r="H21" s="3519"/>
      <c r="I21" s="3520"/>
      <c r="J21" s="2981"/>
      <c r="K21" s="2964"/>
      <c r="L21" s="2960"/>
      <c r="M21" s="2960"/>
      <c r="N21" s="2961"/>
      <c r="O21" s="2962"/>
      <c r="P21" s="2961"/>
      <c r="Q21" s="2961"/>
      <c r="R21" s="2961"/>
      <c r="S21" s="2961"/>
      <c r="T21" s="2961"/>
      <c r="U21" s="2961"/>
    </row>
    <row r="22" spans="1:21">
      <c r="A22" s="2719" t="s">
        <v>931</v>
      </c>
      <c r="B22" s="1542" t="s">
        <v>1753</v>
      </c>
      <c r="C22" s="1564">
        <f>'数据-汇总表'!D3</f>
        <v>16450</v>
      </c>
      <c r="D22" s="1565" t="s">
        <v>1752</v>
      </c>
      <c r="E22" s="3518" t="s">
        <v>2604</v>
      </c>
      <c r="F22" s="3519"/>
      <c r="G22" s="3519"/>
      <c r="H22" s="3519"/>
      <c r="I22" s="3520"/>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21" t="s">
        <v>1758</v>
      </c>
      <c r="C24" s="3522"/>
      <c r="D24" s="3523" t="s">
        <v>1759</v>
      </c>
      <c r="E24" s="3524"/>
      <c r="F24" s="1583" t="s">
        <v>1760</v>
      </c>
      <c r="G24" s="2981"/>
      <c r="H24" s="2981"/>
      <c r="I24" s="2985"/>
      <c r="J24" s="2981"/>
      <c r="K24" s="3509"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09"/>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09"/>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36" t="s">
        <v>1793</v>
      </c>
      <c r="B31" s="1635" t="s">
        <v>1794</v>
      </c>
      <c r="C31" s="3534"/>
      <c r="D31" s="3535"/>
      <c r="E31" s="2981"/>
      <c r="F31" s="2981"/>
      <c r="G31" s="2981"/>
      <c r="H31" s="2981"/>
      <c r="I31" s="2985"/>
      <c r="J31" s="2981"/>
      <c r="K31" s="2967"/>
      <c r="L31" s="2961"/>
      <c r="M31" s="2961"/>
      <c r="N31" s="2961"/>
      <c r="O31" s="2961"/>
      <c r="P31" s="2961"/>
      <c r="Q31" s="2961"/>
      <c r="R31" s="2961"/>
      <c r="S31" s="2961"/>
      <c r="T31" s="2961"/>
      <c r="U31" s="2961"/>
    </row>
    <row r="32" spans="1:21">
      <c r="A32" s="3536"/>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36"/>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37"/>
      <c r="B34" s="1542" t="s">
        <v>1797</v>
      </c>
      <c r="C34" s="3538"/>
      <c r="D34" s="3539"/>
      <c r="E34" s="2981"/>
      <c r="F34" s="2981"/>
      <c r="G34" s="2981"/>
      <c r="H34" s="2981"/>
      <c r="I34" s="2985"/>
      <c r="J34" s="2981"/>
      <c r="K34" s="2967"/>
      <c r="L34" s="2961"/>
      <c r="M34" s="2961"/>
      <c r="N34" s="2961"/>
      <c r="O34" s="2961"/>
      <c r="P34" s="2961"/>
      <c r="Q34" s="2961"/>
      <c r="R34" s="2961"/>
      <c r="S34" s="2961"/>
      <c r="T34" s="2961"/>
      <c r="U34" s="2961"/>
    </row>
    <row r="35" spans="1:28">
      <c r="A35" s="3540" t="s">
        <v>827</v>
      </c>
      <c r="B35" s="1597"/>
      <c r="C35" s="1644" t="str">
        <f>IF(B35="场地平整","——","具体情况：")</f>
        <v>具体情况：</v>
      </c>
      <c r="D35" s="3542"/>
      <c r="E35" s="3543"/>
      <c r="F35" s="3543"/>
      <c r="G35" s="3543"/>
      <c r="H35" s="3543"/>
      <c r="I35" s="3544"/>
      <c r="J35" s="2981"/>
      <c r="K35" s="2968"/>
      <c r="L35" s="2960"/>
      <c r="M35" s="2960"/>
      <c r="N35" s="2961"/>
      <c r="O35" s="2962"/>
      <c r="P35" s="2961"/>
      <c r="Q35" s="2961"/>
      <c r="R35" s="2961"/>
      <c r="S35" s="2961"/>
      <c r="T35" s="2961"/>
      <c r="U35" s="2961"/>
    </row>
    <row r="36" spans="1:28">
      <c r="A36" s="3536"/>
      <c r="B36" s="3545" t="s">
        <v>1846</v>
      </c>
      <c r="C36" s="3546"/>
      <c r="D36" s="1660"/>
      <c r="E36" s="3547"/>
      <c r="F36" s="3547"/>
      <c r="G36" s="1565" t="str">
        <f>IF(B35="场地未平整","估价结果处理","")</f>
        <v/>
      </c>
      <c r="H36" s="3548"/>
      <c r="I36" s="3548"/>
      <c r="J36" s="2981"/>
      <c r="K36" s="2968"/>
      <c r="L36" s="2960"/>
      <c r="M36" s="2960"/>
      <c r="N36" s="2961"/>
      <c r="O36" s="2962"/>
      <c r="P36" s="2961"/>
      <c r="Q36" s="2961"/>
      <c r="R36" s="2961"/>
      <c r="S36" s="2961"/>
      <c r="T36" s="2961"/>
      <c r="U36" s="2961"/>
    </row>
    <row r="37" spans="1:28" ht="28.5">
      <c r="A37" s="3536"/>
      <c r="B37" s="3525"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36"/>
      <c r="B38" s="3526"/>
      <c r="C38" s="1550" t="s">
        <v>830</v>
      </c>
      <c r="D38" s="1659">
        <f>ROUNDDOWN(MIN(('数据-取费表'!$B$2-D37)/365,D34),1)</f>
        <v>122.7</v>
      </c>
      <c r="E38" s="1602" t="s">
        <v>831</v>
      </c>
      <c r="F38" s="2981"/>
      <c r="G38" s="2981"/>
      <c r="H38" s="2981"/>
      <c r="I38" s="2985"/>
      <c r="J38" s="2981"/>
      <c r="K38" s="2968"/>
      <c r="L38" s="2961"/>
      <c r="M38" s="2961"/>
      <c r="N38" s="2961"/>
      <c r="O38" s="2961"/>
      <c r="P38" s="2961"/>
      <c r="Q38" s="2961"/>
      <c r="R38" s="2961"/>
      <c r="S38" s="2961"/>
      <c r="T38" s="2961"/>
      <c r="U38" s="2961"/>
    </row>
    <row r="39" spans="1:28">
      <c r="A39" s="3537"/>
      <c r="B39" s="3527"/>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08" t="s">
        <v>1777</v>
      </c>
      <c r="T40" s="1606" t="str">
        <f>NUMBERSTRING(7-K40,1)&amp;"通"</f>
        <v>七通</v>
      </c>
      <c r="U40" s="2961"/>
    </row>
    <row r="41" spans="1:28">
      <c r="A41" s="1544"/>
      <c r="B41" s="3541" t="s">
        <v>1521</v>
      </c>
      <c r="C41" s="3541"/>
      <c r="D41" s="3541"/>
      <c r="E41" s="3541"/>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08"/>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16450</v>
      </c>
      <c r="B3" s="22">
        <f>IF(C3="否",G5-AT5,G5)</f>
        <v>1790.62</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1790.62</v>
      </c>
      <c r="H5" s="27">
        <f t="shared" ref="H5:AT5" si="0">SUM(H13:H641)</f>
        <v>1790.62</v>
      </c>
      <c r="I5" s="27">
        <f t="shared" si="0"/>
        <v>1790.62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1790.62</v>
      </c>
      <c r="BA5" s="29">
        <f t="shared" si="1"/>
        <v>1790.62</v>
      </c>
      <c r="BB5" s="29">
        <f t="shared" si="1"/>
        <v>1790.62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16450</v>
      </c>
      <c r="F6" s="27" t="s">
        <v>1</v>
      </c>
      <c r="G6" s="27" t="s">
        <v>2</v>
      </c>
      <c r="H6" s="33">
        <f>SUMIF(I$12:AB$12,"总值",I6:AB6)</f>
        <v>16450</v>
      </c>
      <c r="I6" s="27">
        <f t="shared" ref="I6:AB6" si="2">ROUND($A$3*I5/$B$3,2)</f>
        <v>16450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16450</v>
      </c>
      <c r="AZ6" s="27" t="s">
        <v>3</v>
      </c>
      <c r="BA6" s="27">
        <f>ROUND($AY$6*BA5/$AZ$5,2)</f>
        <v>16450</v>
      </c>
      <c r="BB6" s="27">
        <f>ROUND($AY$6*BB5/$AZ$5,2)</f>
        <v>16450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3279</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3278</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16450</v>
      </c>
      <c r="F13" s="81"/>
      <c r="G13" s="82">
        <f t="shared" ref="G13:G20" si="7">H13+AC13+AT13</f>
        <v>1790.62</v>
      </c>
      <c r="H13" s="33">
        <f t="shared" ref="H13:H20" si="8">SUMIF(I$12:AB$12,"总值",I13:AB13)</f>
        <v>1790.62</v>
      </c>
      <c r="I13" s="2651">
        <v>1790.62</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16450</v>
      </c>
      <c r="AZ13" s="27">
        <f t="shared" ref="AZ13:AZ20" si="12">BA13+BL13</f>
        <v>1790.62</v>
      </c>
      <c r="BA13" s="27">
        <f t="shared" ref="BA13:BA20" si="13">SUM(BB13:BK13)</f>
        <v>1790.62</v>
      </c>
      <c r="BB13" s="27">
        <f t="shared" ref="BB13:BB20" si="14">IF($D13="是",I13-J13,0)</f>
        <v>1790.62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9" t="s">
        <v>0</v>
      </c>
      <c r="B1" s="3549" t="s">
        <v>4</v>
      </c>
      <c r="C1" s="3549" t="s">
        <v>5</v>
      </c>
      <c r="D1" s="3550" t="s">
        <v>40</v>
      </c>
      <c r="E1" s="3550" t="s">
        <v>41</v>
      </c>
      <c r="F1" s="3550"/>
      <c r="G1" s="3550"/>
      <c r="H1" s="3550"/>
      <c r="I1" s="3550"/>
      <c r="J1" s="3550"/>
      <c r="K1" s="3550"/>
      <c r="L1" s="3550"/>
      <c r="M1" s="3550"/>
    </row>
    <row r="2" spans="1:13" ht="27" customHeight="1">
      <c r="A2" s="3549"/>
      <c r="B2" s="3549"/>
      <c r="C2" s="3549"/>
      <c r="D2" s="3550"/>
      <c r="E2" s="3550" t="s">
        <v>24</v>
      </c>
      <c r="F2" s="3550" t="s">
        <v>25</v>
      </c>
      <c r="G2" s="3550"/>
      <c r="H2" s="3550"/>
      <c r="I2" s="3550"/>
      <c r="J2" s="3550" t="s">
        <v>26</v>
      </c>
      <c r="K2" s="3550"/>
      <c r="L2" s="3550"/>
      <c r="M2" s="3550"/>
    </row>
    <row r="3" spans="1:13" ht="28.5">
      <c r="A3" s="3549"/>
      <c r="B3" s="3549"/>
      <c r="C3" s="3549"/>
      <c r="D3" s="3550"/>
      <c r="E3" s="35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0" t="s">
        <v>42</v>
      </c>
      <c r="B9" s="3550"/>
      <c r="C9" s="35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37" sqref="M37"/>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60" t="s">
        <v>203</v>
      </c>
      <c r="B2" s="3560"/>
      <c r="C2" s="3560"/>
      <c r="D2" s="1842" t="s">
        <v>204</v>
      </c>
      <c r="E2" s="106" t="s">
        <v>205</v>
      </c>
      <c r="F2" s="2990"/>
      <c r="G2" s="1144"/>
      <c r="H2" s="1145"/>
      <c r="I2" s="1146" t="s">
        <v>837</v>
      </c>
      <c r="J2" s="2990"/>
      <c r="K2" s="2990"/>
      <c r="L2" s="2990"/>
      <c r="M2" s="2990"/>
      <c r="N2" s="2990"/>
      <c r="O2" s="2990"/>
      <c r="P2" s="2990"/>
    </row>
    <row r="3" spans="1:16" ht="15.75" thickBot="1">
      <c r="A3" s="3561" t="s">
        <v>206</v>
      </c>
      <c r="B3" s="3561"/>
      <c r="C3" s="3561"/>
      <c r="D3" s="107">
        <f>'数据-基础表'!AY6</f>
        <v>16450</v>
      </c>
      <c r="E3" s="107">
        <f>'数据-基础表'!AZ5</f>
        <v>1790.62</v>
      </c>
      <c r="F3" s="2990"/>
      <c r="G3" s="277" t="s">
        <v>838</v>
      </c>
      <c r="H3" s="272" t="s">
        <v>839</v>
      </c>
      <c r="I3" s="1843">
        <f>ROUND('数据-基础表'!B3/'数据-基础表'!A3,2)</f>
        <v>0.11</v>
      </c>
      <c r="J3" s="2990"/>
      <c r="K3" s="2990"/>
      <c r="L3" s="2990"/>
      <c r="M3" s="2990"/>
      <c r="N3" s="2990"/>
      <c r="O3" s="2990"/>
      <c r="P3" s="2990"/>
    </row>
    <row r="4" spans="1:16" ht="15">
      <c r="A4" s="3562"/>
      <c r="B4" s="3563"/>
      <c r="C4" s="3564"/>
      <c r="D4" s="108" t="s">
        <v>204</v>
      </c>
      <c r="E4" s="109" t="s">
        <v>205</v>
      </c>
      <c r="F4" s="2990"/>
      <c r="G4" s="1147"/>
      <c r="H4" s="272" t="s">
        <v>840</v>
      </c>
      <c r="I4" s="1843">
        <f>ROUND(SUMIF('数据-基础表'!I9:AS9,"地上",'数据-基础表'!I5:AS5)/'数据-基础表'!A3,2)</f>
        <v>0.11</v>
      </c>
      <c r="J4" s="2990"/>
      <c r="K4" s="2990"/>
      <c r="L4" s="2990"/>
      <c r="M4" s="2990"/>
      <c r="N4" s="2990"/>
      <c r="O4" s="2990"/>
      <c r="P4" s="2990"/>
    </row>
    <row r="5" spans="1:16">
      <c r="A5" s="110" t="s">
        <v>207</v>
      </c>
      <c r="B5" s="3565" t="s">
        <v>230</v>
      </c>
      <c r="C5" s="3565"/>
      <c r="D5" s="111">
        <f>ROUND($D$3*E5/$E$3,2)</f>
        <v>0</v>
      </c>
      <c r="E5" s="112">
        <f>SUMIF('数据-基础表'!$11:$11,"住宅",'数据-基础表'!$5:$5)</f>
        <v>0</v>
      </c>
      <c r="F5" s="2990"/>
      <c r="G5" s="277" t="s">
        <v>841</v>
      </c>
      <c r="H5" s="272" t="s">
        <v>839</v>
      </c>
      <c r="I5" s="1843">
        <f>ROUND(E31/D31,2)</f>
        <v>0.11</v>
      </c>
      <c r="J5" s="2990"/>
      <c r="K5" s="2990"/>
      <c r="L5" s="2990"/>
      <c r="M5" s="2990"/>
      <c r="N5" s="2990"/>
      <c r="O5" s="2990"/>
      <c r="P5" s="2990"/>
    </row>
    <row r="6" spans="1:16" ht="15" thickBot="1">
      <c r="A6" s="113"/>
      <c r="B6" s="3565" t="s">
        <v>208</v>
      </c>
      <c r="C6" s="3565"/>
      <c r="D6" s="111">
        <f>ROUND($D$3*E6/$E$3,2)</f>
        <v>16450</v>
      </c>
      <c r="E6" s="112">
        <f>E3-E5</f>
        <v>1790.62</v>
      </c>
      <c r="F6" s="2990"/>
      <c r="G6" s="1147"/>
      <c r="H6" s="272" t="s">
        <v>840</v>
      </c>
      <c r="I6" s="1843">
        <f>ROUND(F31/D31,2)</f>
        <v>0.11</v>
      </c>
      <c r="J6" s="2990"/>
      <c r="K6" s="2990"/>
      <c r="L6" s="2990"/>
      <c r="M6" s="2990"/>
      <c r="N6" s="2990"/>
      <c r="O6" s="2990"/>
      <c r="P6" s="2990"/>
    </row>
    <row r="7" spans="1:16" ht="15">
      <c r="A7" s="3557"/>
      <c r="B7" s="3558"/>
      <c r="C7" s="3559"/>
      <c r="D7" s="108" t="s">
        <v>204</v>
      </c>
      <c r="E7" s="114" t="s">
        <v>231</v>
      </c>
      <c r="F7" s="2990"/>
      <c r="G7" s="1102" t="s">
        <v>1445</v>
      </c>
      <c r="H7" s="1103"/>
      <c r="I7" s="1714">
        <f>I6</f>
        <v>0.11</v>
      </c>
      <c r="J7" s="2990"/>
      <c r="K7" s="2990"/>
      <c r="L7" s="2990"/>
      <c r="M7" s="2990"/>
      <c r="N7" s="2990"/>
      <c r="O7" s="2990"/>
      <c r="P7" s="2990"/>
    </row>
    <row r="8" spans="1:16">
      <c r="A8" s="110" t="s">
        <v>209</v>
      </c>
      <c r="B8" s="115" t="s">
        <v>210</v>
      </c>
      <c r="C8" s="111" t="s">
        <v>211</v>
      </c>
      <c r="D8" s="111">
        <f t="shared" ref="D8:D15" si="0">ROUND($D$3*E8/$E$3,2)</f>
        <v>16450</v>
      </c>
      <c r="E8" s="116">
        <f>SUMIF('数据-基础表'!BB10:BK10,"地上",'数据-基础表'!BB5:BK5)</f>
        <v>1790.62</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16450</v>
      </c>
      <c r="E16" s="120">
        <f>SUM(E8:E15)</f>
        <v>1790.62</v>
      </c>
      <c r="F16" s="2990"/>
      <c r="G16" s="2991"/>
      <c r="H16" s="938" t="s">
        <v>219</v>
      </c>
      <c r="I16" s="939"/>
      <c r="J16" s="1851"/>
      <c r="K16" s="3551" t="s">
        <v>2284</v>
      </c>
      <c r="L16" s="3552"/>
      <c r="M16" s="3552"/>
      <c r="N16" s="3552"/>
      <c r="O16" s="3552"/>
      <c r="P16" s="3553"/>
    </row>
    <row r="17" spans="1:19" ht="15">
      <c r="A17" s="121" t="s">
        <v>216</v>
      </c>
      <c r="B17" s="122" t="s">
        <v>217</v>
      </c>
      <c r="C17" s="2131" t="s">
        <v>2103</v>
      </c>
      <c r="D17" s="108" t="s">
        <v>204</v>
      </c>
      <c r="E17" s="124" t="s">
        <v>205</v>
      </c>
      <c r="F17" s="125"/>
      <c r="G17" s="1274"/>
      <c r="H17" s="940" t="s">
        <v>218</v>
      </c>
      <c r="I17" s="941" t="s">
        <v>2102</v>
      </c>
      <c r="J17" s="1851"/>
      <c r="K17" s="3554" t="s">
        <v>2285</v>
      </c>
      <c r="L17" s="3555"/>
      <c r="M17" s="3556"/>
      <c r="N17" s="3554" t="s">
        <v>2286</v>
      </c>
      <c r="O17" s="3555"/>
      <c r="P17" s="3556"/>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3281</v>
      </c>
      <c r="D19" s="111">
        <f t="shared" ref="D19:D26" si="1">ROUND($D$3*E19/$E$3,2)</f>
        <v>16450</v>
      </c>
      <c r="E19" s="134">
        <f t="shared" ref="E19:E26" si="2">SUM(F19:G19)</f>
        <v>1790.62</v>
      </c>
      <c r="F19" s="2992">
        <f>'数据-基础表'!I13</f>
        <v>1790.62</v>
      </c>
      <c r="G19" s="2993"/>
      <c r="H19" s="944">
        <f>ROUND($D$3*I19/$E$3,2)</f>
        <v>0</v>
      </c>
      <c r="I19" s="116">
        <f>IF($I$17="自定义",P19,M19)</f>
        <v>0</v>
      </c>
      <c r="J19" s="1851"/>
      <c r="K19" s="2373">
        <f t="shared" ref="K19:K26" si="3">ROUND(E$28*E19/E$27,2)</f>
        <v>0</v>
      </c>
      <c r="L19" s="272">
        <f t="shared" ref="L19:L26" si="4">ROUND(IF(COUNTIF(C19,"*住宅*")&gt;0,E$29*E19/E$32,0),2)</f>
        <v>0</v>
      </c>
      <c r="M19" s="2374">
        <f>K19+L19</f>
        <v>0</v>
      </c>
      <c r="N19" s="2375"/>
      <c r="O19" s="2376"/>
      <c r="P19" s="2377">
        <f>N19+O19</f>
        <v>0</v>
      </c>
      <c r="R19" s="272">
        <f t="shared" ref="R19:S26" si="5">D19+H19</f>
        <v>16450</v>
      </c>
      <c r="S19" s="2134">
        <f t="shared" si="5"/>
        <v>1790.62</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2">
        <f t="shared" si="4"/>
        <v>0</v>
      </c>
      <c r="M20" s="2374">
        <f t="shared" ref="M20:M26" si="8">K20+L20</f>
        <v>0</v>
      </c>
      <c r="N20" s="2375"/>
      <c r="O20" s="2376"/>
      <c r="P20" s="2377">
        <f t="shared" ref="P20:P26" si="9">N20+O20</f>
        <v>0</v>
      </c>
      <c r="R20" s="272">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2">
        <f t="shared" si="4"/>
        <v>0</v>
      </c>
      <c r="M21" s="2374">
        <f t="shared" si="8"/>
        <v>0</v>
      </c>
      <c r="N21" s="2375"/>
      <c r="O21" s="2376"/>
      <c r="P21" s="2377">
        <f t="shared" si="9"/>
        <v>0</v>
      </c>
      <c r="R21" s="272">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2">
        <f t="shared" si="4"/>
        <v>0</v>
      </c>
      <c r="M22" s="2374">
        <f t="shared" si="8"/>
        <v>0</v>
      </c>
      <c r="N22" s="2375"/>
      <c r="O22" s="2376"/>
      <c r="P22" s="2377">
        <f t="shared" si="9"/>
        <v>0</v>
      </c>
      <c r="R22" s="272">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2">
        <f t="shared" si="4"/>
        <v>0</v>
      </c>
      <c r="M23" s="2374">
        <f t="shared" si="8"/>
        <v>0</v>
      </c>
      <c r="N23" s="2375"/>
      <c r="O23" s="2376"/>
      <c r="P23" s="2377">
        <f t="shared" si="9"/>
        <v>0</v>
      </c>
      <c r="R23" s="272">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2">
        <f t="shared" si="4"/>
        <v>0</v>
      </c>
      <c r="M24" s="2374">
        <f t="shared" si="8"/>
        <v>0</v>
      </c>
      <c r="N24" s="2375"/>
      <c r="O24" s="2376"/>
      <c r="P24" s="2377">
        <f t="shared" si="9"/>
        <v>0</v>
      </c>
      <c r="R24" s="272">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2">
        <f t="shared" si="4"/>
        <v>0</v>
      </c>
      <c r="M25" s="2374">
        <f t="shared" si="8"/>
        <v>0</v>
      </c>
      <c r="N25" s="2375"/>
      <c r="O25" s="2376"/>
      <c r="P25" s="2377">
        <f t="shared" si="9"/>
        <v>0</v>
      </c>
      <c r="R25" s="272">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7">
        <f t="shared" si="4"/>
        <v>0</v>
      </c>
      <c r="M26" s="144">
        <f t="shared" si="8"/>
        <v>0</v>
      </c>
      <c r="N26" s="2379"/>
      <c r="O26" s="2380"/>
      <c r="P26" s="2381">
        <f t="shared" si="9"/>
        <v>0</v>
      </c>
      <c r="R26" s="272">
        <f t="shared" si="5"/>
        <v>0</v>
      </c>
      <c r="S26" s="2134">
        <f t="shared" si="5"/>
        <v>0</v>
      </c>
    </row>
    <row r="27" spans="1:19" ht="15.75" thickBot="1">
      <c r="A27" s="137"/>
      <c r="B27" s="111"/>
      <c r="C27" s="127" t="s">
        <v>215</v>
      </c>
      <c r="D27" s="134">
        <f>SUM(D19:D26)</f>
        <v>16450</v>
      </c>
      <c r="E27" s="141">
        <f>IF(SUM(E19:E26)='数据-基础表'!BA5,SUM(E19:E26),IF(F27="地上面积有误","面积有误","地下面积有误"))</f>
        <v>1790.62</v>
      </c>
      <c r="F27" s="134">
        <f>IF(SUM(F19:F26)=E8,SUM(F19:F26),"地上面积有误")</f>
        <v>1790.62</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16450</v>
      </c>
      <c r="S27" s="272">
        <f>IF(SUM(S19:S26)=$E$3,SUM(S19:S26),SUM(S19:S26)&amp;"误差"&amp;ROUND(SUM(S19:S26)-E3,2))</f>
        <v>1790.62</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16450</v>
      </c>
      <c r="E31" s="1278">
        <f>E27+E30</f>
        <v>1790.62</v>
      </c>
      <c r="F31" s="1279">
        <f>F27+F30</f>
        <v>1790.62</v>
      </c>
      <c r="G31" s="1280">
        <f>G27+G30</f>
        <v>0</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W25" sqref="W25"/>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44819</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3282</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加气站</v>
      </c>
      <c r="B6" s="2170" t="str">
        <f>IF(A6=0,"","经营性")</f>
        <v>经营性</v>
      </c>
      <c r="C6" s="171" t="s">
        <v>3278</v>
      </c>
      <c r="D6" s="2141">
        <f>SUMIF(项目基本情况!D$15:I$15,C6,项目基本情况!D$18:I$18)</f>
        <v>40</v>
      </c>
      <c r="E6" s="2142">
        <f>IF(B6="","",SUMIF(项目基本情况!D$15:I$15,C6,项目基本情况!D$17:I$17))</f>
        <v>56356</v>
      </c>
      <c r="F6" s="172">
        <f>SUMIF(项目基本情况!D$15:I$15,C6,项目基本情况!D$19:I$19)</f>
        <v>31.6</v>
      </c>
      <c r="G6" s="173">
        <f>IF(ISERROR(ROUND(POWER(1+H6,D6-F6)*(POWER(1+H6,F6)-1)/(POWER(1+H6,D6)-1),3)),0,ROUND(POWER(1+H6,D6-F6)*(POWER(1+H6,F6)-1)/(POWER(1+H6,D6)-1),3))</f>
        <v>0.91600000000000004</v>
      </c>
      <c r="H6" s="2659">
        <v>0.05</v>
      </c>
      <c r="I6" s="2659">
        <v>5.5E-2</v>
      </c>
      <c r="J6" s="174">
        <v>7.0000000000000007E-2</v>
      </c>
      <c r="K6" s="177">
        <f>SUMIF('数据-汇总表'!C$19:C$33,'数据-取费表'!A6,'数据-汇总表'!E$19:E$33)</f>
        <v>1790.62</v>
      </c>
      <c r="L6" s="3468">
        <v>5000</v>
      </c>
      <c r="M6" s="175">
        <f t="shared" ref="M6:M14" si="0">ROUND(K6*L6/10000,0)</f>
        <v>895</v>
      </c>
      <c r="N6" s="2661">
        <v>0</v>
      </c>
      <c r="O6" s="175">
        <f>IF($N$5="成新度","——",ROUND(M6*N6,0))</f>
        <v>0</v>
      </c>
      <c r="P6" s="176">
        <f>IF($N$5="成新度","——",M6-O6)</f>
        <v>895</v>
      </c>
      <c r="Q6" s="2662">
        <v>0.15</v>
      </c>
      <c r="R6" s="177">
        <f>SUMIF('数据-汇总表'!C$19:C$33,A6,'数据-汇总表'!R$19:R$33)</f>
        <v>16450</v>
      </c>
      <c r="S6" s="132">
        <f>IF('数据-汇总表'!$I$17="按面积比例",SUMIF('数据-汇总表'!C$19:C$33,A6,'数据-汇总表'!K$19:K$33),SUMIF('数据-汇总表'!C$19:C$33,A6,'数据-汇总表'!N$19:N$33))</f>
        <v>0</v>
      </c>
      <c r="T6" s="2067" t="str">
        <f>IF($T$4="按面积比例",IF(ISERROR(ROUND($M$14*S6/S$16,0)),"0",ROUND($M$14*S6/S$16,0)),"需自行计算录入")</f>
        <v>0</v>
      </c>
      <c r="U6" s="178"/>
      <c r="V6" s="3470"/>
      <c r="W6" s="3470"/>
      <c r="X6" s="2154"/>
      <c r="Y6" s="180">
        <v>1</v>
      </c>
      <c r="Z6" s="181"/>
      <c r="AA6" s="174"/>
      <c r="AB6" s="174"/>
      <c r="AC6" s="2157"/>
      <c r="AD6" s="182"/>
      <c r="AE6" s="942">
        <f ca="1">IF(AN6="",0,SUMIF(INDIRECT("'"&amp;AN6&amp;"'"&amp;"!E:E"),$AE$5,INDIRECT("'"&amp;AN6&amp;"'"&amp;"!F:F")))</f>
        <v>31.6</v>
      </c>
      <c r="AF6" s="139"/>
      <c r="AG6" s="1159">
        <f>IF(AF6="",0,AE6-AF6)</f>
        <v>0</v>
      </c>
      <c r="AH6" s="139">
        <v>1</v>
      </c>
      <c r="AI6" s="185">
        <v>1</v>
      </c>
      <c r="AJ6" s="186"/>
      <c r="AK6" s="187">
        <v>1.4999999999999999E-2</v>
      </c>
      <c r="AL6" s="188">
        <v>1.5E-3</v>
      </c>
      <c r="AM6" s="2671">
        <v>0.02</v>
      </c>
      <c r="AN6" s="2200" t="s">
        <v>3284</v>
      </c>
      <c r="AO6" s="3000"/>
      <c r="AP6" s="1150">
        <f>ROUND(1-1/(1+H6)^F6,3)</f>
        <v>0.78600000000000003</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v>0</v>
      </c>
      <c r="M14" s="175">
        <f t="shared" si="0"/>
        <v>0</v>
      </c>
      <c r="N14" s="192">
        <v>0</v>
      </c>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0.91600000000000004</v>
      </c>
      <c r="H16" s="201">
        <f>ROUND(SUMPRODUCT(H6:H13,K6:K13)/SUMPRODUCT((H6:H13&gt;0)*(K6:K13)),3)</f>
        <v>0.05</v>
      </c>
      <c r="I16" s="202"/>
      <c r="J16" s="202"/>
      <c r="K16" s="203">
        <f>SUM(K6:K15)</f>
        <v>1790.62</v>
      </c>
      <c r="L16" s="204">
        <f>ROUND(M16*10000/SUM(K6:K14),0)</f>
        <v>4998</v>
      </c>
      <c r="M16" s="204">
        <f>SUM(M6:M14)</f>
        <v>895</v>
      </c>
      <c r="N16" s="205">
        <f>ROUND(SUMPRODUCT(M6:M14,N6:N14)/M16,3)</f>
        <v>0</v>
      </c>
      <c r="O16" s="204">
        <f>SUM(O6:O14)</f>
        <v>0</v>
      </c>
      <c r="P16" s="204">
        <f>SUM(P6:P14)</f>
        <v>895</v>
      </c>
      <c r="Q16" s="206">
        <f>ROUND(SUMPRODUCT(Q6:Q13,K6:K13)/SUMPRODUCT((Q6:Q13&gt;0)*(K6:K13)),2)</f>
        <v>0.15</v>
      </c>
      <c r="R16" s="2144">
        <f>SUM(R6:R13)</f>
        <v>16450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0.78600000000000003</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3469">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3472">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2">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3283</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3473">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0" t="s">
        <v>288</v>
      </c>
      <c r="B47" s="241"/>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2" t="s">
        <v>289</v>
      </c>
      <c r="B48" s="243">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4" t="s">
        <v>291</v>
      </c>
      <c r="B50" s="245">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6">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4" t="s">
        <v>293</v>
      </c>
      <c r="B52" s="247">
        <f>SUMIF(A54:A63,B53,B54:B63)</f>
        <v>24</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8" t="s">
        <v>1134</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v>24</v>
      </c>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49"/>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0"/>
      <c r="D64" s="1862"/>
      <c r="K64" s="57"/>
      <c r="L64" s="57"/>
    </row>
    <row r="65" spans="1:12" s="1861" customFormat="1">
      <c r="A65" s="250"/>
      <c r="D65" s="1862"/>
      <c r="K65" s="57"/>
      <c r="L65" s="57"/>
    </row>
    <row r="66" spans="1:12" s="1861" customFormat="1">
      <c r="A66" s="250"/>
      <c r="D66" s="1862"/>
      <c r="K66" s="57"/>
      <c r="L66" s="57"/>
    </row>
    <row r="67" spans="1:12" s="1861" customFormat="1">
      <c r="A67" s="250"/>
      <c r="D67" s="1862"/>
      <c r="K67" s="57"/>
      <c r="L67" s="57"/>
    </row>
    <row r="68" spans="1:12" s="1861" customFormat="1">
      <c r="A68" s="250"/>
      <c r="D68" s="1862"/>
      <c r="K68" s="57"/>
      <c r="L68" s="57"/>
    </row>
    <row r="69" spans="1:12" s="1861" customFormat="1">
      <c r="A69" s="250"/>
      <c r="D69" s="1862"/>
      <c r="K69" s="57"/>
      <c r="L69" s="57"/>
    </row>
    <row r="70" spans="1:12" s="1861" customFormat="1">
      <c r="A70" s="250"/>
      <c r="D70" s="1862"/>
      <c r="K70" s="57"/>
      <c r="L70" s="57"/>
    </row>
    <row r="71" spans="1:12" s="1861" customFormat="1">
      <c r="A71" s="250"/>
      <c r="D71" s="1862"/>
      <c r="K71" s="57"/>
      <c r="L71" s="57"/>
    </row>
    <row r="72" spans="1:12" s="1861" customFormat="1">
      <c r="A72" s="250"/>
      <c r="D72" s="1862"/>
      <c r="K72" s="57"/>
      <c r="L72" s="57"/>
    </row>
    <row r="73" spans="1:12" s="1861" customFormat="1">
      <c r="A73" s="250"/>
      <c r="D73" s="1862"/>
      <c r="K73" s="57"/>
      <c r="L73" s="57"/>
    </row>
    <row r="74" spans="1:12" s="1861" customFormat="1">
      <c r="A74" s="250"/>
      <c r="D74" s="1862"/>
      <c r="K74" s="57"/>
      <c r="L74" s="57"/>
    </row>
    <row r="75" spans="1:12" s="1861" customFormat="1">
      <c r="A75" s="250"/>
      <c r="D75" s="1862"/>
      <c r="K75" s="57"/>
      <c r="L75" s="57"/>
    </row>
    <row r="76" spans="1:12" s="1861" customFormat="1">
      <c r="A76" s="250"/>
      <c r="D76" s="1862"/>
      <c r="K76" s="57"/>
      <c r="L76" s="57"/>
    </row>
    <row r="77" spans="1:12" s="1861" customFormat="1">
      <c r="A77" s="250"/>
      <c r="D77" s="1862"/>
      <c r="K77" s="57"/>
      <c r="L77" s="57"/>
    </row>
    <row r="78" spans="1:12" s="1861" customFormat="1">
      <c r="A78" s="250"/>
      <c r="D78" s="1862"/>
      <c r="K78" s="57"/>
      <c r="L78" s="57"/>
    </row>
    <row r="79" spans="1:12" s="1861" customFormat="1">
      <c r="A79" s="250"/>
      <c r="D79" s="1862"/>
      <c r="K79" s="57"/>
      <c r="L79" s="57"/>
    </row>
    <row r="80" spans="1:12" s="1861" customFormat="1">
      <c r="A80" s="250"/>
      <c r="D80" s="1862"/>
      <c r="K80" s="57"/>
      <c r="L80" s="57"/>
    </row>
    <row r="81" spans="1:12" s="1861" customFormat="1">
      <c r="A81" s="250"/>
      <c r="D81" s="1862"/>
      <c r="K81" s="57"/>
      <c r="L81" s="57"/>
    </row>
    <row r="82" spans="1:12" s="1861" customFormat="1">
      <c r="A82" s="250"/>
      <c r="D82" s="1862"/>
      <c r="K82" s="57"/>
      <c r="L82" s="57"/>
    </row>
    <row r="83" spans="1:12" s="1861" customFormat="1">
      <c r="A83" s="250"/>
      <c r="D83" s="1862"/>
      <c r="K83" s="57"/>
      <c r="L83" s="57"/>
    </row>
    <row r="84" spans="1:12" s="1861" customFormat="1">
      <c r="A84" s="250"/>
      <c r="D84" s="1862"/>
      <c r="K84" s="57"/>
      <c r="L84" s="57"/>
    </row>
    <row r="85" spans="1:12" s="1861" customFormat="1">
      <c r="A85" s="250"/>
      <c r="D85" s="1862"/>
      <c r="K85" s="57"/>
      <c r="L85" s="57"/>
    </row>
    <row r="86" spans="1:12" s="1861" customFormat="1">
      <c r="A86" s="250"/>
      <c r="D86" s="1862"/>
      <c r="K86" s="57"/>
      <c r="L86" s="57"/>
    </row>
    <row r="87" spans="1:12" s="1861" customFormat="1">
      <c r="A87" s="250"/>
      <c r="D87" s="1862"/>
      <c r="K87" s="57"/>
      <c r="L87" s="57"/>
    </row>
    <row r="88" spans="1:12" s="1861" customFormat="1">
      <c r="A88" s="250"/>
      <c r="D88" s="1862"/>
      <c r="K88" s="57"/>
      <c r="L88" s="57"/>
    </row>
    <row r="89" spans="1:12" s="1861" customFormat="1">
      <c r="A89" s="250"/>
      <c r="D89" s="1862"/>
      <c r="K89" s="57"/>
      <c r="L89" s="57"/>
    </row>
    <row r="90" spans="1:12" s="1861" customFormat="1">
      <c r="A90" s="250"/>
      <c r="D90" s="1862"/>
      <c r="K90" s="57"/>
      <c r="L90" s="57"/>
    </row>
    <row r="91" spans="1:12" s="1861" customFormat="1">
      <c r="A91" s="250"/>
      <c r="D91" s="1862"/>
      <c r="K91" s="57"/>
      <c r="L91" s="57"/>
    </row>
    <row r="92" spans="1:12" s="1861" customFormat="1">
      <c r="A92" s="250"/>
      <c r="D92" s="1862"/>
      <c r="K92" s="57"/>
      <c r="L92" s="57"/>
    </row>
    <row r="93" spans="1:12" s="1861" customFormat="1">
      <c r="A93" s="250"/>
      <c r="D93" s="1862"/>
      <c r="K93" s="57"/>
      <c r="L93" s="57"/>
    </row>
    <row r="94" spans="1:12" s="1861" customFormat="1">
      <c r="A94" s="250"/>
      <c r="D94" s="1862"/>
      <c r="K94" s="57"/>
      <c r="L94" s="57"/>
    </row>
    <row r="95" spans="1:12" s="1861" customFormat="1">
      <c r="A95" s="250"/>
      <c r="D95" s="1862"/>
      <c r="K95" s="57"/>
      <c r="L95" s="57"/>
    </row>
    <row r="96" spans="1:12" s="1861" customFormat="1">
      <c r="A96" s="250"/>
      <c r="D96" s="1862"/>
      <c r="K96" s="57"/>
      <c r="L96" s="57"/>
    </row>
    <row r="97" spans="1:12" s="1861" customFormat="1">
      <c r="A97" s="250"/>
      <c r="D97" s="1862"/>
      <c r="K97" s="57"/>
      <c r="L97" s="57"/>
    </row>
    <row r="98" spans="1:12" s="1861" customFormat="1">
      <c r="A98" s="250"/>
      <c r="D98" s="1862"/>
      <c r="K98" s="57"/>
      <c r="L98" s="57"/>
    </row>
    <row r="99" spans="1:12" s="1861" customFormat="1">
      <c r="A99" s="250"/>
      <c r="D99" s="1862"/>
      <c r="K99" s="57"/>
      <c r="L99" s="57"/>
    </row>
    <row r="100" spans="1:12" s="1861" customFormat="1">
      <c r="A100" s="250"/>
      <c r="D100" s="1862"/>
      <c r="K100" s="57"/>
      <c r="L100" s="57"/>
    </row>
    <row r="101" spans="1:12" s="1861" customFormat="1">
      <c r="A101" s="250"/>
      <c r="D101" s="1862"/>
      <c r="K101" s="57"/>
      <c r="L101" s="57"/>
    </row>
    <row r="102" spans="1:12" s="1861" customFormat="1">
      <c r="A102" s="250"/>
      <c r="D102" s="1862"/>
      <c r="K102" s="57"/>
      <c r="L102" s="57"/>
    </row>
    <row r="103" spans="1:12" s="1861" customFormat="1">
      <c r="A103" s="250"/>
      <c r="D103" s="1862"/>
      <c r="K103" s="57"/>
      <c r="L103" s="57"/>
    </row>
    <row r="104" spans="1:12" s="1861" customFormat="1">
      <c r="A104" s="250"/>
      <c r="D104" s="1862"/>
      <c r="K104" s="57"/>
      <c r="L104" s="57"/>
    </row>
    <row r="105" spans="1:12" s="1861" customFormat="1">
      <c r="A105" s="250"/>
      <c r="D105" s="1862"/>
      <c r="K105" s="57"/>
      <c r="L105" s="57"/>
    </row>
    <row r="106" spans="1:12" s="1861" customFormat="1">
      <c r="A106" s="250"/>
      <c r="D106" s="1862"/>
      <c r="K106" s="57"/>
      <c r="L106" s="57"/>
    </row>
    <row r="107" spans="1:12" s="1861" customFormat="1">
      <c r="A107" s="250"/>
      <c r="D107" s="1862"/>
      <c r="K107" s="57"/>
      <c r="L107" s="57"/>
    </row>
    <row r="108" spans="1:12" s="1861" customFormat="1">
      <c r="A108" s="250"/>
      <c r="D108" s="1862"/>
      <c r="K108" s="57"/>
      <c r="L108" s="57"/>
    </row>
    <row r="109" spans="1:12" s="1861" customFormat="1">
      <c r="A109" s="250"/>
      <c r="D109" s="1862"/>
      <c r="K109" s="57"/>
      <c r="L109" s="57"/>
    </row>
    <row r="110" spans="1:12" s="1861" customFormat="1">
      <c r="A110" s="250"/>
      <c r="D110" s="1862"/>
      <c r="K110" s="57"/>
      <c r="L110" s="57"/>
    </row>
    <row r="111" spans="1:12" s="1861" customFormat="1">
      <c r="A111" s="250"/>
      <c r="D111" s="1862"/>
      <c r="K111" s="57"/>
      <c r="L111" s="57"/>
    </row>
    <row r="112" spans="1:12" s="1861" customFormat="1">
      <c r="A112" s="250"/>
      <c r="D112" s="1862"/>
      <c r="K112" s="57"/>
      <c r="L112" s="57"/>
    </row>
    <row r="113" spans="1:12" s="1861" customFormat="1">
      <c r="A113" s="250"/>
      <c r="D113" s="1862"/>
      <c r="K113" s="57"/>
      <c r="L113" s="57"/>
    </row>
    <row r="114" spans="1:12" s="1861" customFormat="1">
      <c r="A114" s="250"/>
      <c r="D114" s="1862"/>
      <c r="K114" s="57"/>
      <c r="L114" s="57"/>
    </row>
    <row r="115" spans="1:12" s="1861" customFormat="1">
      <c r="A115" s="250"/>
      <c r="D115" s="1862"/>
      <c r="K115" s="57"/>
      <c r="L115" s="57"/>
    </row>
    <row r="116" spans="1:12" s="1861" customFormat="1">
      <c r="A116" s="250"/>
      <c r="D116" s="1862"/>
      <c r="K116" s="57"/>
      <c r="L116" s="57"/>
    </row>
    <row r="117" spans="1:12" s="1861" customFormat="1">
      <c r="A117" s="250"/>
      <c r="D117" s="1862"/>
      <c r="K117" s="57"/>
      <c r="L117" s="57"/>
    </row>
    <row r="118" spans="1:12" s="1861" customFormat="1">
      <c r="A118" s="250"/>
      <c r="D118" s="1862"/>
      <c r="K118" s="57"/>
      <c r="L118" s="57"/>
    </row>
    <row r="119" spans="1:12" s="1861" customFormat="1">
      <c r="A119" s="250"/>
      <c r="D119" s="1862"/>
      <c r="K119" s="57"/>
      <c r="L119" s="57"/>
    </row>
    <row r="120" spans="1:12" s="1861" customFormat="1">
      <c r="A120" s="250"/>
      <c r="D120" s="1862"/>
      <c r="K120" s="57"/>
      <c r="L120" s="57"/>
    </row>
    <row r="121" spans="1:12" s="1861" customFormat="1">
      <c r="A121" s="250"/>
      <c r="D121" s="1862"/>
      <c r="K121" s="57"/>
      <c r="L121" s="57"/>
    </row>
    <row r="122" spans="1:12" s="1861" customFormat="1">
      <c r="A122" s="250"/>
      <c r="D122" s="1862"/>
      <c r="K122" s="57"/>
      <c r="L122" s="57"/>
    </row>
    <row r="123" spans="1:12" s="1861" customFormat="1">
      <c r="A123" s="250"/>
      <c r="D123" s="1862"/>
      <c r="K123" s="57"/>
      <c r="L123" s="57"/>
    </row>
    <row r="124" spans="1:12" s="1861" customFormat="1">
      <c r="A124" s="250"/>
      <c r="D124" s="1862"/>
      <c r="K124" s="57"/>
      <c r="L124" s="57"/>
    </row>
    <row r="125" spans="1:12" s="1861" customFormat="1">
      <c r="A125" s="250"/>
      <c r="D125" s="1862"/>
      <c r="K125" s="57"/>
      <c r="L125" s="57"/>
    </row>
    <row r="126" spans="1:12" s="1861" customFormat="1">
      <c r="A126" s="250"/>
      <c r="D126" s="1862"/>
      <c r="K126" s="57"/>
      <c r="L126" s="57"/>
    </row>
    <row r="127" spans="1:12" s="1861" customFormat="1">
      <c r="A127" s="250"/>
      <c r="D127" s="1862"/>
      <c r="K127" s="57"/>
      <c r="L127" s="57"/>
    </row>
    <row r="128" spans="1:12" s="1861" customFormat="1">
      <c r="A128" s="250"/>
      <c r="D128" s="1862"/>
      <c r="K128" s="57"/>
      <c r="L128" s="57"/>
    </row>
    <row r="129" spans="1:12" s="1861" customFormat="1">
      <c r="A129" s="250"/>
      <c r="D129" s="1862"/>
      <c r="K129" s="57"/>
      <c r="L129" s="57"/>
    </row>
    <row r="130" spans="1:12" s="1861" customFormat="1">
      <c r="A130" s="250"/>
      <c r="D130" s="1862"/>
      <c r="K130" s="57"/>
      <c r="L130" s="57"/>
    </row>
    <row r="131" spans="1:12" s="1861" customFormat="1">
      <c r="A131" s="250"/>
      <c r="D131" s="1862"/>
      <c r="K131" s="57"/>
      <c r="L131" s="57"/>
    </row>
    <row r="132" spans="1:12" s="1861" customFormat="1">
      <c r="A132" s="250"/>
      <c r="D132" s="1862"/>
      <c r="K132" s="57"/>
      <c r="L132" s="57"/>
    </row>
    <row r="133" spans="1:12" s="1861" customFormat="1">
      <c r="A133" s="250"/>
      <c r="D133" s="1862"/>
      <c r="K133" s="57"/>
      <c r="L133" s="57"/>
    </row>
    <row r="134" spans="1:12" s="1861" customFormat="1">
      <c r="A134" s="250"/>
      <c r="D134" s="1862"/>
      <c r="K134" s="57"/>
      <c r="L134" s="57"/>
    </row>
    <row r="135" spans="1:12" s="1861" customFormat="1">
      <c r="A135" s="250"/>
      <c r="D135" s="1862"/>
      <c r="K135" s="57"/>
      <c r="L135" s="57"/>
    </row>
    <row r="136" spans="1:12" s="1861" customFormat="1">
      <c r="A136" s="250"/>
      <c r="D136" s="1862"/>
      <c r="K136" s="57"/>
      <c r="L136" s="57"/>
    </row>
    <row r="137" spans="1:12" s="1861" customFormat="1">
      <c r="A137" s="250"/>
      <c r="D137" s="1862"/>
      <c r="K137" s="57"/>
      <c r="L137" s="57"/>
    </row>
    <row r="138" spans="1:12" s="1861" customFormat="1">
      <c r="A138" s="250"/>
      <c r="D138" s="1862"/>
      <c r="K138" s="57"/>
      <c r="L138" s="57"/>
    </row>
    <row r="139" spans="1:12" s="1861" customFormat="1">
      <c r="A139" s="250"/>
      <c r="D139" s="1862"/>
      <c r="K139" s="57"/>
      <c r="L139" s="57"/>
    </row>
    <row r="140" spans="1:12" s="1861" customFormat="1">
      <c r="A140" s="250"/>
      <c r="D140" s="1862"/>
      <c r="K140" s="57"/>
      <c r="L140" s="57"/>
    </row>
    <row r="141" spans="1:12" s="1861" customFormat="1">
      <c r="A141" s="250"/>
      <c r="D141" s="1862"/>
      <c r="K141" s="57"/>
      <c r="L141" s="57"/>
    </row>
    <row r="142" spans="1:12" s="1861" customFormat="1">
      <c r="A142" s="250"/>
      <c r="D142" s="1862"/>
      <c r="K142" s="57"/>
      <c r="L142" s="57"/>
    </row>
    <row r="143" spans="1:12" s="1861" customFormat="1">
      <c r="A143" s="250"/>
      <c r="D143" s="1862"/>
      <c r="K143" s="57"/>
      <c r="L143" s="57"/>
    </row>
    <row r="144" spans="1:12" s="1861" customFormat="1">
      <c r="A144" s="250"/>
      <c r="D144" s="1862"/>
      <c r="K144" s="57"/>
      <c r="L144" s="57"/>
    </row>
    <row r="145" spans="1:12" s="1861" customFormat="1">
      <c r="A145" s="250"/>
      <c r="D145" s="1862"/>
      <c r="K145" s="57"/>
      <c r="L145" s="57"/>
    </row>
    <row r="146" spans="1:12" s="1861" customFormat="1">
      <c r="A146" s="250"/>
      <c r="D146" s="1862"/>
      <c r="K146" s="57"/>
      <c r="L146" s="57"/>
    </row>
    <row r="147" spans="1:12" s="1861" customFormat="1">
      <c r="A147" s="250"/>
      <c r="D147" s="1862"/>
      <c r="K147" s="57"/>
      <c r="L147" s="57"/>
    </row>
    <row r="148" spans="1:12" s="1861" customFormat="1">
      <c r="A148" s="250"/>
      <c r="D148" s="1862"/>
      <c r="K148" s="57"/>
      <c r="L148" s="57"/>
    </row>
    <row r="149" spans="1:12" s="1861" customFormat="1">
      <c r="A149" s="250"/>
      <c r="D149" s="1862"/>
      <c r="K149" s="57"/>
      <c r="L149" s="57"/>
    </row>
    <row r="150" spans="1:12" s="1861" customFormat="1">
      <c r="A150" s="250"/>
      <c r="D150" s="1862"/>
      <c r="K150" s="57"/>
      <c r="L150" s="57"/>
    </row>
    <row r="151" spans="1:12" s="1861" customFormat="1">
      <c r="A151" s="250"/>
      <c r="D151" s="1862"/>
      <c r="K151" s="57"/>
      <c r="L151" s="57"/>
    </row>
    <row r="152" spans="1:12" s="1861" customFormat="1">
      <c r="A152" s="250"/>
      <c r="D152" s="1862"/>
      <c r="K152" s="57"/>
      <c r="L152" s="57"/>
    </row>
    <row r="153" spans="1:12" s="1861" customFormat="1">
      <c r="A153" s="250"/>
      <c r="D153" s="1862"/>
      <c r="K153" s="57"/>
      <c r="L153" s="57"/>
    </row>
    <row r="154" spans="1:12" s="1861" customFormat="1">
      <c r="A154" s="250"/>
      <c r="D154" s="1862"/>
      <c r="K154" s="57"/>
      <c r="L154" s="57"/>
    </row>
    <row r="155" spans="1:12" s="1861" customFormat="1">
      <c r="A155" s="250"/>
      <c r="D155" s="1862"/>
      <c r="K155" s="57"/>
      <c r="L155" s="57"/>
    </row>
    <row r="156" spans="1:12" s="1861" customFormat="1">
      <c r="A156" s="250"/>
      <c r="D156" s="1862"/>
      <c r="K156" s="57"/>
      <c r="L156" s="57"/>
    </row>
    <row r="157" spans="1:12" s="1861" customFormat="1">
      <c r="A157" s="250"/>
      <c r="D157" s="1862"/>
      <c r="K157" s="57"/>
      <c r="L157" s="57"/>
    </row>
    <row r="158" spans="1:12" s="1861" customFormat="1">
      <c r="A158" s="250"/>
      <c r="D158" s="1862"/>
      <c r="K158" s="57"/>
      <c r="L158" s="57"/>
    </row>
    <row r="159" spans="1:12" s="1861" customFormat="1">
      <c r="A159" s="250"/>
      <c r="D159" s="1862"/>
      <c r="K159" s="57"/>
      <c r="L159" s="57"/>
    </row>
    <row r="160" spans="1:12" s="1861" customFormat="1">
      <c r="A160" s="250"/>
      <c r="D160" s="1862"/>
      <c r="K160" s="57"/>
      <c r="L160" s="57"/>
    </row>
    <row r="161" spans="1:12" s="1861" customFormat="1">
      <c r="A161" s="250"/>
      <c r="D161" s="1862"/>
      <c r="K161" s="57"/>
      <c r="L161" s="57"/>
    </row>
    <row r="162" spans="1:12" s="1861" customFormat="1">
      <c r="A162" s="250"/>
      <c r="D162" s="1862"/>
      <c r="K162" s="57"/>
      <c r="L162" s="57"/>
    </row>
    <row r="163" spans="1:12" s="1861" customFormat="1">
      <c r="A163" s="250"/>
      <c r="D163" s="1862"/>
      <c r="K163" s="57"/>
      <c r="L163" s="57"/>
    </row>
    <row r="164" spans="1:12" s="1861" customFormat="1">
      <c r="A164" s="250"/>
      <c r="D164" s="1862"/>
      <c r="K164" s="57"/>
      <c r="L164" s="57"/>
    </row>
    <row r="165" spans="1:12" s="1861" customFormat="1">
      <c r="A165" s="250"/>
      <c r="D165" s="1862"/>
      <c r="K165" s="57"/>
      <c r="L165" s="57"/>
    </row>
    <row r="166" spans="1:12" s="1861" customFormat="1">
      <c r="A166" s="250"/>
      <c r="D166" s="1862"/>
      <c r="K166" s="57"/>
      <c r="L166" s="57"/>
    </row>
    <row r="167" spans="1:12" s="1861" customFormat="1">
      <c r="A167" s="250"/>
      <c r="D167" s="1862"/>
      <c r="K167" s="57"/>
      <c r="L167" s="57"/>
    </row>
    <row r="168" spans="1:12" s="1861" customFormat="1">
      <c r="A168" s="250"/>
      <c r="D168" s="1862"/>
      <c r="K168" s="57"/>
      <c r="L168" s="57"/>
    </row>
    <row r="169" spans="1:12" s="1861" customFormat="1">
      <c r="A169" s="250"/>
      <c r="D169" s="1862"/>
      <c r="K169" s="57"/>
      <c r="L169" s="57"/>
    </row>
    <row r="170" spans="1:12" s="1861" customFormat="1">
      <c r="A170" s="250"/>
      <c r="D170" s="1862"/>
      <c r="K170" s="57"/>
      <c r="L170" s="57"/>
    </row>
    <row r="171" spans="1:12" s="1861" customFormat="1">
      <c r="A171" s="250"/>
      <c r="D171" s="1862"/>
      <c r="K171" s="57"/>
      <c r="L171" s="57"/>
    </row>
    <row r="172" spans="1:12" s="1861" customFormat="1">
      <c r="A172" s="250"/>
      <c r="D172" s="1862"/>
      <c r="K172" s="57"/>
      <c r="L172" s="57"/>
    </row>
    <row r="173" spans="1:12" s="1861" customFormat="1">
      <c r="A173" s="250"/>
      <c r="D173" s="1862"/>
      <c r="K173" s="57"/>
      <c r="L173" s="57"/>
    </row>
    <row r="174" spans="1:12" s="1861" customFormat="1">
      <c r="A174" s="250"/>
      <c r="D174" s="1862"/>
      <c r="K174" s="57"/>
      <c r="L174" s="57"/>
    </row>
    <row r="175" spans="1:12" s="1861" customFormat="1">
      <c r="A175" s="250"/>
      <c r="D175" s="1862"/>
      <c r="K175" s="57"/>
      <c r="L175" s="57"/>
    </row>
    <row r="176" spans="1:12" s="1861" customFormat="1">
      <c r="A176" s="250"/>
      <c r="D176" s="1862"/>
      <c r="K176" s="57"/>
      <c r="L176" s="57"/>
    </row>
    <row r="177" spans="1:12" s="1861" customFormat="1">
      <c r="A177" s="250"/>
      <c r="D177" s="1862"/>
      <c r="K177" s="57"/>
      <c r="L177" s="57"/>
    </row>
    <row r="178" spans="1:12" s="1861" customFormat="1">
      <c r="A178" s="250"/>
      <c r="D178" s="1862"/>
      <c r="K178" s="57"/>
      <c r="L178" s="57"/>
    </row>
    <row r="179" spans="1:12" s="1861" customFormat="1">
      <c r="A179" s="250"/>
      <c r="D179" s="1862"/>
      <c r="K179" s="57"/>
      <c r="L179" s="57"/>
    </row>
    <row r="180" spans="1:12" s="1861" customFormat="1">
      <c r="A180" s="250"/>
      <c r="D180" s="1862"/>
      <c r="K180" s="57"/>
      <c r="L180" s="57"/>
    </row>
    <row r="181" spans="1:12" s="1861" customFormat="1">
      <c r="A181" s="250"/>
      <c r="D181" s="1862"/>
      <c r="K181" s="57"/>
      <c r="L181" s="57"/>
    </row>
    <row r="182" spans="1:12" s="1861" customFormat="1">
      <c r="A182" s="250"/>
      <c r="D182" s="1862"/>
      <c r="K182" s="57"/>
      <c r="L182" s="57"/>
    </row>
    <row r="183" spans="1:12" s="1861" customFormat="1">
      <c r="A183" s="250"/>
      <c r="D183" s="1862"/>
      <c r="K183" s="57"/>
      <c r="L183" s="57"/>
    </row>
    <row r="184" spans="1:12" s="1861" customFormat="1">
      <c r="A184" s="250"/>
      <c r="D184" s="1862"/>
      <c r="K184" s="57"/>
      <c r="L184" s="57"/>
    </row>
    <row r="185" spans="1:12" s="1861" customFormat="1">
      <c r="A185" s="250"/>
      <c r="D185" s="1862"/>
      <c r="K185" s="57"/>
      <c r="L185" s="57"/>
    </row>
    <row r="186" spans="1:12" s="1861" customFormat="1">
      <c r="A186" s="250"/>
      <c r="D186" s="1862"/>
      <c r="K186" s="57"/>
      <c r="L186" s="57"/>
    </row>
    <row r="187" spans="1:12" s="1861" customFormat="1">
      <c r="A187" s="250"/>
      <c r="D187" s="1862"/>
      <c r="K187" s="57"/>
      <c r="L187" s="57"/>
    </row>
    <row r="188" spans="1:12" s="1861" customFormat="1">
      <c r="A188" s="250"/>
      <c r="D188" s="1862"/>
      <c r="K188" s="57"/>
      <c r="L188" s="57"/>
    </row>
    <row r="189" spans="1:12" s="1861" customFormat="1">
      <c r="A189" s="250"/>
      <c r="D189" s="1862"/>
      <c r="K189" s="57"/>
      <c r="L189" s="57"/>
    </row>
    <row r="190" spans="1:12" s="1861" customFormat="1">
      <c r="A190" s="250"/>
      <c r="D190" s="1862"/>
      <c r="K190" s="57"/>
      <c r="L190" s="57"/>
    </row>
    <row r="191" spans="1:12" s="1861" customFormat="1">
      <c r="A191" s="250"/>
      <c r="D191" s="1862"/>
      <c r="K191" s="57"/>
      <c r="L191" s="57"/>
    </row>
    <row r="192" spans="1:12" s="1861" customFormat="1">
      <c r="A192" s="250"/>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66" t="s">
        <v>1463</v>
      </c>
      <c r="B1" s="3567"/>
      <c r="C1" s="3567"/>
      <c r="D1" s="3567"/>
      <c r="E1" s="3567"/>
      <c r="F1" s="3567"/>
      <c r="G1" s="3567"/>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0" sqref="I40"/>
    </sheetView>
  </sheetViews>
  <sheetFormatPr defaultColWidth="14.625" defaultRowHeight="13.5"/>
  <cols>
    <col min="1" max="1" width="24.375" style="3094" customWidth="1"/>
    <col min="2" max="16384" width="14.625" style="3094"/>
  </cols>
  <sheetData>
    <row r="1" spans="1:10" ht="16.5">
      <c r="A1" s="3093" t="s">
        <v>2557</v>
      </c>
      <c r="B1" s="3093">
        <f>SUM(B14:B23)</f>
        <v>1790.62</v>
      </c>
      <c r="C1" s="3102"/>
      <c r="D1" s="3102"/>
      <c r="E1" s="3102"/>
      <c r="F1" s="3102"/>
      <c r="G1" s="3103"/>
      <c r="H1" s="3103"/>
      <c r="I1" s="3103"/>
      <c r="J1" s="3103"/>
    </row>
    <row r="2" spans="1:10" ht="16.5">
      <c r="A2" s="3093" t="s">
        <v>2558</v>
      </c>
      <c r="B2" s="3093">
        <f>SUM(C14:C23)</f>
        <v>16450</v>
      </c>
      <c r="C2" s="3102"/>
      <c r="D2" s="3102"/>
      <c r="E2" s="3102"/>
      <c r="F2" s="3102"/>
      <c r="G2" s="3103"/>
      <c r="H2" s="3103"/>
      <c r="I2" s="3103"/>
      <c r="J2" s="3103"/>
    </row>
    <row r="3" spans="1:10" ht="16.5">
      <c r="A3" s="3093" t="s">
        <v>2559</v>
      </c>
      <c r="B3" s="3095">
        <f>项目基本情况!D3</f>
        <v>44819</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SUM(D14:D23)</f>
        <v>2178</v>
      </c>
      <c r="C5" s="3093">
        <f>ROUND(B5*10000/$B$1,0)</f>
        <v>12163</v>
      </c>
      <c r="D5" s="3093">
        <f>ROUND(B5*10000/$B$2,0)</f>
        <v>1324</v>
      </c>
      <c r="E5" s="3102"/>
      <c r="F5" s="3102"/>
      <c r="G5" s="3103"/>
      <c r="H5" s="3103"/>
      <c r="I5" s="3103"/>
      <c r="J5" s="3103"/>
    </row>
    <row r="6" spans="1:10" ht="16.5">
      <c r="A6" s="3093" t="s">
        <v>2565</v>
      </c>
      <c r="B6" s="3093">
        <f>SUM(G14:G23)</f>
        <v>0</v>
      </c>
      <c r="C6" s="3093">
        <f t="shared" ref="C6:C8" si="0">ROUND(B6*10000/$B$1,0)</f>
        <v>0</v>
      </c>
      <c r="D6" s="3093">
        <f t="shared" ref="D6:D8" si="1">ROUND(B6*10000/$B$2,0)</f>
        <v>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1790.62</v>
      </c>
      <c r="C14" s="3099">
        <f>结果表!K38</f>
        <v>16450</v>
      </c>
      <c r="D14" s="3099">
        <f>基准地价系数修正法!O25</f>
        <v>2178</v>
      </c>
      <c r="E14" s="3099">
        <f>ROUND(D14*10000/B14,0)</f>
        <v>12163</v>
      </c>
      <c r="F14" s="3099">
        <f>ROUND(D14*10000/C14,0)</f>
        <v>1324</v>
      </c>
      <c r="G14" s="3099" t="str">
        <f>结果表!C44</f>
        <v>——</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80" zoomScaleNormal="100" zoomScaleSheetLayoutView="80" zoomScalePageLayoutView="80" workbookViewId="0">
      <selection activeCell="D17" sqref="D17"/>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5" t="s">
        <v>1847</v>
      </c>
      <c r="B1" s="1646"/>
      <c r="C1" s="1674" t="s">
        <v>1848</v>
      </c>
      <c r="D1" s="1675"/>
      <c r="E1" s="1674" t="s">
        <v>1849</v>
      </c>
      <c r="F1" s="1676"/>
      <c r="G1" s="308"/>
      <c r="H1" s="308"/>
      <c r="I1" s="308"/>
      <c r="J1" s="1865"/>
      <c r="K1" s="1865"/>
      <c r="L1" s="1865"/>
      <c r="M1" s="1865"/>
      <c r="N1" s="1865"/>
      <c r="O1" s="1865"/>
      <c r="P1" s="1865"/>
      <c r="Q1" s="1865"/>
      <c r="R1" s="1865"/>
      <c r="S1" s="1865"/>
      <c r="T1" s="1865"/>
      <c r="U1" s="1865"/>
      <c r="V1" s="1865"/>
    </row>
    <row r="2" spans="1:22" ht="21.75" customHeight="1" thickBot="1">
      <c r="A2" s="3612" t="str">
        <f>项目基本情况!K2</f>
        <v>出让国有建设用地使用权</v>
      </c>
      <c r="B2" s="3613"/>
      <c r="C2" s="3614"/>
      <c r="D2" s="3614"/>
      <c r="E2" s="3614"/>
      <c r="F2" s="3614"/>
      <c r="G2" s="3613"/>
      <c r="H2" s="3613"/>
      <c r="I2" s="3615"/>
      <c r="J2" s="1866"/>
      <c r="K2" s="1865"/>
      <c r="L2" s="1865"/>
      <c r="M2" s="1865"/>
      <c r="N2" s="1865"/>
      <c r="O2" s="1865"/>
      <c r="P2" s="1865"/>
      <c r="Q2" s="1865"/>
      <c r="R2" s="1865"/>
      <c r="S2" s="1865"/>
      <c r="T2" s="1865"/>
      <c r="U2" s="1865"/>
      <c r="V2" s="1865"/>
    </row>
    <row r="3" spans="1:22" ht="14.25">
      <c r="A3" s="3623" t="s">
        <v>298</v>
      </c>
      <c r="B3" s="3624"/>
      <c r="C3" s="3624"/>
      <c r="D3" s="3624"/>
      <c r="E3" s="3624"/>
      <c r="F3" s="3624"/>
      <c r="G3" s="3624"/>
      <c r="H3" s="3624"/>
      <c r="I3" s="3624"/>
      <c r="J3" s="1866"/>
      <c r="K3" s="1865"/>
      <c r="L3" s="1865"/>
      <c r="M3" s="1865"/>
      <c r="N3" s="1865"/>
      <c r="O3" s="1865"/>
      <c r="P3" s="1865"/>
      <c r="Q3" s="1865"/>
      <c r="R3" s="1865"/>
      <c r="S3" s="1865"/>
      <c r="T3" s="1865"/>
      <c r="U3" s="1865"/>
      <c r="V3" s="1865"/>
    </row>
    <row r="4" spans="1:22" ht="14.25">
      <c r="A4" s="255" t="s">
        <v>299</v>
      </c>
      <c r="B4" s="256" t="s">
        <v>300</v>
      </c>
      <c r="C4" s="257" t="s">
        <v>3294</v>
      </c>
      <c r="D4" s="257" t="s">
        <v>3295</v>
      </c>
      <c r="E4" s="3587" t="s">
        <v>301</v>
      </c>
      <c r="F4" s="3629"/>
      <c r="G4" s="3629"/>
      <c r="H4" s="3629"/>
      <c r="I4" s="3588"/>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16" t="s">
        <v>302</v>
      </c>
      <c r="B5" s="3617">
        <v>25</v>
      </c>
      <c r="C5" s="3625"/>
      <c r="D5" s="3628"/>
      <c r="E5" s="258" t="s">
        <v>303</v>
      </c>
      <c r="F5" s="259"/>
      <c r="G5" s="259"/>
      <c r="H5" s="259"/>
      <c r="I5" s="260"/>
      <c r="J5" s="1866"/>
      <c r="K5" s="1865"/>
      <c r="L5" s="1865"/>
      <c r="M5" s="1865"/>
      <c r="N5" s="1865"/>
      <c r="O5" s="1865"/>
      <c r="P5" s="1865"/>
      <c r="Q5" s="1865"/>
      <c r="R5" s="1865"/>
      <c r="S5" s="1865"/>
      <c r="T5" s="1865"/>
      <c r="U5" s="1865"/>
      <c r="V5" s="1865"/>
    </row>
    <row r="6" spans="1:22" ht="14.25">
      <c r="A6" s="3616"/>
      <c r="B6" s="3617"/>
      <c r="C6" s="3626"/>
      <c r="D6" s="3628"/>
      <c r="E6" s="258" t="s">
        <v>304</v>
      </c>
      <c r="F6" s="259"/>
      <c r="G6" s="259"/>
      <c r="H6" s="259"/>
      <c r="I6" s="260"/>
      <c r="J6" s="1866"/>
      <c r="K6" s="1865"/>
      <c r="L6" s="1865"/>
      <c r="M6" s="1865"/>
      <c r="N6" s="1865"/>
      <c r="O6" s="1865"/>
      <c r="P6" s="1865"/>
      <c r="Q6" s="1865"/>
      <c r="R6" s="1865"/>
      <c r="S6" s="1865"/>
      <c r="T6" s="1865"/>
      <c r="U6" s="1865"/>
      <c r="V6" s="1865"/>
    </row>
    <row r="7" spans="1:22" ht="14.25">
      <c r="A7" s="3616"/>
      <c r="B7" s="3617"/>
      <c r="C7" s="3627"/>
      <c r="D7" s="3628"/>
      <c r="E7" s="258" t="s">
        <v>305</v>
      </c>
      <c r="F7" s="259"/>
      <c r="G7" s="259"/>
      <c r="H7" s="259"/>
      <c r="I7" s="260"/>
      <c r="J7" s="1866"/>
      <c r="K7" s="1865"/>
      <c r="L7" s="1865"/>
      <c r="M7" s="1865"/>
      <c r="N7" s="1865"/>
      <c r="O7" s="1865"/>
      <c r="P7" s="1865"/>
      <c r="Q7" s="1865"/>
      <c r="R7" s="1865"/>
      <c r="S7" s="1865"/>
      <c r="T7" s="1865"/>
      <c r="U7" s="1865"/>
      <c r="V7" s="1865"/>
    </row>
    <row r="8" spans="1:22" ht="14.25">
      <c r="A8" s="3616" t="s">
        <v>306</v>
      </c>
      <c r="B8" s="3617">
        <v>15</v>
      </c>
      <c r="C8" s="3625"/>
      <c r="D8" s="3628"/>
      <c r="E8" s="258" t="s">
        <v>307</v>
      </c>
      <c r="F8" s="259"/>
      <c r="G8" s="259"/>
      <c r="H8" s="259"/>
      <c r="I8" s="260"/>
      <c r="J8" s="1866"/>
      <c r="K8" s="1865"/>
      <c r="L8" s="1865"/>
      <c r="M8" s="1865"/>
      <c r="N8" s="1865"/>
      <c r="O8" s="1865"/>
      <c r="P8" s="1865"/>
      <c r="Q8" s="1865"/>
      <c r="R8" s="1865"/>
      <c r="S8" s="1865"/>
      <c r="T8" s="1865"/>
      <c r="U8" s="1865"/>
      <c r="V8" s="1865"/>
    </row>
    <row r="9" spans="1:22" ht="14.25">
      <c r="A9" s="3616"/>
      <c r="B9" s="3617"/>
      <c r="C9" s="3627"/>
      <c r="D9" s="3628"/>
      <c r="E9" s="258" t="s">
        <v>308</v>
      </c>
      <c r="F9" s="259"/>
      <c r="G9" s="259"/>
      <c r="H9" s="259"/>
      <c r="I9" s="260"/>
      <c r="J9" s="1866"/>
      <c r="K9" s="1865"/>
      <c r="L9" s="1865"/>
      <c r="M9" s="1865"/>
      <c r="N9" s="1865"/>
      <c r="O9" s="1865"/>
      <c r="P9" s="1865"/>
      <c r="Q9" s="1865"/>
      <c r="R9" s="1865"/>
      <c r="S9" s="1865"/>
      <c r="T9" s="1865"/>
      <c r="U9" s="1865"/>
      <c r="V9" s="1865"/>
    </row>
    <row r="10" spans="1:22" ht="14.25">
      <c r="A10" s="3616" t="s">
        <v>309</v>
      </c>
      <c r="B10" s="3617">
        <v>15</v>
      </c>
      <c r="C10" s="3625"/>
      <c r="D10" s="3628"/>
      <c r="E10" s="258" t="s">
        <v>310</v>
      </c>
      <c r="F10" s="259"/>
      <c r="G10" s="259"/>
      <c r="H10" s="259"/>
      <c r="I10" s="260"/>
      <c r="J10" s="1866"/>
      <c r="K10" s="1865"/>
      <c r="L10" s="1865"/>
      <c r="M10" s="1865"/>
      <c r="N10" s="1865"/>
      <c r="O10" s="1865"/>
      <c r="P10" s="1865"/>
      <c r="Q10" s="1865"/>
      <c r="R10" s="1865"/>
      <c r="S10" s="1865"/>
      <c r="T10" s="1865"/>
      <c r="U10" s="1865"/>
      <c r="V10" s="1865"/>
    </row>
    <row r="11" spans="1:22" ht="14.25">
      <c r="A11" s="3616"/>
      <c r="B11" s="3617"/>
      <c r="C11" s="3627"/>
      <c r="D11" s="3628"/>
      <c r="E11" s="258" t="s">
        <v>311</v>
      </c>
      <c r="F11" s="259"/>
      <c r="G11" s="259"/>
      <c r="H11" s="259"/>
      <c r="I11" s="260"/>
      <c r="J11" s="1866"/>
      <c r="K11" s="1865"/>
      <c r="L11" s="1865"/>
      <c r="M11" s="1865"/>
      <c r="N11" s="1865"/>
      <c r="O11" s="1865"/>
      <c r="P11" s="1865"/>
      <c r="Q11" s="1865"/>
      <c r="R11" s="1865"/>
      <c r="S11" s="1865"/>
      <c r="T11" s="1865"/>
      <c r="U11" s="1865"/>
      <c r="V11" s="1865"/>
    </row>
    <row r="12" spans="1:22" ht="14.25">
      <c r="A12" s="3616" t="s">
        <v>312</v>
      </c>
      <c r="B12" s="3617">
        <v>15</v>
      </c>
      <c r="C12" s="3625"/>
      <c r="D12" s="3628"/>
      <c r="E12" s="258" t="s">
        <v>313</v>
      </c>
      <c r="F12" s="259"/>
      <c r="G12" s="259"/>
      <c r="H12" s="259"/>
      <c r="I12" s="260"/>
      <c r="J12" s="1866"/>
      <c r="K12" s="1865"/>
      <c r="L12" s="1865"/>
      <c r="M12" s="1865"/>
      <c r="N12" s="1865"/>
      <c r="O12" s="1865"/>
      <c r="P12" s="1865"/>
      <c r="Q12" s="1865"/>
      <c r="R12" s="1865"/>
      <c r="S12" s="1865"/>
      <c r="T12" s="1865"/>
      <c r="U12" s="1865"/>
      <c r="V12" s="1865"/>
    </row>
    <row r="13" spans="1:22" ht="14.25">
      <c r="A13" s="3616"/>
      <c r="B13" s="3617"/>
      <c r="C13" s="3627"/>
      <c r="D13" s="3628"/>
      <c r="E13" s="258" t="s">
        <v>314</v>
      </c>
      <c r="F13" s="259"/>
      <c r="G13" s="259"/>
      <c r="H13" s="259"/>
      <c r="I13" s="260"/>
      <c r="J13" s="1866"/>
      <c r="K13" s="1865"/>
      <c r="L13" s="1865"/>
      <c r="M13" s="1865"/>
      <c r="N13" s="1865"/>
      <c r="O13" s="1865"/>
      <c r="P13" s="1865"/>
      <c r="Q13" s="1865"/>
      <c r="R13" s="1865"/>
      <c r="S13" s="1865"/>
      <c r="T13" s="1865"/>
      <c r="U13" s="1865"/>
      <c r="V13" s="1865"/>
    </row>
    <row r="14" spans="1:22" ht="14.25">
      <c r="A14" s="3616" t="s">
        <v>315</v>
      </c>
      <c r="B14" s="3617">
        <v>30</v>
      </c>
      <c r="C14" s="3625">
        <v>6</v>
      </c>
      <c r="D14" s="3628">
        <v>4</v>
      </c>
      <c r="E14" s="258" t="s">
        <v>316</v>
      </c>
      <c r="F14" s="259"/>
      <c r="G14" s="259"/>
      <c r="H14" s="259"/>
      <c r="I14" s="260"/>
      <c r="J14" s="1866"/>
      <c r="K14" s="1865"/>
      <c r="L14" s="1865"/>
      <c r="M14" s="1865"/>
      <c r="N14" s="1865"/>
      <c r="O14" s="1865"/>
      <c r="P14" s="1865"/>
      <c r="Q14" s="1865"/>
      <c r="R14" s="1865"/>
      <c r="S14" s="1865"/>
      <c r="T14" s="1865"/>
      <c r="U14" s="1865"/>
      <c r="V14" s="1865"/>
    </row>
    <row r="15" spans="1:22" ht="14.25">
      <c r="A15" s="3616"/>
      <c r="B15" s="3617"/>
      <c r="C15" s="3626"/>
      <c r="D15" s="3628"/>
      <c r="E15" s="258" t="s">
        <v>317</v>
      </c>
      <c r="F15" s="259"/>
      <c r="G15" s="259"/>
      <c r="H15" s="259"/>
      <c r="I15" s="260"/>
      <c r="J15" s="1866"/>
      <c r="K15" s="1865"/>
      <c r="L15" s="1865"/>
      <c r="M15" s="1865"/>
      <c r="N15" s="1865"/>
      <c r="O15" s="1865"/>
      <c r="P15" s="1865"/>
      <c r="Q15" s="1865"/>
      <c r="R15" s="1865"/>
      <c r="S15" s="1865"/>
      <c r="T15" s="1865"/>
      <c r="U15" s="1865"/>
      <c r="V15" s="1865"/>
    </row>
    <row r="16" spans="1:22" ht="14.25">
      <c r="A16" s="3616"/>
      <c r="B16" s="3617"/>
      <c r="C16" s="3627"/>
      <c r="D16" s="3628"/>
      <c r="E16" s="258" t="s">
        <v>318</v>
      </c>
      <c r="F16" s="259"/>
      <c r="G16" s="259"/>
      <c r="H16" s="259"/>
      <c r="I16" s="260"/>
      <c r="J16" s="1866"/>
      <c r="K16" s="1865"/>
      <c r="L16" s="1865"/>
      <c r="M16" s="1865"/>
      <c r="N16" s="1865"/>
      <c r="O16" s="1865"/>
      <c r="P16" s="1865"/>
      <c r="Q16" s="1865"/>
      <c r="R16" s="1865"/>
      <c r="S16" s="1865"/>
      <c r="T16" s="1865"/>
      <c r="U16" s="1865"/>
      <c r="V16" s="1865"/>
    </row>
    <row r="17" spans="1:26" ht="15">
      <c r="A17" s="261" t="s">
        <v>319</v>
      </c>
      <c r="B17" s="142"/>
      <c r="C17" s="262">
        <f>SUM(C5:C16)</f>
        <v>6</v>
      </c>
      <c r="D17" s="262">
        <f>SUM(D5:D16)</f>
        <v>4</v>
      </c>
      <c r="E17" s="308"/>
      <c r="F17" s="308"/>
      <c r="G17" s="308"/>
      <c r="H17" s="308"/>
      <c r="I17" s="308"/>
      <c r="J17" s="1866"/>
      <c r="K17" s="1865"/>
      <c r="L17" s="1865"/>
      <c r="M17" s="1865"/>
      <c r="N17" s="1865"/>
      <c r="O17" s="1865"/>
      <c r="P17" s="1865"/>
      <c r="Q17" s="1865"/>
      <c r="R17" s="1865"/>
      <c r="S17" s="1865"/>
      <c r="T17" s="1865"/>
      <c r="U17" s="1865"/>
      <c r="V17" s="1865"/>
    </row>
    <row r="18" spans="1:26" ht="32.450000000000003" customHeight="1" thickBot="1">
      <c r="A18" s="263" t="s">
        <v>320</v>
      </c>
      <c r="B18" s="105"/>
      <c r="C18" s="264">
        <f>ROUND(C17/SUM(C17:D17),2)</f>
        <v>0.6</v>
      </c>
      <c r="D18" s="264">
        <f>1-C18</f>
        <v>0.4</v>
      </c>
      <c r="E18" s="3630" t="s">
        <v>2695</v>
      </c>
      <c r="F18" s="3631"/>
      <c r="G18" s="3631"/>
      <c r="H18" s="3631"/>
      <c r="I18" s="3631"/>
      <c r="J18" s="1865"/>
      <c r="K18" s="1865"/>
      <c r="L18" s="1865"/>
      <c r="M18" s="1865"/>
      <c r="N18" s="1865"/>
      <c r="O18" s="1865"/>
      <c r="P18" s="1865"/>
      <c r="Q18" s="1865"/>
      <c r="R18" s="1865"/>
      <c r="S18" s="1865"/>
      <c r="T18" s="1865"/>
      <c r="U18" s="1865"/>
      <c r="V18" s="1865"/>
    </row>
    <row r="19" spans="1:26" ht="15">
      <c r="A19" s="265" t="s">
        <v>321</v>
      </c>
      <c r="B19" s="266" t="s">
        <v>322</v>
      </c>
      <c r="C19" s="267">
        <f ca="1">SUMIF(INDIRECT("'"&amp;C4&amp;"'"&amp;"!A:A"),结果表!B19,INDIRECT("'"&amp;C4&amp;"'"&amp;"!B:B"))</f>
        <v>2456</v>
      </c>
      <c r="D19" s="268">
        <f ca="1">SUMIF(INDIRECT("'"&amp;D4&amp;"'"&amp;"!A:A"),结果表!B19,INDIRECT("'"&amp;D4&amp;"'"&amp;"!B:B"))</f>
        <v>1762</v>
      </c>
      <c r="E19" s="265" t="s">
        <v>323</v>
      </c>
      <c r="F19" s="266" t="s">
        <v>322</v>
      </c>
      <c r="G19" s="269">
        <f ca="1">ROUND(C19*$C$18+D19*$D$18,0)</f>
        <v>2178</v>
      </c>
      <c r="H19" s="270" t="s">
        <v>324</v>
      </c>
      <c r="I19" s="308"/>
      <c r="J19" s="1865"/>
      <c r="K19" s="1865"/>
      <c r="L19" s="1865"/>
      <c r="M19" s="1865"/>
      <c r="N19" s="1865"/>
      <c r="O19" s="1865"/>
      <c r="P19" s="1865"/>
      <c r="Q19" s="1865"/>
      <c r="R19" s="1865"/>
      <c r="S19" s="1865"/>
      <c r="T19" s="1865"/>
      <c r="U19" s="1865"/>
      <c r="V19" s="1865"/>
    </row>
    <row r="20" spans="1:26" ht="15">
      <c r="A20" s="271"/>
      <c r="B20" s="272" t="s">
        <v>325</v>
      </c>
      <c r="C20" s="273">
        <f ca="1">SUMIF(INDIRECT("'"&amp;C4&amp;"'"&amp;"!A:A"),结果表!B20,INDIRECT("'"&amp;C4&amp;"'"&amp;"!B:B"))</f>
        <v>13716</v>
      </c>
      <c r="D20" s="274">
        <f ca="1">SUMIF(INDIRECT("'"&amp;D4&amp;"'"&amp;"!A:A"),结果表!B20,INDIRECT("'"&amp;D4&amp;"'"&amp;"!B:B"))</f>
        <v>9840</v>
      </c>
      <c r="E20" s="271"/>
      <c r="F20" s="272" t="s">
        <v>325</v>
      </c>
      <c r="G20" s="275">
        <f ca="1">ROUND(C20*$C$18+D20*$D$18,0)</f>
        <v>12166</v>
      </c>
      <c r="H20" s="276" t="s">
        <v>326</v>
      </c>
      <c r="I20" s="308"/>
      <c r="J20" s="1865"/>
      <c r="K20" s="1865"/>
      <c r="L20" s="1865"/>
      <c r="M20" s="1865"/>
      <c r="N20" s="1865"/>
      <c r="O20" s="1865"/>
      <c r="P20" s="1865"/>
      <c r="Q20" s="1865"/>
      <c r="R20" s="1865"/>
      <c r="S20" s="1865"/>
      <c r="T20" s="1865"/>
      <c r="U20" s="1865"/>
      <c r="V20" s="1865"/>
    </row>
    <row r="21" spans="1:26" ht="15" customHeight="1">
      <c r="A21" s="271"/>
      <c r="B21" s="277" t="s">
        <v>327</v>
      </c>
      <c r="C21" s="278">
        <f ca="1">SUMIF(INDIRECT("'"&amp;C4&amp;"'"&amp;"!A:A"),结果表!B21,INDIRECT("'"&amp;C4&amp;"'"&amp;"!B:B"))</f>
        <v>1493</v>
      </c>
      <c r="D21" s="149">
        <f ca="1">SUMIF(INDIRECT("'"&amp;D4&amp;"'"&amp;"!A:A"),结果表!B21,INDIRECT("'"&amp;D4&amp;"'"&amp;"!B:B"))</f>
        <v>1071</v>
      </c>
      <c r="E21" s="271"/>
      <c r="F21" s="277" t="s">
        <v>327</v>
      </c>
      <c r="G21" s="279">
        <f ca="1">ROUND(C21*$C$18+D21*$D$18,0)</f>
        <v>1324</v>
      </c>
      <c r="H21" s="1168" t="s">
        <v>326</v>
      </c>
      <c r="I21" s="308"/>
      <c r="J21" s="1865"/>
      <c r="K21" s="1865"/>
      <c r="L21" s="1865"/>
      <c r="M21" s="1865"/>
      <c r="N21" s="1865"/>
      <c r="O21" s="1865"/>
      <c r="P21" s="1865"/>
      <c r="Q21" s="1865"/>
      <c r="R21" s="1865"/>
      <c r="S21" s="1865"/>
      <c r="T21" s="1865"/>
      <c r="U21" s="1865"/>
      <c r="V21" s="1865"/>
    </row>
    <row r="22" spans="1:26" ht="15.75" thickBot="1">
      <c r="A22" s="126" t="s">
        <v>328</v>
      </c>
      <c r="B22" s="1169"/>
      <c r="C22" s="1170"/>
      <c r="D22" s="280">
        <f ca="1">IF(C19&lt;D19,D19/C19-1,C19/D19-1)</f>
        <v>0.39387060158910336</v>
      </c>
      <c r="E22" s="281"/>
      <c r="F22" s="282"/>
      <c r="G22" s="283">
        <f ca="1">ROUND(G19/('数据-汇总表'!D3/666.67),0)</f>
        <v>88</v>
      </c>
      <c r="H22" s="284" t="s">
        <v>329</v>
      </c>
      <c r="I22" s="308"/>
      <c r="J22" s="1865"/>
      <c r="K22" s="1865"/>
      <c r="L22" s="1865"/>
      <c r="M22" s="1865"/>
      <c r="N22" s="1865"/>
      <c r="O22" s="1865"/>
      <c r="P22" s="1865"/>
      <c r="Q22" s="1865"/>
      <c r="R22" s="1865"/>
      <c r="S22" s="1865"/>
      <c r="T22" s="1865"/>
      <c r="U22" s="1865"/>
      <c r="V22" s="1865"/>
    </row>
    <row r="23" spans="1:26" ht="13.5" thickBot="1">
      <c r="A23" s="308"/>
      <c r="B23" s="308"/>
      <c r="C23" s="308"/>
      <c r="D23" s="308"/>
      <c r="E23" s="308"/>
      <c r="F23" s="308"/>
      <c r="G23" s="308"/>
      <c r="H23" s="308"/>
      <c r="I23" s="308"/>
      <c r="J23" s="1865"/>
      <c r="K23" s="1865"/>
      <c r="L23" s="1865"/>
      <c r="M23" s="1865"/>
      <c r="N23" s="1865"/>
      <c r="O23" s="1865"/>
      <c r="P23" s="1865"/>
      <c r="Q23" s="1865"/>
      <c r="R23" s="1865"/>
      <c r="S23" s="1865"/>
      <c r="T23" s="1865"/>
      <c r="U23" s="1865"/>
      <c r="V23" s="1865"/>
    </row>
    <row r="24" spans="1:26" ht="15" thickBot="1">
      <c r="A24" s="3589" t="s">
        <v>330</v>
      </c>
      <c r="B24" s="266" t="s">
        <v>322</v>
      </c>
      <c r="C24" s="285">
        <f>IF(B30=0,0,D30)</f>
        <v>0</v>
      </c>
      <c r="D24" s="286"/>
      <c r="E24" s="308"/>
      <c r="F24" s="308"/>
      <c r="G24" s="308"/>
      <c r="H24" s="308"/>
      <c r="I24" s="308"/>
      <c r="J24" s="1865"/>
      <c r="K24" s="1865"/>
      <c r="L24" s="1865"/>
      <c r="M24" s="1865"/>
      <c r="N24" s="1865"/>
      <c r="O24" s="1865"/>
      <c r="P24" s="1865"/>
      <c r="Q24" s="1865"/>
      <c r="R24" s="1865"/>
      <c r="S24" s="1865"/>
      <c r="T24" s="1865"/>
      <c r="U24" s="1865"/>
      <c r="V24" s="1865"/>
    </row>
    <row r="25" spans="1:26" ht="18">
      <c r="A25" s="3636"/>
      <c r="B25" s="1238" t="s">
        <v>331</v>
      </c>
      <c r="C25" s="287">
        <f>IF(B30=0,0,C30)</f>
        <v>0</v>
      </c>
      <c r="D25" s="288"/>
      <c r="E25" s="308"/>
      <c r="F25" s="308"/>
      <c r="G25" s="308"/>
      <c r="H25" s="308"/>
      <c r="I25" s="308"/>
      <c r="J25" s="1865"/>
      <c r="K25" s="1172" t="str">
        <f ca="1">项目基本情况!B16&amp;"国有建设用地使用权价格："&amp;O38&amp;"万元"</f>
        <v>出让国有建设用地使用权价格：2178万元</v>
      </c>
      <c r="L25" s="1173"/>
      <c r="M25" s="1173"/>
      <c r="N25" s="1173"/>
      <c r="O25" s="1174"/>
      <c r="P25" s="1865"/>
      <c r="Q25" s="1865"/>
      <c r="R25" s="1865"/>
      <c r="S25" s="1865"/>
      <c r="T25" s="1865"/>
      <c r="U25" s="1865"/>
      <c r="V25" s="1865"/>
    </row>
    <row r="26" spans="1:26" s="1171" customFormat="1" ht="18">
      <c r="A26" s="290" t="s">
        <v>332</v>
      </c>
      <c r="B26" s="291" t="s">
        <v>333</v>
      </c>
      <c r="C26" s="291" t="s">
        <v>334</v>
      </c>
      <c r="D26" s="292" t="s">
        <v>335</v>
      </c>
      <c r="E26" s="308"/>
      <c r="F26" s="308"/>
      <c r="G26" s="308"/>
      <c r="H26" s="308"/>
      <c r="I26" s="308"/>
      <c r="J26" s="1865"/>
      <c r="K26" s="1175" t="str">
        <f ca="1">"大写金额：人民币"&amp;NUMBERSTRING(INT(O38*10000),2)&amp;"元整"</f>
        <v>大写金额：人民币贰仟壹佰柒拾捌万元整</v>
      </c>
      <c r="L26" s="1169"/>
      <c r="M26" s="1169"/>
      <c r="N26" s="1169"/>
      <c r="O26" s="1168"/>
      <c r="P26" s="1865"/>
      <c r="Q26" s="1865"/>
      <c r="R26" s="1865"/>
      <c r="S26" s="1865"/>
      <c r="T26" s="1865"/>
      <c r="U26" s="1865"/>
      <c r="V26" s="1865"/>
      <c r="W26" s="289"/>
      <c r="X26" s="289"/>
      <c r="Y26" s="289"/>
      <c r="Z26" s="289"/>
    </row>
    <row r="27" spans="1:26" ht="18">
      <c r="A27" s="290"/>
      <c r="B27" s="291"/>
      <c r="C27" s="291"/>
      <c r="D27" s="292"/>
      <c r="E27" s="308"/>
      <c r="F27" s="308"/>
      <c r="G27" s="308"/>
      <c r="H27" s="308"/>
      <c r="I27" s="308"/>
      <c r="J27" s="1865"/>
      <c r="K27" s="1175" t="str">
        <f ca="1">"单位面积地价："&amp;M38&amp;"元/平方米"</f>
        <v>单位面积地价：1324元/平方米</v>
      </c>
      <c r="L27" s="1169"/>
      <c r="M27" s="1169"/>
      <c r="N27" s="1169"/>
      <c r="O27" s="1168"/>
      <c r="P27" s="1865"/>
      <c r="Q27" s="1865"/>
      <c r="R27" s="1865"/>
      <c r="S27" s="1865"/>
      <c r="T27" s="1865"/>
      <c r="U27" s="1865"/>
      <c r="V27" s="1865"/>
    </row>
    <row r="28" spans="1:26" ht="18.75" customHeight="1">
      <c r="A28" s="290"/>
      <c r="B28" s="291"/>
      <c r="C28" s="291"/>
      <c r="D28" s="292"/>
      <c r="E28" s="308"/>
      <c r="F28" s="308"/>
      <c r="G28" s="308"/>
      <c r="H28" s="308"/>
      <c r="I28" s="308"/>
      <c r="J28" s="1865"/>
      <c r="K28" s="1175" t="str">
        <f ca="1">"楼面地价："&amp;N38&amp;"元/平方米"</f>
        <v>楼面地价：12163元/平方米</v>
      </c>
      <c r="L28" s="1169"/>
      <c r="M28" s="1169"/>
      <c r="N28" s="1169"/>
      <c r="O28" s="1168"/>
      <c r="P28" s="1865"/>
      <c r="V28" s="1865"/>
    </row>
    <row r="29" spans="1:26" ht="18">
      <c r="A29" s="290"/>
      <c r="B29" s="291"/>
      <c r="C29" s="291"/>
      <c r="D29" s="292"/>
      <c r="E29" s="308"/>
      <c r="F29" s="308"/>
      <c r="G29" s="308"/>
      <c r="H29" s="308"/>
      <c r="I29" s="308"/>
      <c r="J29" s="1865"/>
      <c r="K29" s="1175" t="str">
        <f>IF(OR(项目基本情况!E8="抵押价格",项目基本情况!E8="已注销及未注销"),"抵押价格："&amp;O39&amp;"万元","——")</f>
        <v>——</v>
      </c>
      <c r="L29" s="1169"/>
      <c r="M29" s="1169"/>
      <c r="N29" s="1169"/>
      <c r="O29" s="1168"/>
      <c r="P29" s="1865"/>
      <c r="V29" s="1865"/>
    </row>
    <row r="30" spans="1:26" ht="18.75" thickBot="1">
      <c r="A30" s="2718" t="s">
        <v>336</v>
      </c>
      <c r="B30" s="306"/>
      <c r="C30" s="306"/>
      <c r="D30" s="307"/>
      <c r="E30" s="2911" t="s">
        <v>2696</v>
      </c>
      <c r="F30" s="308"/>
      <c r="G30" s="308"/>
      <c r="H30" s="308"/>
      <c r="I30" s="308"/>
      <c r="J30" s="1865"/>
      <c r="K30" s="1175" t="str">
        <f>IF(K29="——","——","大写金额：人民币"&amp;NUMBERSTRING(INT(O39*10000),2)&amp;"元整")</f>
        <v>——</v>
      </c>
      <c r="L30" s="1169"/>
      <c r="M30" s="1169"/>
      <c r="N30" s="1169"/>
      <c r="O30" s="1168"/>
      <c r="P30" s="1865"/>
      <c r="V30" s="1865"/>
    </row>
    <row r="31" spans="1:26" ht="24" customHeight="1" thickBot="1">
      <c r="A31" s="3632" t="s">
        <v>2697</v>
      </c>
      <c r="B31" s="3632"/>
      <c r="C31" s="3632"/>
      <c r="D31" s="3632"/>
      <c r="E31" s="3632"/>
      <c r="F31" s="3632"/>
      <c r="G31" s="3632"/>
      <c r="H31" s="3632"/>
      <c r="I31" s="3632"/>
      <c r="J31" s="1865"/>
      <c r="K31" s="2276" t="str">
        <f>IF(项目基本情况!E8="抵押价格","——","抵押担保权已注销时的抵押价格："&amp;O40&amp;"万元")</f>
        <v>抵押担保权已注销时的抵押价格：——万元</v>
      </c>
      <c r="L31" s="2272"/>
      <c r="M31" s="2272"/>
      <c r="N31" s="2272"/>
      <c r="O31" s="2273"/>
      <c r="P31" s="1865"/>
      <c r="V31" s="1865"/>
    </row>
    <row r="32" spans="1:26" ht="19.5" thickTop="1" thickBot="1">
      <c r="A32" s="271" t="s">
        <v>337</v>
      </c>
      <c r="B32" s="2912" t="s">
        <v>1488</v>
      </c>
      <c r="C32" s="263">
        <f ca="1">G19-C24</f>
        <v>2178</v>
      </c>
      <c r="D32" s="2913" t="s">
        <v>1489</v>
      </c>
      <c r="E32" s="308"/>
      <c r="F32" s="308"/>
      <c r="G32" s="308"/>
      <c r="H32" s="308"/>
      <c r="I32" s="308"/>
      <c r="J32" s="1865"/>
      <c r="K32" s="2271" t="e">
        <f>IF(K31="——","——","大写金额：人民币"&amp;NUMBERSTRING(INT(O40*10000),2)&amp;"元整")</f>
        <v>#VALUE!</v>
      </c>
      <c r="L32" s="2274"/>
      <c r="M32" s="2274"/>
      <c r="N32" s="2274"/>
      <c r="O32" s="2275"/>
      <c r="P32" s="1865"/>
      <c r="V32" s="1865"/>
    </row>
    <row r="33" spans="1:26" ht="18.75" thickBot="1">
      <c r="A33" s="295" t="s">
        <v>340</v>
      </c>
      <c r="B33" s="1288" t="s">
        <v>1490</v>
      </c>
      <c r="C33" s="261">
        <f ca="1">ROUND(C32*10000/'数据-汇总表'!E3,0)</f>
        <v>12163</v>
      </c>
      <c r="D33" s="1289" t="s">
        <v>1491</v>
      </c>
      <c r="E33" s="3589" t="s">
        <v>338</v>
      </c>
      <c r="F33" s="293" t="s">
        <v>339</v>
      </c>
      <c r="G33" s="294"/>
      <c r="H33" s="950"/>
      <c r="I33" s="1176"/>
      <c r="J33" s="1865"/>
      <c r="K33" s="1175" t="str">
        <f>IF(项目基本情况!E9="——","——","抵押净值："&amp;C46&amp;"万元")</f>
        <v>抵押净值：——万元</v>
      </c>
      <c r="L33" s="1169"/>
      <c r="M33" s="1169"/>
      <c r="N33" s="1169"/>
      <c r="O33" s="1168"/>
      <c r="P33" s="1865"/>
      <c r="V33" s="1865"/>
    </row>
    <row r="34" spans="1:26" s="1171" customFormat="1" ht="18.75" thickBot="1">
      <c r="A34" s="297"/>
      <c r="B34" s="1290" t="s">
        <v>1492</v>
      </c>
      <c r="C34" s="261">
        <f ca="1">ROUND(C32*10000/'数据-汇总表'!D3,0)</f>
        <v>1324</v>
      </c>
      <c r="D34" s="1291" t="s">
        <v>1491</v>
      </c>
      <c r="E34" s="3590"/>
      <c r="F34" s="127" t="s">
        <v>341</v>
      </c>
      <c r="G34" s="296"/>
      <c r="H34" s="105"/>
      <c r="I34" s="308"/>
      <c r="J34" s="1865"/>
      <c r="K34" s="1178" t="e">
        <f>IF(K33="——","——","大写金额：人民币"&amp;NUMBERSTRING(INT(O41*10000),2)&amp;"元整")</f>
        <v>#VALUE!</v>
      </c>
      <c r="L34" s="1179"/>
      <c r="M34" s="1179"/>
      <c r="N34" s="1179"/>
      <c r="O34" s="1180"/>
      <c r="P34" s="1865"/>
      <c r="Q34" s="289"/>
      <c r="R34" s="289"/>
      <c r="S34" s="289"/>
      <c r="T34" s="289"/>
      <c r="U34" s="289"/>
      <c r="V34" s="1865"/>
      <c r="W34" s="289"/>
      <c r="X34" s="289"/>
      <c r="Y34" s="289"/>
      <c r="Z34" s="289"/>
    </row>
    <row r="35" spans="1:26" ht="15.75" thickBot="1">
      <c r="A35" s="281"/>
      <c r="B35" s="1292"/>
      <c r="C35" s="1293">
        <f ca="1">ROUND(C32/('数据-汇总表'!D3/666.67),0)</f>
        <v>88</v>
      </c>
      <c r="D35" s="1294" t="s">
        <v>1493</v>
      </c>
      <c r="E35" s="3591"/>
      <c r="F35" s="298" t="s">
        <v>342</v>
      </c>
      <c r="G35" s="952"/>
      <c r="H35" s="951" t="s">
        <v>343</v>
      </c>
      <c r="I35" s="308"/>
      <c r="J35" s="1865"/>
      <c r="K35" s="3595" t="s">
        <v>350</v>
      </c>
      <c r="L35" s="3595" t="s">
        <v>351</v>
      </c>
      <c r="M35" s="1181" t="s">
        <v>352</v>
      </c>
      <c r="N35" s="3595" t="s">
        <v>353</v>
      </c>
      <c r="O35" s="3595" t="s">
        <v>354</v>
      </c>
      <c r="P35" s="1865"/>
      <c r="V35" s="1865"/>
    </row>
    <row r="36" spans="1:26" ht="16.5" customHeight="1">
      <c r="A36" s="300" t="s">
        <v>344</v>
      </c>
      <c r="B36" s="301" t="s">
        <v>333</v>
      </c>
      <c r="C36" s="302" t="s">
        <v>345</v>
      </c>
      <c r="D36" s="302" t="s">
        <v>346</v>
      </c>
      <c r="E36" s="303" t="s">
        <v>347</v>
      </c>
      <c r="F36" s="308"/>
      <c r="G36" s="308"/>
      <c r="H36" s="308"/>
      <c r="I36" s="308"/>
      <c r="J36" s="1867"/>
      <c r="K36" s="3596"/>
      <c r="L36" s="3596"/>
      <c r="M36" s="1183" t="s">
        <v>355</v>
      </c>
      <c r="N36" s="3596"/>
      <c r="O36" s="3596"/>
      <c r="P36" s="1865"/>
      <c r="V36" s="1865"/>
    </row>
    <row r="37" spans="1:26" ht="16.5" customHeight="1" thickBot="1">
      <c r="A37" s="1177" t="s">
        <v>348</v>
      </c>
      <c r="B37" s="304"/>
      <c r="C37" s="291"/>
      <c r="D37" s="291"/>
      <c r="E37" s="292"/>
      <c r="F37" s="308"/>
      <c r="G37" s="308"/>
      <c r="H37" s="308"/>
      <c r="I37" s="308"/>
      <c r="J37" s="1867"/>
      <c r="K37" s="3597"/>
      <c r="L37" s="3597"/>
      <c r="M37" s="1184"/>
      <c r="N37" s="3597"/>
      <c r="O37" s="3597"/>
      <c r="P37" s="1865"/>
      <c r="V37" s="1865"/>
    </row>
    <row r="38" spans="1:26" ht="16.5" customHeight="1" thickBot="1">
      <c r="A38" s="1177" t="s">
        <v>349</v>
      </c>
      <c r="B38" s="304"/>
      <c r="C38" s="291"/>
      <c r="D38" s="291"/>
      <c r="E38" s="292"/>
      <c r="F38" s="308"/>
      <c r="G38" s="308"/>
      <c r="H38" s="308"/>
      <c r="I38" s="308"/>
      <c r="J38" s="1867"/>
      <c r="K38" s="1185">
        <f>'数据-汇总表'!D3</f>
        <v>16450</v>
      </c>
      <c r="L38" s="1186">
        <f>'数据-汇总表'!E3</f>
        <v>1790.62</v>
      </c>
      <c r="M38" s="1186">
        <f ca="1">C34</f>
        <v>1324</v>
      </c>
      <c r="N38" s="1186">
        <f ca="1">C33</f>
        <v>12163</v>
      </c>
      <c r="O38" s="1187">
        <f ca="1">C32</f>
        <v>2178</v>
      </c>
      <c r="P38" s="1865"/>
      <c r="V38" s="1865"/>
    </row>
    <row r="39" spans="1:26" ht="16.5" customHeight="1" thickBot="1">
      <c r="A39" s="1182"/>
      <c r="B39" s="305"/>
      <c r="C39" s="306"/>
      <c r="D39" s="306"/>
      <c r="E39" s="307"/>
      <c r="F39" s="308"/>
      <c r="G39" s="308"/>
      <c r="H39" s="308"/>
      <c r="I39" s="308"/>
      <c r="J39" s="1867"/>
      <c r="K39" s="3608" t="str">
        <f>MID(A44,3,LEN(A44)-2)</f>
        <v/>
      </c>
      <c r="L39" s="3609"/>
      <c r="M39" s="3609"/>
      <c r="N39" s="3610"/>
      <c r="O39" s="1296" t="str">
        <f>C44</f>
        <v>——</v>
      </c>
      <c r="P39" s="1865"/>
      <c r="V39" s="1865"/>
    </row>
    <row r="40" spans="1:26" ht="19.5" thickBot="1">
      <c r="A40" s="104" t="s">
        <v>852</v>
      </c>
      <c r="B40" s="308"/>
      <c r="C40" s="308"/>
      <c r="D40" s="308"/>
      <c r="E40" s="308"/>
      <c r="F40" s="308"/>
      <c r="G40" s="308"/>
      <c r="H40" s="308"/>
      <c r="I40" s="308"/>
      <c r="J40" s="1867"/>
      <c r="K40" s="3608" t="str">
        <f t="shared" ref="K40:K41" si="0">MID(A45,3,LEN(A45)-2)</f>
        <v/>
      </c>
      <c r="L40" s="3609"/>
      <c r="M40" s="3609"/>
      <c r="N40" s="3610"/>
      <c r="O40" s="1296" t="str">
        <f>C45</f>
        <v>——</v>
      </c>
      <c r="P40" s="1865"/>
      <c r="V40" s="1865"/>
    </row>
    <row r="41" spans="1:26" ht="16.5" thickBot="1">
      <c r="A41" s="309" t="s">
        <v>356</v>
      </c>
      <c r="B41" s="310"/>
      <c r="C41" s="311" t="s">
        <v>357</v>
      </c>
      <c r="D41" s="312" t="s">
        <v>358</v>
      </c>
      <c r="E41" s="312" t="s">
        <v>359</v>
      </c>
      <c r="F41" s="313" t="s">
        <v>360</v>
      </c>
      <c r="G41" s="308"/>
      <c r="H41" s="308"/>
      <c r="I41" s="308"/>
      <c r="J41" s="1867"/>
      <c r="K41" s="3608" t="str">
        <f t="shared" si="0"/>
        <v/>
      </c>
      <c r="L41" s="3609"/>
      <c r="M41" s="3609"/>
      <c r="N41" s="3610"/>
      <c r="O41" s="1296" t="str">
        <f>C46</f>
        <v>——</v>
      </c>
      <c r="P41" s="1865"/>
      <c r="V41" s="1865"/>
    </row>
    <row r="42" spans="1:26" ht="29.25">
      <c r="A42" s="3637" t="s">
        <v>1859</v>
      </c>
      <c r="B42" s="3638"/>
      <c r="C42" s="261">
        <f ca="1">C32</f>
        <v>2178</v>
      </c>
      <c r="D42" s="314">
        <f ca="1">C33</f>
        <v>12163</v>
      </c>
      <c r="E42" s="314">
        <f ca="1">C34</f>
        <v>1324</v>
      </c>
      <c r="F42" s="315">
        <f ca="1">C35</f>
        <v>88</v>
      </c>
      <c r="G42" s="308"/>
      <c r="H42" s="308"/>
      <c r="I42" s="316"/>
      <c r="J42" s="1867"/>
      <c r="K42" s="1188" t="s">
        <v>361</v>
      </c>
      <c r="L42" s="1884" t="s">
        <v>362</v>
      </c>
      <c r="M42" s="1189" t="s">
        <v>363</v>
      </c>
      <c r="N42" s="1885" t="s">
        <v>364</v>
      </c>
      <c r="O42" s="1886" t="s">
        <v>365</v>
      </c>
      <c r="P42" s="1865"/>
      <c r="V42" s="1865"/>
    </row>
    <row r="43" spans="1:26" ht="30">
      <c r="A43" s="3647" t="s">
        <v>2447</v>
      </c>
      <c r="B43" s="3648"/>
      <c r="C43" s="261">
        <f>IF(H33="正常操作",G33+G34+G35,G34+G35)</f>
        <v>0</v>
      </c>
      <c r="D43" s="314" t="s">
        <v>43</v>
      </c>
      <c r="E43" s="314" t="s">
        <v>44</v>
      </c>
      <c r="F43" s="315" t="s">
        <v>44</v>
      </c>
      <c r="G43" s="2505" t="s">
        <v>931</v>
      </c>
      <c r="H43" s="308"/>
      <c r="I43" s="316"/>
      <c r="J43" s="1867"/>
      <c r="K43" s="1190" t="str">
        <f>C4</f>
        <v>比较法-住宅、综合</v>
      </c>
      <c r="L43" s="1191">
        <f ca="1">IF(L42="估价结果/万元",C19,C20)</f>
        <v>2456</v>
      </c>
      <c r="M43" s="1192">
        <f>C18</f>
        <v>0.6</v>
      </c>
      <c r="N43" s="1193">
        <f ca="1">IF(N42="测算结果/万元",G19,G20)</f>
        <v>2178</v>
      </c>
      <c r="O43" s="1194">
        <f ca="1">IF(O42="最终结果/万元",C32,C33)</f>
        <v>2178</v>
      </c>
      <c r="P43" s="1865"/>
      <c r="V43" s="1865"/>
    </row>
    <row r="44" spans="1:26" ht="30.75" thickBot="1">
      <c r="A44" s="3637" t="str">
        <f>IF(OR(项目基本情况!E8="抵押价格",项目基本情况!E8="已注销及未注销"),"3.抵押价格","——")</f>
        <v>——</v>
      </c>
      <c r="B44" s="3638"/>
      <c r="C44" s="261" t="str">
        <f>IF(A44="——","——",C42-C43)</f>
        <v>——</v>
      </c>
      <c r="D44" s="314" t="e">
        <f>ROUND(C44*10000/'数据-汇总表'!E3,0)</f>
        <v>#VALUE!</v>
      </c>
      <c r="E44" s="314" t="e">
        <f>ROUND(C44*10000/'数据-汇总表'!D3,0)</f>
        <v>#VALUE!</v>
      </c>
      <c r="F44" s="315" t="e">
        <f>ROUND(C44/('数据-汇总表'!D3/666.67),0)</f>
        <v>#VALUE!</v>
      </c>
      <c r="G44" s="308"/>
      <c r="H44" s="308"/>
      <c r="I44" s="316"/>
      <c r="J44" s="1867"/>
      <c r="K44" s="1195" t="str">
        <f>D4</f>
        <v>剩余法-待开发</v>
      </c>
      <c r="L44" s="1196">
        <f ca="1">IF(L42="估价结果/万元",D19,D20)</f>
        <v>1762</v>
      </c>
      <c r="M44" s="1197">
        <f>D18</f>
        <v>0.4</v>
      </c>
      <c r="N44" s="1198"/>
      <c r="O44" s="1199"/>
      <c r="P44" s="1865"/>
      <c r="V44" s="1865"/>
    </row>
    <row r="45" spans="1:26" ht="15">
      <c r="A45" s="3642" t="str">
        <f>IF(项目基本情况!E8="已注销及未注销","4.抵押担保权已注销时的抵押价格",IF(项目基本情况!E8="已注销","3.抵押担保权已注销时的抵押价格","——"))</f>
        <v>——</v>
      </c>
      <c r="B45" s="3643"/>
      <c r="C45" s="167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7"/>
      <c r="K45" s="1865"/>
      <c r="L45" s="1865"/>
      <c r="M45" s="1865"/>
      <c r="N45" s="1865"/>
      <c r="O45" s="1865"/>
      <c r="P45" s="1865"/>
      <c r="V45" s="1865"/>
    </row>
    <row r="46" spans="1:26" ht="15.75" thickBot="1">
      <c r="A46" s="3639" t="str">
        <f>IF(项目基本情况!E9="抵押净值",IF(A45="——","4.抵押净值","5.抵押净值"),"——")</f>
        <v>——</v>
      </c>
      <c r="B46" s="3640"/>
      <c r="C46" s="317" t="str">
        <f>IF(A46="——","——",O79)</f>
        <v>——</v>
      </c>
      <c r="D46" s="314" t="e">
        <f>ROUND(C46*10000/'数据-汇总表'!E3,0)</f>
        <v>#VALUE!</v>
      </c>
      <c r="E46" s="314" t="e">
        <f>ROUND(C46*10000/'数据-汇总表'!D3,0)</f>
        <v>#VALUE!</v>
      </c>
      <c r="F46" s="315" t="e">
        <f>ROUND(C46/('数据-汇总表'!D3/666.67),0)</f>
        <v>#VALUE!</v>
      </c>
      <c r="G46" s="308"/>
      <c r="H46" s="308"/>
      <c r="I46" s="316"/>
      <c r="J46" s="1867"/>
      <c r="K46" s="1865"/>
      <c r="L46" s="1865"/>
      <c r="M46" s="1865"/>
      <c r="N46" s="1865"/>
      <c r="O46" s="1865"/>
      <c r="P46" s="1865"/>
      <c r="Q46" s="1865"/>
      <c r="R46" s="1865"/>
      <c r="S46" s="1865"/>
      <c r="T46" s="1865"/>
      <c r="U46" s="1865"/>
      <c r="V46" s="1865"/>
    </row>
    <row r="47" spans="1:26" ht="15.75">
      <c r="A47" s="318" t="s">
        <v>366</v>
      </c>
      <c r="B47" s="1200"/>
      <c r="C47" s="319" t="s">
        <v>367</v>
      </c>
      <c r="D47" s="320"/>
      <c r="E47" s="320"/>
      <c r="F47" s="320"/>
      <c r="G47" s="321"/>
      <c r="H47" s="322"/>
      <c r="I47" s="323"/>
      <c r="J47" s="1867"/>
      <c r="K47" s="308"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4">
        <v>1</v>
      </c>
      <c r="B48" s="325"/>
      <c r="C48" s="325"/>
      <c r="D48" s="320"/>
      <c r="E48" s="320"/>
      <c r="F48" s="320"/>
      <c r="G48" s="320"/>
      <c r="H48" s="326"/>
      <c r="I48" s="327"/>
      <c r="J48" s="1867"/>
      <c r="K48" s="1865"/>
      <c r="L48" s="1865"/>
      <c r="M48" s="1865"/>
      <c r="N48" s="1865"/>
      <c r="O48" s="1865"/>
      <c r="P48" s="1865"/>
      <c r="Q48" s="1865"/>
      <c r="R48" s="1865"/>
      <c r="S48" s="1865"/>
      <c r="T48" s="1865"/>
      <c r="U48" s="1865"/>
      <c r="V48" s="1865"/>
    </row>
    <row r="49" spans="1:22" ht="12.75">
      <c r="A49" s="324">
        <v>2</v>
      </c>
      <c r="B49" s="325"/>
      <c r="C49" s="325"/>
      <c r="D49" s="320"/>
      <c r="E49" s="320"/>
      <c r="F49" s="320"/>
      <c r="G49" s="320"/>
      <c r="H49" s="326"/>
      <c r="I49" s="327"/>
      <c r="J49" s="1868"/>
      <c r="K49" s="1865"/>
      <c r="L49" s="1865"/>
      <c r="M49" s="1865"/>
      <c r="N49" s="1865"/>
      <c r="O49" s="1865"/>
      <c r="P49" s="1865"/>
      <c r="Q49" s="1865"/>
      <c r="R49" s="1865"/>
      <c r="S49" s="1865"/>
      <c r="T49" s="1865"/>
      <c r="U49" s="1865"/>
      <c r="V49" s="1865"/>
    </row>
    <row r="50" spans="1:22" ht="12.75">
      <c r="A50" s="324">
        <v>3</v>
      </c>
      <c r="B50" s="325"/>
      <c r="C50" s="325"/>
      <c r="D50" s="320"/>
      <c r="E50" s="320"/>
      <c r="F50" s="320"/>
      <c r="G50" s="320"/>
      <c r="H50" s="326"/>
      <c r="I50" s="327"/>
      <c r="J50" s="1868"/>
      <c r="K50" s="1865"/>
      <c r="L50" s="1865"/>
      <c r="M50" s="1865"/>
      <c r="N50" s="1865"/>
      <c r="O50" s="1865"/>
      <c r="P50" s="1865"/>
      <c r="Q50" s="1865"/>
      <c r="R50" s="1865"/>
      <c r="S50" s="1865"/>
      <c r="T50" s="1865"/>
      <c r="U50" s="1865"/>
      <c r="V50" s="1865"/>
    </row>
    <row r="51" spans="1:22" ht="12.75">
      <c r="A51" s="328"/>
      <c r="B51" s="329"/>
      <c r="C51" s="329"/>
      <c r="D51" s="330"/>
      <c r="E51" s="330"/>
      <c r="F51" s="330"/>
      <c r="G51" s="330"/>
      <c r="H51" s="331"/>
      <c r="I51" s="332"/>
      <c r="J51" s="1868"/>
      <c r="K51" s="1865"/>
      <c r="L51" s="1865"/>
      <c r="M51" s="1865"/>
      <c r="N51" s="1865"/>
      <c r="O51" s="1865"/>
      <c r="P51" s="1865"/>
      <c r="Q51" s="1865"/>
      <c r="R51" s="1865"/>
      <c r="S51" s="1865"/>
      <c r="T51" s="1865"/>
      <c r="U51" s="1865"/>
      <c r="V51" s="1865"/>
    </row>
    <row r="52" spans="1:22" ht="12.75">
      <c r="A52" s="325"/>
      <c r="B52" s="325"/>
      <c r="C52" s="325"/>
      <c r="D52" s="320"/>
      <c r="E52" s="320"/>
      <c r="F52" s="320"/>
      <c r="G52" s="320"/>
      <c r="H52" s="326"/>
      <c r="I52" s="254"/>
      <c r="J52" s="1868"/>
      <c r="K52" s="1865"/>
      <c r="L52" s="1865"/>
      <c r="M52" s="1865"/>
      <c r="N52" s="1865"/>
      <c r="O52" s="1865"/>
      <c r="P52" s="1865"/>
      <c r="Q52" s="1865"/>
      <c r="R52" s="1865"/>
      <c r="S52" s="1865"/>
      <c r="T52" s="1865"/>
      <c r="U52" s="1865"/>
      <c r="V52" s="1865"/>
    </row>
    <row r="53" spans="1:22" ht="12.75">
      <c r="A53" s="254"/>
      <c r="B53" s="254"/>
      <c r="C53" s="254"/>
      <c r="D53" s="254"/>
      <c r="E53" s="254"/>
      <c r="F53" s="333" t="s">
        <v>368</v>
      </c>
      <c r="G53" s="334"/>
      <c r="H53" s="334"/>
      <c r="I53" s="335" t="s">
        <v>369</v>
      </c>
      <c r="J53" s="1868"/>
      <c r="K53" s="1865"/>
      <c r="L53" s="1865"/>
      <c r="M53" s="1865"/>
      <c r="N53" s="1865"/>
      <c r="O53" s="1865"/>
      <c r="P53" s="1865"/>
      <c r="Q53" s="1865"/>
      <c r="R53" s="1865"/>
      <c r="S53" s="1865"/>
      <c r="T53" s="1865"/>
      <c r="U53" s="1865"/>
      <c r="V53" s="1865"/>
    </row>
    <row r="54" spans="1:22" ht="12.75">
      <c r="A54" s="254"/>
      <c r="B54" s="336" t="s">
        <v>370</v>
      </c>
      <c r="C54" s="254"/>
      <c r="D54" s="254"/>
      <c r="E54" s="254"/>
      <c r="F54" s="254"/>
      <c r="G54" s="254"/>
      <c r="H54" s="254"/>
      <c r="I54" s="254"/>
      <c r="J54" s="1868"/>
      <c r="K54" s="1865"/>
      <c r="L54" s="1865"/>
      <c r="M54" s="1865"/>
      <c r="N54" s="1865"/>
      <c r="O54" s="1865"/>
      <c r="P54" s="1865"/>
      <c r="Q54" s="1865"/>
      <c r="R54" s="1865"/>
      <c r="S54" s="1865"/>
      <c r="T54" s="1865"/>
      <c r="U54" s="1865"/>
      <c r="V54" s="1865"/>
    </row>
    <row r="55" spans="1:22" ht="12.75">
      <c r="A55" s="254"/>
      <c r="B55" s="254"/>
      <c r="C55" s="254"/>
      <c r="D55" s="254"/>
      <c r="E55" s="254"/>
      <c r="F55" s="254"/>
      <c r="G55" s="254"/>
      <c r="H55" s="254"/>
      <c r="I55" s="254"/>
      <c r="J55" s="1868"/>
      <c r="K55" s="1865"/>
      <c r="L55" s="1865"/>
      <c r="M55" s="1865"/>
      <c r="N55" s="1865"/>
      <c r="O55" s="1865"/>
      <c r="P55" s="1865"/>
      <c r="Q55" s="1865"/>
      <c r="R55" s="1865"/>
      <c r="S55" s="1865"/>
      <c r="T55" s="1865"/>
      <c r="U55" s="1865"/>
      <c r="V55" s="1865"/>
    </row>
    <row r="56" spans="1:22" ht="12.75">
      <c r="A56" s="254"/>
      <c r="B56" s="334"/>
      <c r="C56" s="334"/>
      <c r="D56" s="334"/>
      <c r="E56" s="334"/>
      <c r="F56" s="334"/>
      <c r="G56" s="334"/>
      <c r="H56" s="334"/>
      <c r="I56" s="335" t="s">
        <v>371</v>
      </c>
      <c r="J56" s="1868"/>
      <c r="K56" s="1865"/>
      <c r="L56" s="1865"/>
      <c r="M56" s="1865"/>
      <c r="N56" s="1865"/>
      <c r="O56" s="1865"/>
      <c r="P56" s="1865"/>
      <c r="Q56" s="1865"/>
      <c r="R56" s="1865"/>
      <c r="S56" s="1865"/>
      <c r="T56" s="1865"/>
      <c r="U56" s="1865"/>
      <c r="V56" s="1865"/>
    </row>
    <row r="57" spans="1:22" ht="12.75">
      <c r="A57" s="254"/>
      <c r="B57" s="336" t="s">
        <v>372</v>
      </c>
      <c r="C57" s="254"/>
      <c r="D57" s="254"/>
      <c r="E57" s="254"/>
      <c r="F57" s="254"/>
      <c r="G57" s="254"/>
      <c r="H57" s="254"/>
      <c r="I57" s="254"/>
      <c r="J57" s="1868"/>
      <c r="K57" s="1865"/>
      <c r="L57" s="1865"/>
      <c r="M57" s="1865"/>
      <c r="N57" s="1865"/>
      <c r="O57" s="1865"/>
      <c r="P57" s="1865"/>
      <c r="Q57" s="1865"/>
      <c r="R57" s="1865"/>
      <c r="S57" s="1865"/>
      <c r="T57" s="1865"/>
      <c r="U57" s="1865"/>
      <c r="V57" s="1865"/>
    </row>
    <row r="58" spans="1:22" ht="12.75">
      <c r="A58" s="254"/>
      <c r="B58" s="336"/>
      <c r="C58" s="254"/>
      <c r="D58" s="254"/>
      <c r="E58" s="254"/>
      <c r="F58" s="254"/>
      <c r="G58" s="254"/>
      <c r="H58" s="254"/>
      <c r="I58" s="254"/>
      <c r="J58" s="1868"/>
      <c r="K58" s="1865"/>
      <c r="L58" s="1865"/>
      <c r="M58" s="1865"/>
      <c r="N58" s="1865"/>
      <c r="O58" s="1865"/>
      <c r="P58" s="1865"/>
      <c r="Q58" s="1865"/>
      <c r="R58" s="1865"/>
      <c r="S58" s="1865"/>
      <c r="T58" s="1865"/>
      <c r="U58" s="1865"/>
      <c r="V58" s="1865"/>
    </row>
    <row r="59" spans="1:22" ht="12.75">
      <c r="A59" s="254"/>
      <c r="B59" s="334"/>
      <c r="C59" s="334"/>
      <c r="D59" s="334"/>
      <c r="E59" s="334"/>
      <c r="F59" s="334"/>
      <c r="G59" s="334"/>
      <c r="H59" s="334"/>
      <c r="I59" s="335" t="s">
        <v>371</v>
      </c>
      <c r="J59" s="1868"/>
      <c r="K59" s="1865"/>
      <c r="L59" s="1865"/>
      <c r="M59" s="1865"/>
      <c r="N59" s="1865"/>
      <c r="O59" s="1865"/>
      <c r="P59" s="1865"/>
      <c r="Q59" s="1865"/>
      <c r="R59" s="1865"/>
      <c r="S59" s="1865"/>
      <c r="T59" s="1865"/>
      <c r="U59" s="1865"/>
      <c r="V59" s="1865"/>
    </row>
    <row r="60" spans="1:22" ht="12.75">
      <c r="A60" s="254"/>
      <c r="B60" s="254"/>
      <c r="C60" s="254"/>
      <c r="D60" s="254"/>
      <c r="E60" s="254"/>
      <c r="F60" s="254"/>
      <c r="G60" s="254"/>
      <c r="H60" s="254"/>
      <c r="I60" s="254"/>
      <c r="J60" s="1868"/>
      <c r="K60" s="1865"/>
      <c r="L60" s="1865"/>
      <c r="M60" s="1865"/>
      <c r="N60" s="1865"/>
      <c r="O60" s="1865"/>
      <c r="P60" s="1865"/>
      <c r="Q60" s="1865"/>
      <c r="R60" s="1865"/>
      <c r="S60" s="1865"/>
      <c r="T60" s="1865"/>
      <c r="U60" s="1865"/>
      <c r="V60" s="1865"/>
    </row>
    <row r="61" spans="1:22" ht="12.75">
      <c r="A61" s="254"/>
      <c r="B61" s="336"/>
      <c r="C61" s="337"/>
      <c r="D61" s="214"/>
      <c r="E61" s="214"/>
      <c r="F61" s="250"/>
      <c r="G61" s="254"/>
      <c r="H61" s="254"/>
      <c r="I61" s="254"/>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00" t="s">
        <v>374</v>
      </c>
      <c r="B63" s="3601"/>
      <c r="C63" s="3602"/>
      <c r="D63" s="338">
        <f ca="1">ROUND(C42*F63,0)</f>
        <v>2178</v>
      </c>
      <c r="E63" s="299" t="s">
        <v>375</v>
      </c>
      <c r="F63" s="339">
        <v>1</v>
      </c>
      <c r="G63" s="340" t="s">
        <v>376</v>
      </c>
      <c r="H63" s="308"/>
      <c r="I63" s="308"/>
      <c r="J63" s="1865"/>
      <c r="K63" s="1865"/>
      <c r="L63" s="1865"/>
      <c r="M63" s="1865"/>
      <c r="N63" s="1865"/>
      <c r="O63" s="1865"/>
      <c r="P63" s="1865"/>
      <c r="Q63" s="1865"/>
      <c r="R63" s="1865"/>
      <c r="S63" s="1865"/>
      <c r="T63" s="1865"/>
      <c r="U63" s="1865"/>
      <c r="V63" s="1865"/>
    </row>
    <row r="64" spans="1:22" ht="14.25" customHeight="1">
      <c r="A64" s="3644" t="s">
        <v>378</v>
      </c>
      <c r="B64" s="3645"/>
      <c r="C64" s="3645"/>
      <c r="D64" s="3645"/>
      <c r="E64" s="3645"/>
      <c r="F64" s="3645"/>
      <c r="G64" s="3646"/>
      <c r="H64" s="1205"/>
      <c r="I64" s="919"/>
      <c r="J64" s="1856"/>
      <c r="K64" s="1454" t="s">
        <v>377</v>
      </c>
      <c r="L64" s="11"/>
      <c r="M64" s="11"/>
      <c r="N64" s="11"/>
      <c r="O64" s="11"/>
      <c r="P64" s="308"/>
      <c r="Q64" s="1865"/>
      <c r="R64" s="1865"/>
      <c r="S64" s="1865"/>
      <c r="T64" s="1865"/>
      <c r="U64" s="1865"/>
      <c r="V64" s="1865"/>
    </row>
    <row r="65" spans="1:22" ht="12" customHeight="1">
      <c r="A65" s="341" t="s">
        <v>380</v>
      </c>
      <c r="B65" s="342"/>
      <c r="C65" s="343"/>
      <c r="D65" s="344" t="s">
        <v>381</v>
      </c>
      <c r="E65" s="53" t="s">
        <v>382</v>
      </c>
      <c r="F65" s="345" t="s">
        <v>383</v>
      </c>
      <c r="G65" s="346" t="s">
        <v>384</v>
      </c>
      <c r="H65" s="1205"/>
      <c r="I65" s="919"/>
      <c r="J65" s="1856"/>
      <c r="K65" s="1206"/>
      <c r="L65" s="1207"/>
      <c r="M65" s="1207"/>
      <c r="N65" s="1239" t="s">
        <v>379</v>
      </c>
      <c r="O65" s="1240"/>
      <c r="P65" s="1241"/>
      <c r="Q65" s="1865"/>
      <c r="R65" s="1865"/>
      <c r="S65" s="1865"/>
      <c r="T65" s="1865"/>
      <c r="U65" s="1865"/>
      <c r="V65" s="1865"/>
    </row>
    <row r="66" spans="1:22" ht="25.5">
      <c r="A66" s="3641" t="s">
        <v>386</v>
      </c>
      <c r="B66" s="3607"/>
      <c r="C66" s="3607"/>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9"/>
      <c r="I66" s="1205"/>
      <c r="J66" s="1871"/>
      <c r="K66" s="1208">
        <v>1</v>
      </c>
      <c r="L66" s="3568" t="s">
        <v>385</v>
      </c>
      <c r="M66" s="3569"/>
      <c r="N66" s="2266"/>
      <c r="O66" s="2267"/>
      <c r="P66" s="2268"/>
      <c r="Q66" s="1865"/>
      <c r="R66" s="1865"/>
      <c r="S66" s="1865"/>
      <c r="T66" s="1865"/>
      <c r="U66" s="1865"/>
      <c r="V66" s="1865"/>
    </row>
    <row r="67" spans="1:22" ht="25.5" customHeight="1">
      <c r="A67" s="349" t="s">
        <v>389</v>
      </c>
      <c r="B67" s="3619" t="s">
        <v>390</v>
      </c>
      <c r="C67" s="3619"/>
      <c r="D67" s="350">
        <v>0</v>
      </c>
      <c r="E67" s="41" t="s">
        <v>391</v>
      </c>
      <c r="F67" s="62" t="s">
        <v>21</v>
      </c>
      <c r="G67" s="3603"/>
      <c r="H67" s="2914" t="s">
        <v>2698</v>
      </c>
      <c r="I67" s="2916"/>
      <c r="J67" s="1872"/>
      <c r="K67" s="1844">
        <v>2</v>
      </c>
      <c r="L67" s="3573" t="s">
        <v>388</v>
      </c>
      <c r="M67" s="3573"/>
      <c r="N67" s="1242">
        <f>'数据-取费表'!B2</f>
        <v>44819</v>
      </c>
      <c r="O67" s="1242"/>
      <c r="P67" s="1242"/>
      <c r="Q67" s="1865"/>
      <c r="R67" s="1865"/>
      <c r="S67" s="1865"/>
      <c r="T67" s="1865"/>
      <c r="U67" s="1865"/>
      <c r="V67" s="1865"/>
    </row>
    <row r="68" spans="1:22" ht="25.5" customHeight="1">
      <c r="A68" s="351"/>
      <c r="B68" s="3619" t="s">
        <v>393</v>
      </c>
      <c r="C68" s="3619"/>
      <c r="D68" s="352"/>
      <c r="E68" s="77"/>
      <c r="F68" s="353"/>
      <c r="G68" s="3604"/>
      <c r="H68" s="2915" t="s">
        <v>2699</v>
      </c>
      <c r="I68" s="2916"/>
      <c r="J68" s="1872"/>
      <c r="K68" s="1844">
        <v>3</v>
      </c>
      <c r="L68" s="3573" t="s">
        <v>392</v>
      </c>
      <c r="M68" s="3573"/>
      <c r="N68" s="1210">
        <f ca="1">C42</f>
        <v>2178</v>
      </c>
      <c r="O68" s="1210"/>
      <c r="P68" s="1210"/>
      <c r="Q68" s="1865"/>
      <c r="R68" s="1865"/>
      <c r="S68" s="1865"/>
      <c r="T68" s="1865"/>
      <c r="U68" s="1865"/>
      <c r="V68" s="1865"/>
    </row>
    <row r="69" spans="1:22" ht="23.45" customHeight="1">
      <c r="A69" s="354"/>
      <c r="B69" s="3619" t="s">
        <v>394</v>
      </c>
      <c r="C69" s="3619"/>
      <c r="D69" s="355"/>
      <c r="E69" s="73"/>
      <c r="F69" s="353"/>
      <c r="G69" s="3605"/>
      <c r="H69" s="2915" t="s">
        <v>2700</v>
      </c>
      <c r="I69" s="2916"/>
      <c r="J69" s="1872"/>
      <c r="K69" s="1211">
        <v>4</v>
      </c>
      <c r="L69" s="3574" t="s">
        <v>2596</v>
      </c>
      <c r="M69" s="3575"/>
      <c r="N69" s="1212" t="str">
        <f>C44</f>
        <v>——</v>
      </c>
      <c r="O69" s="1212"/>
      <c r="P69" s="1212"/>
      <c r="Q69" s="1865"/>
      <c r="R69" s="1865"/>
      <c r="S69" s="1865"/>
      <c r="T69" s="1865"/>
      <c r="U69" s="1865"/>
      <c r="V69" s="1865"/>
    </row>
    <row r="70" spans="1:22" ht="24" customHeight="1">
      <c r="A70" s="356" t="s">
        <v>395</v>
      </c>
      <c r="B70" s="3619" t="s">
        <v>396</v>
      </c>
      <c r="C70" s="3619"/>
      <c r="D70" s="355">
        <f ca="1">ROUND(D63*'数据-取费表'!B41/(1+'数据-取费表'!C42),0)</f>
        <v>114</v>
      </c>
      <c r="E70" s="17" t="s">
        <v>397</v>
      </c>
      <c r="F70" s="357">
        <f>'数据-取费表'!B41</f>
        <v>5.5000000000000007E-2</v>
      </c>
      <c r="G70" s="358"/>
      <c r="H70" s="308"/>
      <c r="I70" s="1209"/>
      <c r="J70" s="1872"/>
      <c r="K70" s="2683"/>
      <c r="L70" s="2684"/>
      <c r="M70" s="2684"/>
      <c r="N70" s="2685" t="s">
        <v>2600</v>
      </c>
      <c r="O70" s="2684"/>
      <c r="P70" s="2686"/>
      <c r="Q70" s="1865"/>
      <c r="R70" s="1865"/>
      <c r="S70" s="1865"/>
      <c r="T70" s="1865"/>
      <c r="U70" s="1865"/>
      <c r="V70" s="1865"/>
    </row>
    <row r="71" spans="1:22" ht="12" customHeight="1">
      <c r="A71" s="356" t="s">
        <v>403</v>
      </c>
      <c r="B71" s="3618" t="s">
        <v>2728</v>
      </c>
      <c r="C71" s="3635"/>
      <c r="D71" s="355">
        <f ca="1">ROUND(D63*'数据-取费表'!B41/(1+'数据-取费表'!C42),0)</f>
        <v>114</v>
      </c>
      <c r="E71" s="17" t="s">
        <v>397</v>
      </c>
      <c r="F71" s="357">
        <f>'数据-取费表'!B41</f>
        <v>5.5000000000000007E-2</v>
      </c>
      <c r="G71" s="358"/>
      <c r="H71" s="308"/>
      <c r="I71" s="1209"/>
      <c r="J71" s="1872"/>
      <c r="K71" s="2682" t="s">
        <v>398</v>
      </c>
      <c r="L71" s="3576" t="s">
        <v>399</v>
      </c>
      <c r="M71" s="3576"/>
      <c r="N71" s="2682" t="s">
        <v>400</v>
      </c>
      <c r="O71" s="2682" t="s">
        <v>401</v>
      </c>
      <c r="P71" s="2682" t="s">
        <v>402</v>
      </c>
      <c r="Q71" s="1865"/>
      <c r="R71" s="1865"/>
      <c r="S71" s="1865"/>
      <c r="T71" s="1865"/>
      <c r="U71" s="1865"/>
      <c r="V71" s="1865"/>
    </row>
    <row r="72" spans="1:22" ht="12" customHeight="1">
      <c r="A72" s="356" t="s">
        <v>405</v>
      </c>
      <c r="B72" s="3618" t="s">
        <v>2729</v>
      </c>
      <c r="C72" s="3635"/>
      <c r="D72" s="355">
        <f ca="1">C86</f>
        <v>114</v>
      </c>
      <c r="E72" s="73" t="s">
        <v>406</v>
      </c>
      <c r="F72" s="357">
        <f>'数据-取费表'!B41</f>
        <v>5.5000000000000007E-2</v>
      </c>
      <c r="G72" s="358"/>
      <c r="H72" s="1215"/>
      <c r="I72" s="1209"/>
      <c r="J72" s="1872"/>
      <c r="K72" s="1844">
        <v>1</v>
      </c>
      <c r="L72" s="3572" t="s">
        <v>404</v>
      </c>
      <c r="M72" s="3572"/>
      <c r="N72" s="1213" t="b">
        <f>D66</f>
        <v>0</v>
      </c>
      <c r="O72" s="1728" t="str">
        <f>E66</f>
        <v>销售额×税（费）率</v>
      </c>
      <c r="P72" s="1214">
        <f>F66</f>
        <v>5.5000000000000007E-2</v>
      </c>
      <c r="Q72" s="1865"/>
      <c r="R72" s="1865"/>
      <c r="S72" s="1865"/>
      <c r="T72" s="1865"/>
      <c r="U72" s="1865"/>
      <c r="V72" s="1865"/>
    </row>
    <row r="73" spans="1:22" ht="24" customHeight="1">
      <c r="A73" s="3606" t="s">
        <v>408</v>
      </c>
      <c r="B73" s="3607"/>
      <c r="C73" s="3607"/>
      <c r="D73" s="359">
        <f ca="1">IF(H73="个人住宅",0,ROUND(D63*I73,0))</f>
        <v>1</v>
      </c>
      <c r="E73" s="17" t="s">
        <v>409</v>
      </c>
      <c r="F73" s="357" t="str">
        <f>IF(H73="正常",I73,"免征")</f>
        <v>免征</v>
      </c>
      <c r="G73" s="358"/>
      <c r="H73" s="189"/>
      <c r="I73" s="357">
        <f>'数据-取费表'!B49</f>
        <v>5.0000000000000001E-4</v>
      </c>
      <c r="J73" s="1872"/>
      <c r="K73" s="1844">
        <v>2</v>
      </c>
      <c r="L73" s="3572" t="s">
        <v>407</v>
      </c>
      <c r="M73" s="3572"/>
      <c r="N73" s="1213">
        <f t="shared" ref="N73:P74" ca="1" si="1">D73</f>
        <v>1</v>
      </c>
      <c r="O73" s="1728" t="str">
        <f t="shared" si="1"/>
        <v>销售额×税（费）率</v>
      </c>
      <c r="P73" s="1214" t="str">
        <f t="shared" si="1"/>
        <v>免征</v>
      </c>
      <c r="Q73" s="1865"/>
      <c r="R73" s="1865"/>
      <c r="S73" s="1865"/>
      <c r="T73" s="1865"/>
      <c r="U73" s="1865"/>
      <c r="V73" s="1865"/>
    </row>
    <row r="74" spans="1:22" ht="24.75">
      <c r="A74" s="3606" t="s">
        <v>411</v>
      </c>
      <c r="B74" s="3607"/>
      <c r="C74" s="3607"/>
      <c r="D74" s="359">
        <f ca="1">IF(H74="个人住宅",D75,D76)</f>
        <v>1235</v>
      </c>
      <c r="E74" s="17" t="s">
        <v>412</v>
      </c>
      <c r="F74" s="357" t="str">
        <f>IF(H74="正常",F76,"免征")</f>
        <v>免征</v>
      </c>
      <c r="G74" s="953" t="s">
        <v>413</v>
      </c>
      <c r="H74" s="360"/>
      <c r="I74" s="42"/>
      <c r="J74" s="1872"/>
      <c r="K74" s="1844">
        <v>3</v>
      </c>
      <c r="L74" s="3572" t="s">
        <v>410</v>
      </c>
      <c r="M74" s="3572"/>
      <c r="N74" s="1213">
        <f t="shared" ca="1" si="1"/>
        <v>1235</v>
      </c>
      <c r="O74" s="1728" t="str">
        <f t="shared" si="1"/>
        <v>增值额×税（费）率</v>
      </c>
      <c r="P74" s="1216" t="str">
        <f t="shared" si="1"/>
        <v>免征</v>
      </c>
      <c r="Q74" s="1865"/>
      <c r="R74" s="1865"/>
      <c r="S74" s="1865"/>
      <c r="T74" s="1865"/>
      <c r="U74" s="1865"/>
      <c r="V74" s="1865"/>
    </row>
    <row r="75" spans="1:22" ht="12.75">
      <c r="A75" s="356" t="s">
        <v>414</v>
      </c>
      <c r="B75" s="3587" t="s">
        <v>415</v>
      </c>
      <c r="C75" s="3588"/>
      <c r="D75" s="361">
        <v>0</v>
      </c>
      <c r="E75" s="41" t="s">
        <v>416</v>
      </c>
      <c r="F75" s="362"/>
      <c r="G75" s="358"/>
      <c r="H75" s="42"/>
      <c r="I75" s="42"/>
      <c r="J75" s="1872"/>
      <c r="K75" s="2676">
        <f>IF(H77="非个人房产","",4)</f>
        <v>4</v>
      </c>
      <c r="L75" s="3572" t="str">
        <f>IF(H77="非个人房产","——","个人所得税")</f>
        <v>个人所得税</v>
      </c>
      <c r="M75" s="3572"/>
      <c r="N75" s="1217">
        <f>D77</f>
        <v>0</v>
      </c>
      <c r="O75" s="1741" t="str">
        <f>E77</f>
        <v>差额计税</v>
      </c>
      <c r="P75" s="1218">
        <f>F77</f>
        <v>0.01</v>
      </c>
      <c r="Q75" s="1865"/>
      <c r="R75" s="1865"/>
      <c r="S75" s="1865"/>
      <c r="T75" s="1865"/>
      <c r="U75" s="1865"/>
      <c r="V75" s="1865"/>
    </row>
    <row r="76" spans="1:22" ht="24.75">
      <c r="A76" s="356" t="s">
        <v>395</v>
      </c>
      <c r="B76" s="3587" t="s">
        <v>418</v>
      </c>
      <c r="C76" s="3629"/>
      <c r="D76" s="359">
        <f ca="1">IF(H76="转让取得",C99,C115)</f>
        <v>1235</v>
      </c>
      <c r="E76" s="17" t="s">
        <v>419</v>
      </c>
      <c r="F76" s="53" t="s">
        <v>21</v>
      </c>
      <c r="G76" s="358"/>
      <c r="H76" s="360"/>
      <c r="I76" s="42"/>
      <c r="J76" s="1872"/>
      <c r="K76" s="2676" t="str">
        <f>IF(项目基本情况!K6="上海银行",IF(K75="",4,K75+1),"")</f>
        <v/>
      </c>
      <c r="L76" s="3583" t="str">
        <f>IF(项目基本情况!K6="上海银行","其他处置费用","")</f>
        <v/>
      </c>
      <c r="M76" s="3584"/>
      <c r="N76" s="1213" t="str">
        <f>IF(项目基本情况!K6="上海银行",N89,"")</f>
        <v/>
      </c>
      <c r="O76" s="3585" t="str">
        <f>IF(项目基本情况!K6="上海银行","包含处置中涉及的律师、诉讼、拍卖、评估等费用","")</f>
        <v/>
      </c>
      <c r="P76" s="3586"/>
      <c r="Q76" s="1865"/>
      <c r="R76" s="1865"/>
      <c r="S76" s="1865"/>
      <c r="T76" s="1865"/>
      <c r="U76" s="1865"/>
      <c r="V76" s="1865"/>
    </row>
    <row r="77" spans="1:22" ht="24.75" thickBot="1">
      <c r="A77" s="3598" t="s">
        <v>421</v>
      </c>
      <c r="B77" s="3599"/>
      <c r="C77" s="3599"/>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594">
        <f>IF(AND(K75="",K76=""),4,IF(项目基本情况!K6="上海银行",K76+1,K75+1))</f>
        <v>5</v>
      </c>
      <c r="L77" s="3572" t="s">
        <v>2597</v>
      </c>
      <c r="M77" s="2681" t="s">
        <v>417</v>
      </c>
      <c r="N77" s="1219"/>
      <c r="O77" s="1220">
        <f ca="1">SUMIF(N72:N76,"&lt;9e307")</f>
        <v>1236</v>
      </c>
      <c r="P77" s="1221"/>
      <c r="Q77" s="2679" t="e">
        <f ca="1">O77/N69</f>
        <v>#VALUE!</v>
      </c>
      <c r="R77" s="1865"/>
      <c r="S77" s="1865"/>
      <c r="T77" s="1865"/>
      <c r="U77" s="1865"/>
      <c r="V77" s="1865"/>
    </row>
    <row r="78" spans="1:22" ht="12" customHeight="1">
      <c r="A78" s="1222"/>
      <c r="B78" s="308"/>
      <c r="C78" s="308"/>
      <c r="D78" s="308"/>
      <c r="E78" s="42"/>
      <c r="F78" s="42"/>
      <c r="G78" s="42"/>
      <c r="H78" s="973"/>
      <c r="I78" s="308"/>
      <c r="J78" s="1872"/>
      <c r="K78" s="3594"/>
      <c r="L78" s="3572"/>
      <c r="M78" s="2681" t="s">
        <v>420</v>
      </c>
      <c r="N78" s="1219"/>
      <c r="O78" s="1220" t="str">
        <f ca="1">NUMBERSTRING(INT(O77*10000),2)&amp;"元整"</f>
        <v>壹仟贰佰叁拾陆万元整</v>
      </c>
      <c r="P78" s="1221"/>
      <c r="Q78" s="1865"/>
      <c r="R78" s="1865"/>
      <c r="S78" s="1865"/>
      <c r="T78" s="1865"/>
      <c r="U78" s="1865"/>
      <c r="V78" s="1865"/>
    </row>
    <row r="79" spans="1:22" ht="13.5" thickBot="1">
      <c r="A79" s="3649" t="s">
        <v>422</v>
      </c>
      <c r="B79" s="3649"/>
      <c r="C79" s="3649"/>
      <c r="D79" s="3649"/>
      <c r="E79" s="3649"/>
      <c r="F79" s="42"/>
      <c r="G79" s="42"/>
      <c r="H79" s="973"/>
      <c r="I79" s="308"/>
      <c r="J79" s="1872"/>
      <c r="K79" s="3570">
        <f>K77+1</f>
        <v>6</v>
      </c>
      <c r="L79" s="3572" t="s">
        <v>2598</v>
      </c>
      <c r="M79" s="2681" t="s">
        <v>417</v>
      </c>
      <c r="N79" s="1219"/>
      <c r="O79" s="1220" t="e">
        <f ca="1">N69-O77</f>
        <v>#VALUE!</v>
      </c>
      <c r="P79" s="1221"/>
      <c r="Q79" s="1865"/>
      <c r="R79" s="1865"/>
      <c r="S79" s="1865"/>
      <c r="T79" s="1865"/>
      <c r="U79" s="1865"/>
      <c r="V79" s="1865"/>
    </row>
    <row r="80" spans="1:22" ht="12.75">
      <c r="A80" s="3580" t="s">
        <v>423</v>
      </c>
      <c r="B80" s="3581"/>
      <c r="C80" s="964"/>
      <c r="D80" s="964" t="s">
        <v>424</v>
      </c>
      <c r="E80" s="363" t="s">
        <v>425</v>
      </c>
      <c r="F80" s="42"/>
      <c r="G80" s="42"/>
      <c r="H80" s="973"/>
      <c r="I80" s="308"/>
      <c r="J80" s="1865"/>
      <c r="K80" s="3571"/>
      <c r="L80" s="3572"/>
      <c r="M80" s="2681" t="s">
        <v>420</v>
      </c>
      <c r="N80" s="1219"/>
      <c r="O80" s="1220" t="e">
        <f ca="1">NUMBERSTRING(INT(O79*10000),2)&amp;"元整"</f>
        <v>#VALUE!</v>
      </c>
      <c r="P80" s="1221"/>
      <c r="Q80" s="1865"/>
      <c r="R80" s="1865"/>
      <c r="S80" s="1865"/>
      <c r="T80" s="1865"/>
      <c r="U80" s="1865"/>
      <c r="V80" s="1865"/>
    </row>
    <row r="81" spans="1:26" ht="13.5" thickBot="1">
      <c r="A81" s="374" t="s">
        <v>1623</v>
      </c>
      <c r="B81" s="364" t="s">
        <v>426</v>
      </c>
      <c r="C81" s="365">
        <f ca="1">ROUND((C82+C83)/(1+'数据-取费表'!C42),0)</f>
        <v>2074</v>
      </c>
      <c r="D81" s="366"/>
      <c r="E81" s="367"/>
      <c r="F81" s="42"/>
      <c r="G81" s="42"/>
      <c r="H81" s="973"/>
      <c r="I81" s="308"/>
      <c r="J81" s="1865"/>
      <c r="K81" s="2676">
        <f>K79+1</f>
        <v>7</v>
      </c>
      <c r="L81" s="3592" t="s">
        <v>2599</v>
      </c>
      <c r="M81" s="3593"/>
      <c r="N81" s="1223"/>
      <c r="O81" s="1224" t="e">
        <f ca="1">ROUND(O79*10000/'数据-汇总表'!E3,0)</f>
        <v>#VALUE!</v>
      </c>
      <c r="P81" s="1225"/>
      <c r="Q81" s="1865"/>
      <c r="R81" s="1865"/>
      <c r="S81" s="1865"/>
      <c r="T81" s="1865"/>
      <c r="U81" s="1865"/>
      <c r="V81" s="1865"/>
    </row>
    <row r="82" spans="1:26" ht="13.5" thickTop="1">
      <c r="A82" s="368" t="s">
        <v>1624</v>
      </c>
      <c r="B82" s="369" t="s">
        <v>427</v>
      </c>
      <c r="C82" s="370">
        <f ca="1">D63</f>
        <v>2178</v>
      </c>
      <c r="D82" s="371" t="s">
        <v>19</v>
      </c>
      <c r="E82" s="372"/>
      <c r="F82" s="42"/>
      <c r="G82" s="42"/>
      <c r="H82" s="973"/>
      <c r="I82" s="308"/>
      <c r="J82" s="1865"/>
      <c r="K82" s="1865"/>
      <c r="L82" s="1865"/>
      <c r="M82" s="1865"/>
      <c r="N82" s="1865"/>
      <c r="O82" s="1865"/>
      <c r="P82" s="1865"/>
      <c r="Q82" s="1865"/>
      <c r="R82" s="1865"/>
      <c r="S82" s="1865"/>
      <c r="T82" s="1865"/>
      <c r="U82" s="1865"/>
      <c r="V82" s="1865"/>
    </row>
    <row r="83" spans="1:26" ht="12.75">
      <c r="A83" s="368" t="s">
        <v>1625</v>
      </c>
      <c r="B83" s="369" t="s">
        <v>428</v>
      </c>
      <c r="C83" s="373"/>
      <c r="D83" s="371"/>
      <c r="E83" s="372"/>
      <c r="F83" s="42"/>
      <c r="G83" s="42"/>
      <c r="H83" s="973"/>
      <c r="I83" s="308"/>
      <c r="J83" s="1865"/>
      <c r="K83" s="3582" t="s">
        <v>2587</v>
      </c>
      <c r="L83" s="2687" t="s">
        <v>2588</v>
      </c>
      <c r="M83" s="2677" t="e">
        <f>IF(N69&gt;10000,N69*0.5%,IF(AND(N69&gt;1000,N69&lt;=10000),N69*1%,IF(AND(N69&gt;100,N69&lt;=1000),N69*3%,IF(AND(N69&gt;10,N69&lt;=100),N69*5%,N69*8%))))</f>
        <v>#VALUE!</v>
      </c>
      <c r="N83" s="53" t="e">
        <f>ROUND(M83,1)</f>
        <v>#VALUE!</v>
      </c>
      <c r="O83" s="2680"/>
      <c r="P83" s="1865"/>
      <c r="Q83" s="1865"/>
      <c r="R83" s="1865"/>
      <c r="S83" s="1865"/>
      <c r="T83" s="1865"/>
      <c r="U83" s="1865"/>
      <c r="V83" s="1865"/>
    </row>
    <row r="84" spans="1:26" ht="12.75">
      <c r="A84" s="374" t="s">
        <v>1626</v>
      </c>
      <c r="B84" s="375" t="s">
        <v>429</v>
      </c>
      <c r="C84" s="376"/>
      <c r="D84" s="377" t="s">
        <v>19</v>
      </c>
      <c r="E84" s="2705" t="s">
        <v>2642</v>
      </c>
      <c r="F84" s="42"/>
      <c r="G84" s="42"/>
      <c r="H84" s="973"/>
      <c r="I84" s="308"/>
      <c r="J84" s="1865"/>
      <c r="K84" s="3582"/>
      <c r="L84" s="2687" t="s">
        <v>2589</v>
      </c>
      <c r="M84" s="26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5" t="s">
        <v>2590</v>
      </c>
      <c r="P84" s="1865"/>
      <c r="Q84" s="1865"/>
      <c r="R84" s="1865"/>
      <c r="S84" s="1865"/>
      <c r="T84" s="1865"/>
      <c r="U84" s="1865"/>
      <c r="V84" s="1865"/>
    </row>
    <row r="85" spans="1:26" ht="12.75">
      <c r="A85" s="374" t="s">
        <v>1627</v>
      </c>
      <c r="B85" s="375" t="s">
        <v>430</v>
      </c>
      <c r="C85" s="378">
        <f ca="1">C81-C84</f>
        <v>2074</v>
      </c>
      <c r="D85" s="371" t="s">
        <v>19</v>
      </c>
      <c r="E85" s="372"/>
      <c r="F85" s="42"/>
      <c r="G85" s="42"/>
      <c r="H85" s="973"/>
      <c r="I85" s="308"/>
      <c r="J85" s="1865"/>
      <c r="K85" s="3582"/>
      <c r="L85" s="2687" t="s">
        <v>2591</v>
      </c>
      <c r="M85" s="2677" t="e">
        <f>IF(N69&gt;1000,N69*0.1%,IF(AND(N69&gt;500,N69&lt;=1000),N69*0.5%,IF(AND(N69&gt;50,N69&lt;=500),N69*1%,IF(AND(N69&gt;1,N69&lt;=50),N69*1.5%))))</f>
        <v>#VALUE!</v>
      </c>
      <c r="N85" s="53" t="e">
        <f t="shared" si="2"/>
        <v>#VALUE!</v>
      </c>
      <c r="O85" s="1865" t="s">
        <v>2590</v>
      </c>
      <c r="P85" s="1865"/>
      <c r="Q85" s="1865"/>
      <c r="R85" s="1865"/>
      <c r="S85" s="1865"/>
      <c r="T85" s="1865"/>
      <c r="U85" s="1865"/>
      <c r="V85" s="1865"/>
    </row>
    <row r="86" spans="1:26" ht="13.5" thickBot="1">
      <c r="A86" s="379" t="s">
        <v>1628</v>
      </c>
      <c r="B86" s="380" t="s">
        <v>431</v>
      </c>
      <c r="C86" s="381">
        <f ca="1">IF(C85&lt;=0,0,ROUND(C85*D86,0))</f>
        <v>114</v>
      </c>
      <c r="D86" s="382">
        <f>'数据-取费表'!B41</f>
        <v>5.5000000000000007E-2</v>
      </c>
      <c r="E86" s="383"/>
      <c r="F86" s="42"/>
      <c r="G86" s="42"/>
      <c r="H86" s="973"/>
      <c r="I86" s="308"/>
      <c r="J86" s="1865"/>
      <c r="K86" s="3582"/>
      <c r="L86" s="2687" t="s">
        <v>2592</v>
      </c>
      <c r="M86" s="2677" t="e">
        <f>N69*0.5%</f>
        <v>#VALUE!</v>
      </c>
      <c r="N86" s="53" t="e">
        <f>IF(M86&gt;0.5,0.5,ROUND(M86,0))</f>
        <v>#VALUE!</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8"/>
      <c r="J87" s="1865"/>
      <c r="K87" s="3582"/>
      <c r="L87" s="2687" t="s">
        <v>2594</v>
      </c>
      <c r="M87" s="26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0"/>
      <c r="P87" s="1865"/>
      <c r="Q87" s="1865"/>
      <c r="R87" s="1865"/>
      <c r="S87" s="1865"/>
      <c r="T87" s="1865"/>
      <c r="U87" s="1865"/>
      <c r="V87" s="1865"/>
      <c r="W87" s="289"/>
      <c r="X87" s="289"/>
      <c r="Y87" s="289"/>
      <c r="Z87" s="289"/>
    </row>
    <row r="88" spans="1:26" s="1231" customFormat="1" ht="15" thickBot="1">
      <c r="A88" s="3621" t="s">
        <v>432</v>
      </c>
      <c r="B88" s="3622"/>
      <c r="C88" s="3622"/>
      <c r="D88" s="3622"/>
      <c r="E88" s="3622"/>
      <c r="F88" s="3622"/>
      <c r="G88" s="3622"/>
      <c r="H88" s="3622"/>
      <c r="I88" s="1232"/>
      <c r="J88" s="1873"/>
      <c r="K88" s="3582"/>
      <c r="L88" s="2687" t="s">
        <v>2595</v>
      </c>
      <c r="M88" s="2677" t="e">
        <f>IF(N69&gt;10000,N69*0.5%,IF(AND(N69&gt;5000,N69&lt;=10000),N69*1%,IF(AND(N69&gt;1000,N69&lt;=5000),N69*2%,IF(AND(N69&gt;200,N69&lt;=1000),N69*3%,N69*5%))))</f>
        <v>#VALUE!</v>
      </c>
      <c r="N88" s="53" t="e">
        <f>ROUND(M88,1)</f>
        <v>#VALUE!</v>
      </c>
      <c r="O88" s="2680"/>
      <c r="P88" s="1870"/>
      <c r="Q88" s="1870"/>
      <c r="R88" s="1870"/>
      <c r="S88" s="1870"/>
      <c r="T88" s="1870"/>
      <c r="U88" s="1870"/>
      <c r="V88" s="1870"/>
      <c r="W88" s="1874"/>
      <c r="X88" s="1874"/>
      <c r="Y88" s="1874"/>
      <c r="Z88" s="1874"/>
    </row>
    <row r="89" spans="1:26" s="1231" customFormat="1" ht="14.25">
      <c r="A89" s="3580" t="s">
        <v>423</v>
      </c>
      <c r="B89" s="3581"/>
      <c r="C89" s="964"/>
      <c r="D89" s="964" t="s">
        <v>424</v>
      </c>
      <c r="E89" s="384" t="s">
        <v>433</v>
      </c>
      <c r="F89" s="385"/>
      <c r="G89" s="385"/>
      <c r="H89" s="386"/>
      <c r="I89" s="1233"/>
      <c r="J89" s="1875"/>
      <c r="K89" s="3582"/>
      <c r="L89" s="2687" t="s">
        <v>27</v>
      </c>
      <c r="M89" s="2678"/>
      <c r="N89" s="53" t="e">
        <f>ROUND(SUM(N83:N88),0)</f>
        <v>#VALUE!</v>
      </c>
      <c r="O89" s="2688" t="e">
        <f>N89/N69</f>
        <v>#VALUE!</v>
      </c>
      <c r="P89" s="1870"/>
      <c r="Q89" s="1870"/>
      <c r="R89" s="1870"/>
      <c r="S89" s="1870"/>
      <c r="T89" s="1870"/>
      <c r="U89" s="1870"/>
      <c r="V89" s="1870"/>
      <c r="W89" s="1874"/>
      <c r="X89" s="1874"/>
      <c r="Y89" s="1874"/>
      <c r="Z89" s="1874"/>
    </row>
    <row r="90" spans="1:26" s="1231" customFormat="1" ht="14.25">
      <c r="A90" s="374" t="s">
        <v>1623</v>
      </c>
      <c r="B90" s="375" t="s">
        <v>434</v>
      </c>
      <c r="C90" s="378">
        <f ca="1">ROUND(D63/(1+'数据-取费表'!C42),0)</f>
        <v>2074</v>
      </c>
      <c r="D90" s="371" t="s">
        <v>19</v>
      </c>
      <c r="E90" s="961"/>
      <c r="F90" s="960"/>
      <c r="G90" s="960"/>
      <c r="H90" s="387"/>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4" t="s">
        <v>1629</v>
      </c>
      <c r="B91" s="345" t="s">
        <v>435</v>
      </c>
      <c r="C91" s="378">
        <f ca="1">C92+C96</f>
        <v>10</v>
      </c>
      <c r="D91" s="371" t="s">
        <v>19</v>
      </c>
      <c r="E91" s="961"/>
      <c r="F91" s="960"/>
      <c r="G91" s="960"/>
      <c r="H91" s="387"/>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8" t="s">
        <v>1631</v>
      </c>
      <c r="B93" s="369" t="s">
        <v>437</v>
      </c>
      <c r="C93" s="389"/>
      <c r="D93" s="371" t="s">
        <v>19</v>
      </c>
      <c r="E93" s="390" t="s">
        <v>438</v>
      </c>
      <c r="F93" s="391"/>
      <c r="G93" s="390" t="s">
        <v>439</v>
      </c>
      <c r="H93" s="392">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8" t="s">
        <v>1632</v>
      </c>
      <c r="B94" s="393" t="s">
        <v>440</v>
      </c>
      <c r="C94" s="371">
        <f>IF(F93="购房发票",ROUND(C93*H93*5%,0),0)</f>
        <v>0</v>
      </c>
      <c r="D94" s="394">
        <v>0.05</v>
      </c>
      <c r="E94" s="3618" t="s">
        <v>441</v>
      </c>
      <c r="F94" s="3619"/>
      <c r="G94" s="3619"/>
      <c r="H94" s="3620"/>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8" t="s">
        <v>1634</v>
      </c>
      <c r="B96" s="369" t="s">
        <v>444</v>
      </c>
      <c r="C96" s="398">
        <f ca="1">ROUND(D63*D96/(1+'数据-取费表'!C42),0)</f>
        <v>10</v>
      </c>
      <c r="D96" s="399">
        <f>'数据-取费表'!B43</f>
        <v>5.000000000000001E-3</v>
      </c>
      <c r="E96" s="3577" t="s">
        <v>2215</v>
      </c>
      <c r="F96" s="3578"/>
      <c r="G96" s="3578"/>
      <c r="H96" s="3579"/>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5" t="s">
        <v>445</v>
      </c>
      <c r="C97" s="378">
        <f ca="1">C90-C91</f>
        <v>2064</v>
      </c>
      <c r="D97" s="371" t="s">
        <v>19</v>
      </c>
      <c r="E97" s="961"/>
      <c r="F97" s="960"/>
      <c r="G97" s="960"/>
      <c r="H97" s="387"/>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5" t="s">
        <v>446</v>
      </c>
      <c r="C98" s="400">
        <f ca="1">IF(C97&lt;=0,0,C97/C91)</f>
        <v>206.4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0" t="s">
        <v>447</v>
      </c>
      <c r="C99" s="401">
        <f ca="1">ROUND(IF(C97&lt;=0,0,IF(C98&gt;=200%,C97*60%-C91*35%,IF(C98&gt;=100%,C97*50%-C91*15%,IF(C98&gt;=50%,C97*40%-C91*5%,IF(C98&lt;50%,C97*30%,0))))),0)</f>
        <v>1235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21" t="s">
        <v>448</v>
      </c>
      <c r="B101" s="3622"/>
      <c r="C101" s="3622"/>
      <c r="D101" s="3622"/>
      <c r="E101" s="3622"/>
      <c r="F101" s="3622"/>
      <c r="G101" s="3622"/>
      <c r="H101" s="3622"/>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80" t="s">
        <v>423</v>
      </c>
      <c r="B102" s="3581"/>
      <c r="C102" s="964"/>
      <c r="D102" s="964" t="s">
        <v>424</v>
      </c>
      <c r="E102" s="384" t="s">
        <v>433</v>
      </c>
      <c r="F102" s="385"/>
      <c r="G102" s="385"/>
      <c r="H102" s="406"/>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4" t="s">
        <v>1623</v>
      </c>
      <c r="B103" s="375" t="s">
        <v>434</v>
      </c>
      <c r="C103" s="378">
        <f ca="1">ROUND(D63/(1+'数据-取费表'!C42),0)</f>
        <v>2074</v>
      </c>
      <c r="D103" s="371" t="s">
        <v>19</v>
      </c>
      <c r="E103" s="961"/>
      <c r="F103" s="960"/>
      <c r="G103" s="960"/>
      <c r="H103" s="407"/>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4" t="s">
        <v>1629</v>
      </c>
      <c r="B104" s="345" t="s">
        <v>435</v>
      </c>
      <c r="C104" s="378">
        <f ca="1">IF(H106="仅含出让金",C105+C108+C109+C110+C111+C112,C105+C109+C110+C111+C112)</f>
        <v>10</v>
      </c>
      <c r="D104" s="408"/>
      <c r="E104" s="961"/>
      <c r="F104" s="960"/>
      <c r="G104" s="960"/>
      <c r="H104" s="407"/>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8" t="s">
        <v>1630</v>
      </c>
      <c r="B105" s="369" t="s">
        <v>449</v>
      </c>
      <c r="C105" s="398">
        <f>C106+C107</f>
        <v>0</v>
      </c>
      <c r="D105" s="399"/>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8" t="s">
        <v>1631</v>
      </c>
      <c r="B106" s="369" t="s">
        <v>450</v>
      </c>
      <c r="C106" s="409"/>
      <c r="D106" s="399"/>
      <c r="E106" s="410" t="s">
        <v>451</v>
      </c>
      <c r="F106" s="956"/>
      <c r="G106" s="411" t="s">
        <v>452</v>
      </c>
      <c r="H106" s="412"/>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8" t="s">
        <v>1634</v>
      </c>
      <c r="B108" s="369" t="s">
        <v>454</v>
      </c>
      <c r="C108" s="409"/>
      <c r="D108" s="399"/>
      <c r="E108" s="410" t="str">
        <f>IF(H106="-","土地取得成本中已包含该笔费用"," ")</f>
        <v xml:space="preserve"> </v>
      </c>
      <c r="F108" s="956"/>
      <c r="G108" s="3633" t="s">
        <v>2693</v>
      </c>
      <c r="H108" s="3634"/>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69" t="s">
        <v>455</v>
      </c>
      <c r="C109" s="398">
        <f>IF(H109="——",IF(F1="现房",'剩余法-现房'!C18,0),I109)</f>
        <v>0</v>
      </c>
      <c r="D109" s="399"/>
      <c r="E109" s="3611" t="s">
        <v>456</v>
      </c>
      <c r="F109" s="3578"/>
      <c r="G109" s="3578"/>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69" t="s">
        <v>457</v>
      </c>
      <c r="C110" s="398">
        <f>ROUND((C105+C108+C109)*D110,0)</f>
        <v>0</v>
      </c>
      <c r="D110" s="3183">
        <v>0</v>
      </c>
      <c r="E110" s="3611" t="s">
        <v>458</v>
      </c>
      <c r="F110" s="3578"/>
      <c r="G110" s="3578"/>
      <c r="H110" s="3579"/>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69" t="s">
        <v>444</v>
      </c>
      <c r="C111" s="398">
        <f ca="1">ROUND(D63*D111/(1+'数据-取费表'!C42),0)</f>
        <v>10</v>
      </c>
      <c r="D111" s="399">
        <f>'数据-取费表'!B43</f>
        <v>5.000000000000001E-3</v>
      </c>
      <c r="E111" s="3577" t="s">
        <v>2215</v>
      </c>
      <c r="F111" s="3578"/>
      <c r="G111" s="3578"/>
      <c r="H111" s="3579"/>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69" t="s">
        <v>459</v>
      </c>
      <c r="C112" s="398">
        <f>ROUND(C108*D112,0)</f>
        <v>0</v>
      </c>
      <c r="D112" s="399">
        <v>0.2</v>
      </c>
      <c r="E112" s="3611" t="s">
        <v>2234</v>
      </c>
      <c r="F112" s="3578"/>
      <c r="G112" s="3578"/>
      <c r="H112" s="3579"/>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5" t="s">
        <v>445</v>
      </c>
      <c r="C113" s="378">
        <f ca="1">ROUND(C103-C104,0)</f>
        <v>2064</v>
      </c>
      <c r="D113" s="371" t="s">
        <v>19</v>
      </c>
      <c r="E113" s="961"/>
      <c r="F113" s="960"/>
      <c r="G113" s="960"/>
      <c r="H113" s="407"/>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5" t="s">
        <v>446</v>
      </c>
      <c r="C114" s="400">
        <f ca="1">IF(C113&lt;=0,0,C113/C104)</f>
        <v>206.4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0" t="s">
        <v>447</v>
      </c>
      <c r="C115" s="401">
        <f ca="1">ROUND(IF(C113&lt;=0,0,IF(C114&gt;=200%,C113*60%-C104*35%,IF(C114&gt;=100%,C113*50%-C104*15%,IF(C114&gt;=50%,C113*40%-C104*5%,IF(C114&lt;50%,C113*30%,0))))),0)</f>
        <v>1235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4" customFormat="1" ht="21.75" customHeight="1">
      <c r="K185" s="1878"/>
      <c r="L185" s="1878"/>
      <c r="M185" s="1878"/>
      <c r="N185" s="1878"/>
      <c r="O185" s="187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4"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41" s="1878" customFormat="1" ht="18" customHeight="1">
      <c r="A2" s="416" t="s">
        <v>461</v>
      </c>
      <c r="B2" s="417">
        <f ca="1">C27</f>
        <v>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41" s="1878" customFormat="1" ht="18" customHeight="1">
      <c r="A3" s="1286" t="s">
        <v>1484</v>
      </c>
      <c r="B3" s="418">
        <f ca="1">ROUND(B2*10000/IF(B1="",'数据-汇总表'!E3,INDIRECT("'数据-取费表'!K"&amp;$K$1)),0)</f>
        <v>0</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41" s="1878" customFormat="1" ht="18" customHeight="1">
      <c r="A4" s="419" t="s">
        <v>462</v>
      </c>
      <c r="B4" s="420">
        <f ca="1">ROUND(B2*10000/IF(B1="",'数据-汇总表'!D3,INDIRECT("'数据-取费表'!R"&amp;$K$1)),0)</f>
        <v>0</v>
      </c>
      <c r="C4" s="1898"/>
      <c r="D4" s="1940"/>
      <c r="E4" s="1940"/>
      <c r="F4" s="1940"/>
      <c r="G4" s="1940"/>
      <c r="H4" s="1940"/>
      <c r="I4" s="1940"/>
      <c r="J4" s="1940"/>
      <c r="K4" s="1940"/>
      <c r="L4" s="289"/>
      <c r="M4" s="289"/>
      <c r="N4" s="289"/>
      <c r="O4" s="289"/>
      <c r="P4" s="289"/>
      <c r="Q4" s="289"/>
      <c r="R4" s="289"/>
      <c r="S4" s="289"/>
      <c r="T4" s="289"/>
      <c r="U4" s="289"/>
      <c r="V4" s="289"/>
      <c r="W4" s="289"/>
      <c r="X4" s="289"/>
      <c r="Y4" s="289"/>
      <c r="Z4" s="289"/>
    </row>
    <row r="5" spans="1:41" s="1878" customFormat="1" ht="18" customHeight="1" thickBot="1">
      <c r="A5" s="422"/>
      <c r="B5" s="423">
        <f ca="1">ROUND(B2/(IF(B1="",'数据-汇总表'!D3,INDIRECT("'数据-取费表'!R"&amp;$K$1))/666.67),0)</f>
        <v>0</v>
      </c>
      <c r="C5" s="424" t="s">
        <v>463</v>
      </c>
      <c r="D5" s="1940"/>
      <c r="E5" s="1940"/>
      <c r="F5" s="1940"/>
      <c r="G5" s="1940"/>
      <c r="H5" s="1940"/>
      <c r="I5" s="1940"/>
      <c r="J5" s="1940"/>
      <c r="K5" s="1940"/>
      <c r="L5" s="289"/>
      <c r="M5" s="289"/>
      <c r="N5" s="289"/>
      <c r="O5" s="289"/>
      <c r="P5" s="289"/>
      <c r="Q5" s="289"/>
      <c r="R5" s="289"/>
      <c r="S5" s="289"/>
      <c r="T5" s="289"/>
      <c r="U5" s="289"/>
      <c r="V5" s="289"/>
      <c r="W5" s="289"/>
      <c r="X5" s="289"/>
      <c r="Y5" s="289"/>
      <c r="Z5" s="289"/>
    </row>
    <row r="6" spans="1:41" s="1947" customFormat="1" ht="16.5" customHeight="1">
      <c r="A6" s="425" t="s">
        <v>2369</v>
      </c>
      <c r="B6" s="426"/>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7" t="s">
        <v>464</v>
      </c>
      <c r="B7" s="428" t="s">
        <v>465</v>
      </c>
      <c r="C7" s="3223"/>
      <c r="D7" s="429"/>
      <c r="E7" s="429"/>
      <c r="F7" s="429"/>
      <c r="G7" s="429"/>
      <c r="H7" s="429"/>
      <c r="I7" s="429"/>
      <c r="J7" s="429"/>
      <c r="K7" s="430"/>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1" t="s">
        <v>466</v>
      </c>
      <c r="C8" s="432"/>
      <c r="D8" s="432"/>
      <c r="E8" s="432"/>
      <c r="F8" s="432"/>
      <c r="G8" s="432"/>
      <c r="H8" s="432"/>
      <c r="I8" s="432"/>
      <c r="J8" s="432"/>
      <c r="K8" s="433"/>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7" t="s">
        <v>464</v>
      </c>
      <c r="B12" s="436" t="s">
        <v>465</v>
      </c>
      <c r="C12" s="437" t="s">
        <v>469</v>
      </c>
      <c r="D12" s="438" t="s">
        <v>470</v>
      </c>
      <c r="E12" s="438" t="s">
        <v>471</v>
      </c>
      <c r="F12" s="438" t="s">
        <v>472</v>
      </c>
      <c r="G12" s="436"/>
      <c r="H12" s="439"/>
      <c r="I12" s="439"/>
      <c r="J12" s="439"/>
      <c r="K12" s="440"/>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1" t="s">
        <v>473</v>
      </c>
      <c r="C13" s="442">
        <f ca="1">IF(B1="",'数据-取费表'!M16,INDIRECT("'数据-取费表'!M"&amp;$K$1)+INDIRECT("'数据-取费表'!t"&amp;$K$1))</f>
        <v>895</v>
      </c>
      <c r="D13" s="443"/>
      <c r="E13" s="362"/>
      <c r="F13" s="444"/>
      <c r="G13" s="436"/>
      <c r="H13" s="439"/>
      <c r="I13" s="439"/>
      <c r="J13" s="439"/>
      <c r="K13" s="440"/>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1" t="s">
        <v>474</v>
      </c>
      <c r="C14" s="53">
        <f ca="1">ROUND(C13*F14,0)</f>
        <v>27</v>
      </c>
      <c r="D14" s="443"/>
      <c r="E14" s="362"/>
      <c r="F14" s="445">
        <f>'数据-取费表'!B33</f>
        <v>0.03</v>
      </c>
      <c r="G14" s="436" t="s">
        <v>496</v>
      </c>
      <c r="H14" s="439"/>
      <c r="I14" s="439"/>
      <c r="J14" s="439"/>
      <c r="K14" s="440"/>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1" t="s">
        <v>476</v>
      </c>
      <c r="C15" s="53">
        <f ca="1">ROUND(IF(B1="",SUMIF('数据-取费表'!C:C,"住宅",'数据-取费表'!M:M)*F15,IF(INDIRECT("'数据-取费表'!c"&amp;$K$1)="住宅",INDIRECT("'数据-取费表'!M"&amp;$K$1)*F15,0)),0)</f>
        <v>0</v>
      </c>
      <c r="D15" s="443"/>
      <c r="E15" s="362"/>
      <c r="F15" s="445">
        <f>'数据-取费表'!B34</f>
        <v>0.05</v>
      </c>
      <c r="G15" s="436" t="s">
        <v>496</v>
      </c>
      <c r="H15" s="439"/>
      <c r="I15" s="439"/>
      <c r="J15" s="439"/>
      <c r="K15" s="440"/>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1" t="s">
        <v>478</v>
      </c>
      <c r="C16" s="53">
        <f ca="1">ROUND(D16*E16/10000,0)</f>
        <v>36</v>
      </c>
      <c r="D16" s="443">
        <f ca="1">IF(B1="",'数据-汇总表'!E3,INDIRECT("'数据-取费表'!K"&amp;$K$1)+INDIRECT("'数据-取费表'!S"&amp;$K$1))</f>
        <v>1790.62</v>
      </c>
      <c r="E16" s="53">
        <f>'数据-取费表'!B35</f>
        <v>200</v>
      </c>
      <c r="F16" s="445"/>
      <c r="G16" s="436"/>
      <c r="H16" s="439"/>
      <c r="I16" s="439"/>
      <c r="J16" s="439"/>
      <c r="K16" s="440"/>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1" t="s">
        <v>479</v>
      </c>
      <c r="C17" s="446">
        <f ca="1">ROUND(C13*F17,0)</f>
        <v>13</v>
      </c>
      <c r="D17" s="447"/>
      <c r="E17" s="446"/>
      <c r="F17" s="448">
        <f>'数据-取费表'!B36</f>
        <v>1.4999999999999999E-2</v>
      </c>
      <c r="G17" s="436" t="s">
        <v>496</v>
      </c>
      <c r="H17" s="449"/>
      <c r="I17" s="449"/>
      <c r="J17" s="449"/>
      <c r="K17" s="450"/>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1" t="s">
        <v>481</v>
      </c>
      <c r="C18" s="452">
        <f ca="1">SUM(C13:C17)</f>
        <v>971</v>
      </c>
      <c r="D18" s="453"/>
      <c r="E18" s="454"/>
      <c r="F18" s="454"/>
      <c r="G18" s="1243" t="s">
        <v>2218</v>
      </c>
      <c r="H18" s="439"/>
      <c r="I18" s="439"/>
      <c r="J18" s="439"/>
      <c r="K18" s="440"/>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1" t="s">
        <v>487</v>
      </c>
      <c r="C19" s="452">
        <f ca="1">ROUND(C18*F19,0)</f>
        <v>19</v>
      </c>
      <c r="D19" s="453"/>
      <c r="E19" s="454"/>
      <c r="F19" s="458">
        <f>'数据-取费表'!B37</f>
        <v>0.02</v>
      </c>
      <c r="G19" s="436" t="s">
        <v>497</v>
      </c>
      <c r="H19" s="439"/>
      <c r="I19" s="439"/>
      <c r="J19" s="439"/>
      <c r="K19" s="440"/>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3" t="s">
        <v>488</v>
      </c>
      <c r="C20" s="462">
        <f ca="1">ROUND(IF('数据-取费表'!B22&lt;=1,(C18+C19)*F20*'数据-取费表'!B20/2,(C18+C19)*(POWER((1+F20),'数据-取费表'!B20/2)-1)),0)</f>
        <v>41</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0">
        <f ca="1">ROUND((C18+C19)*F21,0)</f>
        <v>149</v>
      </c>
      <c r="D21" s="3195"/>
      <c r="E21" s="454"/>
      <c r="F21" s="471">
        <f ca="1">IF(B1="",'数据-取费表'!Q16,INDIRECT("'数据-取费表'!q"&amp;$K$1))</f>
        <v>0.15</v>
      </c>
      <c r="G21" s="436"/>
      <c r="H21" s="439"/>
      <c r="I21" s="439"/>
      <c r="J21" s="439"/>
      <c r="K21" s="440"/>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8" t="s">
        <v>498</v>
      </c>
      <c r="C22" s="475"/>
      <c r="D22" s="475"/>
      <c r="E22" s="476"/>
      <c r="F22" s="3197">
        <f ca="1">IF(B1="",'数据-取费表'!N16,INDIRECT("'数据-取费表'!N"&amp;$K$1))</f>
        <v>0</v>
      </c>
      <c r="G22" s="436"/>
      <c r="H22" s="439"/>
      <c r="I22" s="439"/>
      <c r="J22" s="439"/>
      <c r="K22" s="440"/>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7"/>
      <c r="G23" s="428"/>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50" t="s">
        <v>1665</v>
      </c>
      <c r="B24" s="3651"/>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50" t="s">
        <v>2738</v>
      </c>
      <c r="B25" s="3651"/>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50" t="s">
        <v>2739</v>
      </c>
      <c r="B26" s="3651"/>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52" t="s">
        <v>2737</v>
      </c>
      <c r="B27" s="3653"/>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80" zoomScaleNormal="95" zoomScaleSheetLayoutView="80" workbookViewId="0">
      <selection activeCell="E52" sqref="E5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6" t="s">
        <v>461</v>
      </c>
      <c r="B2" s="484">
        <f>F67</f>
        <v>2456</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6">
        <f>ROUND(B2*10000/'数据-汇总表'!E3,0)</f>
        <v>13716</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7" t="s">
        <v>503</v>
      </c>
      <c r="B4" s="420">
        <f>IF(B48="单位面积地价",C50,ROUND(B2*10000/'数据-汇总表'!D3,0))</f>
        <v>1493</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2"/>
      <c r="B5" s="423">
        <f>ROUND(B2/('数据-汇总表'!D3/666.67),0)</f>
        <v>100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8" t="s">
        <v>504</v>
      </c>
      <c r="B6" s="489"/>
      <c r="C6" s="3677" t="s">
        <v>505</v>
      </c>
      <c r="D6" s="3678"/>
      <c r="E6" s="3677" t="s">
        <v>506</v>
      </c>
      <c r="F6" s="3678"/>
      <c r="G6" s="3677" t="s">
        <v>507</v>
      </c>
      <c r="H6" s="3678"/>
      <c r="I6" s="3677" t="s">
        <v>508</v>
      </c>
      <c r="J6" s="3678"/>
      <c r="K6" s="490" t="s">
        <v>509</v>
      </c>
      <c r="L6" s="1969"/>
      <c r="M6" s="1968"/>
      <c r="N6" s="1968"/>
      <c r="O6" s="1970"/>
      <c r="P6" s="3679" t="s">
        <v>510</v>
      </c>
      <c r="Q6" s="3680"/>
      <c r="R6" s="3663" t="s">
        <v>506</v>
      </c>
      <c r="S6" s="3664"/>
      <c r="T6" s="3663" t="s">
        <v>507</v>
      </c>
      <c r="U6" s="3664"/>
      <c r="V6" s="3685" t="s">
        <v>508</v>
      </c>
      <c r="W6" s="3685"/>
      <c r="X6" s="1457"/>
      <c r="Y6" s="3663" t="s">
        <v>510</v>
      </c>
      <c r="Z6" s="3664"/>
      <c r="AA6" s="3658" t="s">
        <v>506</v>
      </c>
      <c r="AB6" s="3659" t="s">
        <v>507</v>
      </c>
      <c r="AC6" s="3658" t="s">
        <v>508</v>
      </c>
    </row>
    <row r="7" spans="1:30" ht="20.25">
      <c r="A7" s="491"/>
      <c r="B7" s="492"/>
      <c r="C7" s="3688" t="s">
        <v>2631</v>
      </c>
      <c r="D7" s="3689"/>
      <c r="E7" s="3688" t="str">
        <f>土地案例!A5</f>
        <v>实验二中西、纬四路南</v>
      </c>
      <c r="F7" s="3689"/>
      <c r="G7" s="3688" t="str">
        <f>土地案例!A22</f>
        <v>纬三路北、现济阳区第二实验中学东</v>
      </c>
      <c r="H7" s="3689"/>
      <c r="I7" s="3688" t="str">
        <f>土地案例!A37</f>
        <v>纬二路南、经四路西</v>
      </c>
      <c r="J7" s="3689"/>
      <c r="K7" s="490"/>
      <c r="L7" s="1969"/>
      <c r="M7" s="1968"/>
      <c r="N7" s="1968"/>
      <c r="O7" s="1970"/>
      <c r="P7" s="3681"/>
      <c r="Q7" s="3682"/>
      <c r="R7" s="3665"/>
      <c r="S7" s="3666"/>
      <c r="T7" s="3665"/>
      <c r="U7" s="3666"/>
      <c r="V7" s="3685"/>
      <c r="W7" s="3685"/>
      <c r="X7" s="1457"/>
      <c r="Y7" s="3665"/>
      <c r="Z7" s="3666"/>
      <c r="AA7" s="3659"/>
      <c r="AB7" s="3659"/>
      <c r="AC7" s="3659"/>
    </row>
    <row r="8" spans="1:30" ht="21" thickBot="1">
      <c r="A8" s="491"/>
      <c r="B8" s="492"/>
      <c r="C8" s="3690" t="s">
        <v>2635</v>
      </c>
      <c r="D8" s="3691"/>
      <c r="E8" s="3690" t="s">
        <v>2635</v>
      </c>
      <c r="F8" s="3691"/>
      <c r="G8" s="3686" t="s">
        <v>2635</v>
      </c>
      <c r="H8" s="3687"/>
      <c r="I8" s="3686" t="s">
        <v>2635</v>
      </c>
      <c r="J8" s="3687"/>
      <c r="K8" s="490" t="s">
        <v>511</v>
      </c>
      <c r="L8" s="1969"/>
      <c r="M8" s="1968"/>
      <c r="N8" s="1968"/>
      <c r="O8" s="1970"/>
      <c r="P8" s="3683"/>
      <c r="Q8" s="3684"/>
      <c r="R8" s="3665"/>
      <c r="S8" s="3666"/>
      <c r="T8" s="3667"/>
      <c r="U8" s="3668"/>
      <c r="V8" s="3685"/>
      <c r="W8" s="3685"/>
      <c r="X8" s="1457"/>
      <c r="Y8" s="3667"/>
      <c r="Z8" s="3668"/>
      <c r="AA8" s="3660"/>
      <c r="AB8" s="3660"/>
      <c r="AC8" s="3660"/>
    </row>
    <row r="9" spans="1:30" s="1166" customFormat="1" ht="21" thickBot="1">
      <c r="A9" s="2551"/>
      <c r="B9" s="2558" t="s">
        <v>512</v>
      </c>
      <c r="C9" s="2550">
        <f>'数据-取费表'!B2</f>
        <v>44819</v>
      </c>
      <c r="D9" s="496">
        <v>100</v>
      </c>
      <c r="E9" s="497" t="str">
        <f>土地案例!K5</f>
        <v>2021-12-23</v>
      </c>
      <c r="F9" s="498">
        <f>SUMIF(71:71,YEAR(E9)&amp;"-"&amp;INT((MONTH(E9)+2)/3),72:72)</f>
        <v>98.5</v>
      </c>
      <c r="G9" s="499" t="str">
        <f>土地案例!K22</f>
        <v>2020-11-28</v>
      </c>
      <c r="H9" s="496">
        <f>SUMIF(71:71,YEAR(G9)&amp;"-"&amp;INT((MONTH(G9)+2)/3),72:72)</f>
        <v>96.5</v>
      </c>
      <c r="I9" s="499" t="str">
        <f>土地案例!K37</f>
        <v>2019-10-14</v>
      </c>
      <c r="J9" s="496">
        <f>SUMIF(71:71,YEAR(I9)&amp;"-"&amp;INT((MONTH(I9)+2)/3),72:72)</f>
        <v>94.5</v>
      </c>
      <c r="K9" s="500"/>
      <c r="L9" s="1971"/>
      <c r="M9" s="1968"/>
      <c r="N9" s="1968"/>
      <c r="O9" s="1972"/>
      <c r="P9" s="3661" t="s">
        <v>513</v>
      </c>
      <c r="Q9" s="3670"/>
      <c r="R9" s="1458" t="s">
        <v>8</v>
      </c>
      <c r="S9" s="1459">
        <f t="shared" ref="S9:S17" si="0">F9</f>
        <v>98.5</v>
      </c>
      <c r="T9" s="1458" t="s">
        <v>8</v>
      </c>
      <c r="U9" s="1459">
        <f t="shared" ref="U9:U17" si="1">H9</f>
        <v>96.5</v>
      </c>
      <c r="V9" s="1458" t="s">
        <v>8</v>
      </c>
      <c r="W9" s="1459">
        <f t="shared" ref="W9:W17" si="2">J9</f>
        <v>94.5</v>
      </c>
      <c r="X9" s="1460"/>
      <c r="Y9" s="3661" t="s">
        <v>513</v>
      </c>
      <c r="Z9" s="3662"/>
      <c r="AA9" s="1461">
        <f>D9/F9</f>
        <v>1.015228426395939</v>
      </c>
      <c r="AB9" s="1461">
        <f>D9/H9</f>
        <v>1.0362694300518134</v>
      </c>
      <c r="AC9" s="1461">
        <f>D9/J9</f>
        <v>1.0582010582010581</v>
      </c>
    </row>
    <row r="10" spans="1:30" s="1166" customFormat="1" ht="21" thickBot="1">
      <c r="A10" s="2552"/>
      <c r="B10" s="2559" t="s">
        <v>514</v>
      </c>
      <c r="C10" s="827" t="s">
        <v>515</v>
      </c>
      <c r="D10" s="496">
        <v>100</v>
      </c>
      <c r="E10" s="3452" t="s">
        <v>3285</v>
      </c>
      <c r="F10" s="498">
        <f>SUMIF(74:74,E10,75:75)-SUMIF(74:74,C10,75:75)+100</f>
        <v>100</v>
      </c>
      <c r="G10" s="3452" t="s">
        <v>3285</v>
      </c>
      <c r="H10" s="496">
        <f>SUMIF(74:74,G10,75:75)-SUMIF(74:74,C10,75:75)+100</f>
        <v>100</v>
      </c>
      <c r="I10" s="3452" t="s">
        <v>3285</v>
      </c>
      <c r="J10" s="496">
        <f>SUMIF(74:74,I10,75:75)-SUMIF(74:74,C10,75:75)+100</f>
        <v>100</v>
      </c>
      <c r="K10" s="500"/>
      <c r="L10" s="1971"/>
      <c r="M10" s="1968"/>
      <c r="N10" s="1968"/>
      <c r="O10" s="1972"/>
      <c r="P10" s="3661" t="s">
        <v>516</v>
      </c>
      <c r="Q10" s="3662"/>
      <c r="R10" s="1458" t="s">
        <v>8</v>
      </c>
      <c r="S10" s="1459">
        <f t="shared" si="0"/>
        <v>100</v>
      </c>
      <c r="T10" s="1458" t="s">
        <v>8</v>
      </c>
      <c r="U10" s="1459">
        <f t="shared" si="1"/>
        <v>100</v>
      </c>
      <c r="V10" s="1458" t="s">
        <v>8</v>
      </c>
      <c r="W10" s="1459">
        <f t="shared" si="2"/>
        <v>100</v>
      </c>
      <c r="X10" s="1460"/>
      <c r="Y10" s="3661" t="s">
        <v>516</v>
      </c>
      <c r="Z10" s="3662"/>
      <c r="AA10" s="1461">
        <f t="shared" ref="AA10:AA47" si="3">D10/F10</f>
        <v>1</v>
      </c>
      <c r="AB10" s="1461">
        <f t="shared" ref="AB10:AB47" si="4">D10/H10</f>
        <v>1</v>
      </c>
      <c r="AC10" s="1461">
        <f t="shared" ref="AC10:AC47" si="5">D10/J10</f>
        <v>1</v>
      </c>
    </row>
    <row r="11" spans="1:30" s="1166" customFormat="1" ht="20.25">
      <c r="A11" s="2553"/>
      <c r="B11" s="3474" t="s">
        <v>2473</v>
      </c>
      <c r="C11" s="2547"/>
      <c r="D11" s="251">
        <v>100</v>
      </c>
      <c r="E11" s="502"/>
      <c r="F11" s="251">
        <f>SUMIF(76:76,E11,77:77)-SUMIF(76:76,C11,77:77)+100</f>
        <v>100</v>
      </c>
      <c r="G11" s="502"/>
      <c r="H11" s="251">
        <f>SUMIF(76:76,G11,77:77)-SUMIF(76:76,C11,77:77)+100</f>
        <v>100</v>
      </c>
      <c r="I11" s="502"/>
      <c r="J11" s="251">
        <f>SUMIF(76:76,I11,77:77)-SUMIF(76:76,C11,77:77)+100</f>
        <v>100</v>
      </c>
      <c r="K11" s="500"/>
      <c r="L11" s="1971"/>
      <c r="M11" s="1968"/>
      <c r="N11" s="1968"/>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7" t="s">
        <v>519</v>
      </c>
      <c r="Z11" s="1096" t="str">
        <f t="shared" ref="Z11:Z17" si="7">Q11</f>
        <v>用途</v>
      </c>
      <c r="AA11" s="1461">
        <f t="shared" si="3"/>
        <v>1</v>
      </c>
      <c r="AB11" s="1461">
        <f t="shared" si="4"/>
        <v>1</v>
      </c>
      <c r="AC11" s="1461">
        <f t="shared" si="5"/>
        <v>1</v>
      </c>
    </row>
    <row r="12" spans="1:30" s="1247" customFormat="1" ht="27">
      <c r="A12" s="2554"/>
      <c r="B12" s="2559" t="s">
        <v>2474</v>
      </c>
      <c r="C12" s="881"/>
      <c r="D12" s="252">
        <v>100</v>
      </c>
      <c r="E12" s="505"/>
      <c r="F12" s="252">
        <f>ROUND(100/'数据-取费表'!G16,0)</f>
        <v>109</v>
      </c>
      <c r="G12" s="506"/>
      <c r="H12" s="252">
        <f>ROUND(100/'数据-取费表'!G16,0)</f>
        <v>109</v>
      </c>
      <c r="I12" s="506"/>
      <c r="J12" s="252">
        <f>ROUND(100/'数据-取费表'!G16,0)</f>
        <v>109</v>
      </c>
      <c r="K12" s="507"/>
      <c r="L12" s="1974"/>
      <c r="M12" s="1968"/>
      <c r="N12" s="1968"/>
      <c r="O12" s="1975"/>
      <c r="P12" s="3669"/>
      <c r="Q12" s="1097" t="str">
        <f t="shared" si="6"/>
        <v>土地使用年限（年）</v>
      </c>
      <c r="R12" s="1458" t="s">
        <v>8</v>
      </c>
      <c r="S12" s="1459">
        <f t="shared" si="0"/>
        <v>109</v>
      </c>
      <c r="T12" s="1458" t="s">
        <v>8</v>
      </c>
      <c r="U12" s="1459">
        <f t="shared" si="1"/>
        <v>109</v>
      </c>
      <c r="V12" s="1458" t="s">
        <v>8</v>
      </c>
      <c r="W12" s="1459">
        <f t="shared" si="2"/>
        <v>109</v>
      </c>
      <c r="X12" s="1460"/>
      <c r="Y12" s="3617"/>
      <c r="Z12" s="1096" t="str">
        <f t="shared" si="7"/>
        <v>土地使用年限（年）</v>
      </c>
      <c r="AA12" s="1461">
        <f t="shared" si="3"/>
        <v>0.91743119266055051</v>
      </c>
      <c r="AB12" s="1461">
        <f t="shared" si="4"/>
        <v>0.91743119266055051</v>
      </c>
      <c r="AC12" s="1461">
        <f t="shared" si="5"/>
        <v>0.91743119266055051</v>
      </c>
    </row>
    <row r="13" spans="1:30" ht="20.25">
      <c r="A13" s="2555"/>
      <c r="B13" s="2559" t="s">
        <v>2475</v>
      </c>
      <c r="C13" s="510">
        <v>0.12</v>
      </c>
      <c r="D13" s="252">
        <v>100</v>
      </c>
      <c r="E13" s="509">
        <v>1.4</v>
      </c>
      <c r="F13" s="252">
        <f>LOOKUP(E13,81:81,82:82)-LOOKUP(C13,81:81,82:82)+100</f>
        <v>110</v>
      </c>
      <c r="G13" s="510">
        <v>1.7</v>
      </c>
      <c r="H13" s="252">
        <f>LOOKUP(G13,81:81,82:82)-LOOKUP(C13,81:81,82:82)+100</f>
        <v>115</v>
      </c>
      <c r="I13" s="509">
        <v>2.2000000000000002</v>
      </c>
      <c r="J13" s="252">
        <f>LOOKUP(I13,81:81,82:82)-LOOKUP(C13,81:81,82:82)+100</f>
        <v>120</v>
      </c>
      <c r="K13" s="511">
        <v>5</v>
      </c>
      <c r="L13" s="1976"/>
      <c r="M13" s="1968"/>
      <c r="N13" s="1968"/>
      <c r="O13" s="1977"/>
      <c r="P13" s="3669"/>
      <c r="Q13" s="1097" t="str">
        <f t="shared" si="6"/>
        <v>容积率</v>
      </c>
      <c r="R13" s="1458" t="s">
        <v>8</v>
      </c>
      <c r="S13" s="1459">
        <f t="shared" si="0"/>
        <v>110</v>
      </c>
      <c r="T13" s="1458" t="s">
        <v>8</v>
      </c>
      <c r="U13" s="1459">
        <f t="shared" si="1"/>
        <v>115</v>
      </c>
      <c r="V13" s="1458" t="s">
        <v>8</v>
      </c>
      <c r="W13" s="1459">
        <f t="shared" si="2"/>
        <v>120</v>
      </c>
      <c r="X13" s="1460"/>
      <c r="Y13" s="3617"/>
      <c r="Z13" s="1096" t="str">
        <f t="shared" si="7"/>
        <v>容积率</v>
      </c>
      <c r="AA13" s="1461">
        <f t="shared" si="3"/>
        <v>0.90909090909090906</v>
      </c>
      <c r="AB13" s="1461">
        <f t="shared" si="4"/>
        <v>0.86956521739130432</v>
      </c>
      <c r="AC13" s="1461">
        <f t="shared" si="5"/>
        <v>0.83333333333333337</v>
      </c>
    </row>
    <row r="14" spans="1:30" s="1166" customFormat="1" ht="20.25">
      <c r="A14" s="2552"/>
      <c r="B14" s="2561" t="s">
        <v>2476</v>
      </c>
      <c r="C14" s="2548"/>
      <c r="D14" s="514">
        <v>100</v>
      </c>
      <c r="E14" s="1281"/>
      <c r="F14" s="252">
        <f>SUMIF(83:83,E14,84:84)-SUMIF(83:83,C14,84:84)+100</f>
        <v>100</v>
      </c>
      <c r="G14" s="506"/>
      <c r="H14" s="252">
        <f>SUMIF(83:83,G14,84:84)-SUMIF(83:83,C14,84:84)+100</f>
        <v>100</v>
      </c>
      <c r="I14" s="505"/>
      <c r="J14" s="252">
        <f>SUMIF(83:83,I14,84:84)-SUMIF(83:83,C14,84:84)+100</f>
        <v>100</v>
      </c>
      <c r="K14" s="507"/>
      <c r="L14" s="1971"/>
      <c r="M14" s="1968"/>
      <c r="N14" s="1968"/>
      <c r="O14" s="1973"/>
      <c r="P14" s="3669"/>
      <c r="Q14" s="1097" t="str">
        <f t="shared" si="6"/>
        <v>配建</v>
      </c>
      <c r="R14" s="1458" t="s">
        <v>8</v>
      </c>
      <c r="S14" s="1459">
        <f t="shared" si="0"/>
        <v>100</v>
      </c>
      <c r="T14" s="1458" t="s">
        <v>8</v>
      </c>
      <c r="U14" s="1459">
        <f t="shared" si="1"/>
        <v>100</v>
      </c>
      <c r="V14" s="1458" t="s">
        <v>8</v>
      </c>
      <c r="W14" s="1459">
        <f t="shared" si="2"/>
        <v>100</v>
      </c>
      <c r="X14" s="1460"/>
      <c r="Y14" s="3617"/>
      <c r="Z14" s="1096" t="str">
        <f t="shared" si="7"/>
        <v>配建</v>
      </c>
      <c r="AA14" s="1461">
        <f>D14/F14</f>
        <v>1</v>
      </c>
      <c r="AB14" s="1461">
        <f>D14/H14</f>
        <v>1</v>
      </c>
      <c r="AC14" s="1461">
        <f>D14/J14</f>
        <v>1</v>
      </c>
    </row>
    <row r="15" spans="1:30" ht="20.25">
      <c r="A15" s="2556"/>
      <c r="B15" s="2562">
        <v>111</v>
      </c>
      <c r="C15" s="883"/>
      <c r="D15" s="516">
        <v>100</v>
      </c>
      <c r="E15" s="517"/>
      <c r="F15" s="252">
        <f>SUMIF(85:85,E15,86:86)-SUMIF(85:85,C15,86:86)+100</f>
        <v>100</v>
      </c>
      <c r="G15" s="518"/>
      <c r="H15" s="516">
        <f>SUMIF(85:85,G15,86:86)-SUMIF(85:85,C15,86:86)+100</f>
        <v>100</v>
      </c>
      <c r="I15" s="518"/>
      <c r="J15" s="516">
        <f>SUMIF(85:85,I15,86:86)-SUMIF(85:85,C15,86:86)+100</f>
        <v>100</v>
      </c>
      <c r="K15" s="507"/>
      <c r="L15" s="1978"/>
      <c r="M15" s="1968"/>
      <c r="N15" s="1968"/>
      <c r="O15" s="1977"/>
      <c r="P15" s="3669"/>
      <c r="Q15" s="1097">
        <f t="shared" si="6"/>
        <v>111</v>
      </c>
      <c r="R15" s="1458" t="s">
        <v>8</v>
      </c>
      <c r="S15" s="1459">
        <f t="shared" si="0"/>
        <v>100</v>
      </c>
      <c r="T15" s="1458" t="s">
        <v>8</v>
      </c>
      <c r="U15" s="1459">
        <f t="shared" si="1"/>
        <v>100</v>
      </c>
      <c r="V15" s="1458" t="s">
        <v>8</v>
      </c>
      <c r="W15" s="1459">
        <f t="shared" si="2"/>
        <v>100</v>
      </c>
      <c r="X15" s="1460"/>
      <c r="Y15" s="3617"/>
      <c r="Z15" s="1096">
        <f t="shared" si="7"/>
        <v>111</v>
      </c>
      <c r="AA15" s="1461">
        <f>D15/F15</f>
        <v>1</v>
      </c>
      <c r="AB15" s="1461">
        <f>D15/H15</f>
        <v>1</v>
      </c>
      <c r="AC15" s="1461">
        <f>D15/J15</f>
        <v>1</v>
      </c>
    </row>
    <row r="16" spans="1:30" ht="21" thickBot="1">
      <c r="A16" s="2557"/>
      <c r="B16" s="2563">
        <v>111</v>
      </c>
      <c r="C16" s="886"/>
      <c r="D16" s="522">
        <v>100</v>
      </c>
      <c r="E16" s="517"/>
      <c r="F16" s="522">
        <f>SUMIF(87:87,E16,88:88)-SUMIF(87:87,C16,88:88)+100</f>
        <v>100</v>
      </c>
      <c r="G16" s="518"/>
      <c r="H16" s="522">
        <f>SUMIF(87:87,G16,88:88)-SUMIF(87:87,C16,88:88)+100</f>
        <v>100</v>
      </c>
      <c r="I16" s="518"/>
      <c r="J16" s="522">
        <f>SUMIF(87:87,I16,88:88)-SUMIF(87:87,C16,88:88)+100</f>
        <v>100</v>
      </c>
      <c r="K16" s="507"/>
      <c r="L16" s="1978"/>
      <c r="M16" s="1968"/>
      <c r="N16" s="1968"/>
      <c r="O16" s="1977"/>
      <c r="P16" s="3669"/>
      <c r="Q16" s="1097">
        <f t="shared" si="6"/>
        <v>111</v>
      </c>
      <c r="R16" s="1458" t="s">
        <v>8</v>
      </c>
      <c r="S16" s="1459">
        <f t="shared" si="0"/>
        <v>100</v>
      </c>
      <c r="T16" s="1458" t="s">
        <v>8</v>
      </c>
      <c r="U16" s="1459">
        <f t="shared" si="1"/>
        <v>100</v>
      </c>
      <c r="V16" s="1458" t="s">
        <v>8</v>
      </c>
      <c r="W16" s="1459">
        <f t="shared" si="2"/>
        <v>100</v>
      </c>
      <c r="X16" s="1460"/>
      <c r="Y16" s="3617"/>
      <c r="Z16" s="1096">
        <f t="shared" si="7"/>
        <v>111</v>
      </c>
      <c r="AA16" s="1461">
        <f>D16/F16</f>
        <v>1</v>
      </c>
      <c r="AB16" s="1461">
        <f>D16/H16</f>
        <v>1</v>
      </c>
      <c r="AC16" s="1461">
        <f>D16/J16</f>
        <v>1</v>
      </c>
    </row>
    <row r="17" spans="1:29" ht="99.75">
      <c r="A17" s="2549"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8"/>
      <c r="M17" s="1968"/>
      <c r="N17" s="1968"/>
      <c r="O17" s="1977"/>
      <c r="P17" s="3671" t="s">
        <v>523</v>
      </c>
      <c r="Q17" s="1462" t="str">
        <f t="shared" si="6"/>
        <v>居住社区成熟度</v>
      </c>
      <c r="R17" s="1463" t="s">
        <v>8</v>
      </c>
      <c r="S17" s="1464">
        <f t="shared" si="0"/>
        <v>100</v>
      </c>
      <c r="T17" s="1463" t="s">
        <v>8</v>
      </c>
      <c r="U17" s="1464">
        <f t="shared" si="1"/>
        <v>100</v>
      </c>
      <c r="V17" s="1463" t="s">
        <v>8</v>
      </c>
      <c r="W17" s="1464">
        <f t="shared" si="2"/>
        <v>100</v>
      </c>
      <c r="X17" s="1457"/>
      <c r="Y17" s="3671" t="s">
        <v>523</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8"/>
      <c r="M18" s="1968"/>
      <c r="N18" s="1968"/>
      <c r="O18" s="1977"/>
      <c r="P18" s="3672"/>
      <c r="Q18" s="1462"/>
      <c r="R18" s="1463"/>
      <c r="S18" s="1464"/>
      <c r="T18" s="1463"/>
      <c r="U18" s="1464"/>
      <c r="V18" s="1463"/>
      <c r="W18" s="1464"/>
      <c r="X18" s="1457"/>
      <c r="Y18" s="3672"/>
      <c r="Z18" s="1465"/>
      <c r="AA18" s="1466">
        <v>1</v>
      </c>
      <c r="AB18" s="1466">
        <v>1</v>
      </c>
      <c r="AC18" s="1466">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8"/>
      <c r="M19" s="1968"/>
      <c r="N19" s="1968"/>
      <c r="O19" s="1977"/>
      <c r="P19" s="3672"/>
      <c r="Q19" s="1462" t="str">
        <f>B19</f>
        <v>商业繁华度</v>
      </c>
      <c r="R19" s="1463" t="s">
        <v>8</v>
      </c>
      <c r="S19" s="1464">
        <f>F19</f>
        <v>100</v>
      </c>
      <c r="T19" s="1463" t="s">
        <v>8</v>
      </c>
      <c r="U19" s="1464">
        <f>H19</f>
        <v>100</v>
      </c>
      <c r="V19" s="1463" t="s">
        <v>8</v>
      </c>
      <c r="W19" s="1464">
        <f>J19</f>
        <v>100</v>
      </c>
      <c r="X19" s="1457"/>
      <c r="Y19" s="3672"/>
      <c r="Z19" s="1465" t="str">
        <f>Q19</f>
        <v>商业繁华度</v>
      </c>
      <c r="AA19" s="1466">
        <f t="shared" si="3"/>
        <v>1</v>
      </c>
      <c r="AB19" s="1466">
        <f t="shared" si="4"/>
        <v>1</v>
      </c>
      <c r="AC19" s="1466">
        <f t="shared" si="5"/>
        <v>1</v>
      </c>
    </row>
    <row r="20" spans="1:29" ht="20.25">
      <c r="A20" s="508"/>
      <c r="B20" s="542"/>
      <c r="C20" s="3453" t="s">
        <v>3287</v>
      </c>
      <c r="D20" s="539"/>
      <c r="E20" s="3454" t="s">
        <v>3287</v>
      </c>
      <c r="F20" s="535"/>
      <c r="G20" s="3455" t="s">
        <v>3287</v>
      </c>
      <c r="H20" s="531"/>
      <c r="I20" s="3454" t="s">
        <v>3287</v>
      </c>
      <c r="J20" s="531"/>
      <c r="K20" s="507"/>
      <c r="L20" s="1978"/>
      <c r="M20" s="1968"/>
      <c r="N20" s="1968"/>
      <c r="O20" s="1977"/>
      <c r="P20" s="3672"/>
      <c r="Q20" s="1462"/>
      <c r="R20" s="1463"/>
      <c r="S20" s="1464"/>
      <c r="T20" s="1463"/>
      <c r="U20" s="1464"/>
      <c r="V20" s="1463"/>
      <c r="W20" s="1464"/>
      <c r="X20" s="1457"/>
      <c r="Y20" s="3672"/>
      <c r="Z20" s="1465"/>
      <c r="AA20" s="1466">
        <v>1</v>
      </c>
      <c r="AB20" s="1466">
        <v>1</v>
      </c>
      <c r="AC20" s="1466">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8"/>
      <c r="M21" s="1968"/>
      <c r="N21" s="1968"/>
      <c r="O21" s="1977"/>
      <c r="P21" s="3672"/>
      <c r="Q21" s="1462" t="str">
        <f>B21</f>
        <v>办公集聚程度</v>
      </c>
      <c r="R21" s="1463" t="s">
        <v>8</v>
      </c>
      <c r="S21" s="1464">
        <f>F21</f>
        <v>100</v>
      </c>
      <c r="T21" s="1463" t="s">
        <v>8</v>
      </c>
      <c r="U21" s="1464">
        <f>H21</f>
        <v>100</v>
      </c>
      <c r="V21" s="1463" t="s">
        <v>8</v>
      </c>
      <c r="W21" s="1464">
        <f>J21</f>
        <v>100</v>
      </c>
      <c r="X21" s="1457"/>
      <c r="Y21" s="3672"/>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8"/>
      <c r="M22" s="1968"/>
      <c r="N22" s="1968"/>
      <c r="O22" s="1977"/>
      <c r="P22" s="3672"/>
      <c r="Q22" s="1462"/>
      <c r="R22" s="1463"/>
      <c r="S22" s="1464"/>
      <c r="T22" s="1463"/>
      <c r="U22" s="1464"/>
      <c r="V22" s="1463"/>
      <c r="W22" s="1464"/>
      <c r="X22" s="1457"/>
      <c r="Y22" s="3672"/>
      <c r="Z22" s="1465"/>
      <c r="AA22" s="1466">
        <v>1</v>
      </c>
      <c r="AB22" s="1466">
        <v>1</v>
      </c>
      <c r="AC22" s="1466">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8"/>
      <c r="M23" s="1968"/>
      <c r="N23" s="1968"/>
      <c r="O23" s="1977"/>
      <c r="P23" s="3672"/>
      <c r="Q23" s="1462" t="str">
        <f>B23</f>
        <v>交通便捷度</v>
      </c>
      <c r="R23" s="1463" t="s">
        <v>8</v>
      </c>
      <c r="S23" s="1464">
        <f>F23</f>
        <v>100</v>
      </c>
      <c r="T23" s="1463" t="s">
        <v>8</v>
      </c>
      <c r="U23" s="1464">
        <f>H23</f>
        <v>100</v>
      </c>
      <c r="V23" s="1463" t="s">
        <v>8</v>
      </c>
      <c r="W23" s="1464">
        <f>J23</f>
        <v>100</v>
      </c>
      <c r="X23" s="1457"/>
      <c r="Y23" s="3672"/>
      <c r="Z23" s="1465" t="str">
        <f>Q23</f>
        <v>交通便捷度</v>
      </c>
      <c r="AA23" s="1466">
        <f t="shared" si="3"/>
        <v>1</v>
      </c>
      <c r="AB23" s="1466">
        <f t="shared" si="4"/>
        <v>1</v>
      </c>
      <c r="AC23" s="1466">
        <f t="shared" si="5"/>
        <v>1</v>
      </c>
    </row>
    <row r="24" spans="1:29" ht="20.25">
      <c r="A24" s="508"/>
      <c r="B24" s="554"/>
      <c r="C24" s="3456" t="s">
        <v>3287</v>
      </c>
      <c r="D24" s="533"/>
      <c r="E24" s="3457" t="s">
        <v>3287</v>
      </c>
      <c r="F24" s="531"/>
      <c r="G24" s="3458" t="s">
        <v>3287</v>
      </c>
      <c r="H24" s="531"/>
      <c r="I24" s="3457" t="s">
        <v>3287</v>
      </c>
      <c r="J24" s="531"/>
      <c r="K24" s="507"/>
      <c r="L24" s="1978"/>
      <c r="M24" s="1968"/>
      <c r="N24" s="1968"/>
      <c r="O24" s="1977"/>
      <c r="P24" s="3672"/>
      <c r="Q24" s="1462"/>
      <c r="R24" s="1463"/>
      <c r="S24" s="1464"/>
      <c r="T24" s="1463"/>
      <c r="U24" s="1464"/>
      <c r="V24" s="1463"/>
      <c r="W24" s="1464"/>
      <c r="X24" s="1457"/>
      <c r="Y24" s="3672"/>
      <c r="Z24" s="1465"/>
      <c r="AA24" s="1466">
        <v>1</v>
      </c>
      <c r="AB24" s="1466">
        <v>1</v>
      </c>
      <c r="AC24" s="1466">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8"/>
      <c r="M25" s="1968"/>
      <c r="N25" s="1968"/>
      <c r="O25" s="1977"/>
      <c r="P25" s="3672"/>
      <c r="Q25" s="1462" t="str">
        <f t="shared" ref="Q25:Q39" si="8">B25</f>
        <v>区域土地利用方向</v>
      </c>
      <c r="R25" s="1463" t="s">
        <v>8</v>
      </c>
      <c r="S25" s="1464">
        <f>F25</f>
        <v>100</v>
      </c>
      <c r="T25" s="1463" t="s">
        <v>8</v>
      </c>
      <c r="U25" s="1464">
        <f>H25</f>
        <v>100</v>
      </c>
      <c r="V25" s="1463" t="s">
        <v>8</v>
      </c>
      <c r="W25" s="1464">
        <f>J25</f>
        <v>100</v>
      </c>
      <c r="X25" s="1457"/>
      <c r="Y25" s="3672"/>
      <c r="Z25" s="1465" t="str">
        <f>Q25</f>
        <v>区域土地利用方向</v>
      </c>
      <c r="AA25" s="1466">
        <f t="shared" si="3"/>
        <v>1</v>
      </c>
      <c r="AB25" s="1466">
        <f t="shared" si="4"/>
        <v>1</v>
      </c>
      <c r="AC25" s="1466">
        <f t="shared" si="5"/>
        <v>1</v>
      </c>
    </row>
    <row r="26" spans="1:29" ht="20.25">
      <c r="A26" s="491"/>
      <c r="B26" s="976"/>
      <c r="C26" s="3456" t="s">
        <v>3288</v>
      </c>
      <c r="D26" s="533"/>
      <c r="E26" s="3457" t="s">
        <v>3288</v>
      </c>
      <c r="F26" s="531"/>
      <c r="G26" s="3458" t="s">
        <v>3288</v>
      </c>
      <c r="H26" s="531"/>
      <c r="I26" s="3457" t="s">
        <v>3288</v>
      </c>
      <c r="J26" s="531"/>
      <c r="K26" s="507"/>
      <c r="L26" s="1978"/>
      <c r="M26" s="1968"/>
      <c r="N26" s="1968"/>
      <c r="O26" s="1977"/>
      <c r="P26" s="3672"/>
      <c r="Q26" s="1462"/>
      <c r="R26" s="1463"/>
      <c r="S26" s="1464"/>
      <c r="T26" s="1463"/>
      <c r="U26" s="1464"/>
      <c r="V26" s="1463"/>
      <c r="W26" s="1464"/>
      <c r="X26" s="1457"/>
      <c r="Y26" s="3672"/>
      <c r="Z26" s="1465"/>
      <c r="AA26" s="1466"/>
      <c r="AB26" s="1466"/>
      <c r="AC26" s="1466"/>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8"/>
      <c r="M27" s="1968"/>
      <c r="N27" s="1968"/>
      <c r="O27" s="1977"/>
      <c r="P27" s="3672"/>
      <c r="Q27" s="1462" t="str">
        <f t="shared" si="8"/>
        <v>自然及人文环境状况</v>
      </c>
      <c r="R27" s="1463" t="s">
        <v>8</v>
      </c>
      <c r="S27" s="1464">
        <f>F27</f>
        <v>100</v>
      </c>
      <c r="T27" s="1463" t="s">
        <v>8</v>
      </c>
      <c r="U27" s="1464">
        <f>H27</f>
        <v>100</v>
      </c>
      <c r="V27" s="1463" t="s">
        <v>8</v>
      </c>
      <c r="W27" s="1464">
        <f>J27</f>
        <v>100</v>
      </c>
      <c r="X27" s="1457"/>
      <c r="Y27" s="3672"/>
      <c r="Z27" s="1465" t="str">
        <f>Q27</f>
        <v>自然及人文环境状况</v>
      </c>
      <c r="AA27" s="1466">
        <f t="shared" si="3"/>
        <v>1</v>
      </c>
      <c r="AB27" s="1466">
        <f t="shared" si="4"/>
        <v>1</v>
      </c>
      <c r="AC27" s="1466">
        <f t="shared" si="5"/>
        <v>1</v>
      </c>
    </row>
    <row r="28" spans="1:29" ht="20.25">
      <c r="A28" s="491"/>
      <c r="B28" s="542"/>
      <c r="C28" s="3456" t="s">
        <v>3287</v>
      </c>
      <c r="D28" s="533"/>
      <c r="E28" s="3459" t="s">
        <v>3287</v>
      </c>
      <c r="F28" s="531"/>
      <c r="G28" s="3456" t="s">
        <v>3287</v>
      </c>
      <c r="H28" s="531"/>
      <c r="I28" s="3459" t="s">
        <v>3287</v>
      </c>
      <c r="J28" s="531"/>
      <c r="K28" s="507"/>
      <c r="L28" s="1978"/>
      <c r="M28" s="1968"/>
      <c r="N28" s="1968"/>
      <c r="O28" s="1977"/>
      <c r="P28" s="3672"/>
      <c r="Q28" s="1462"/>
      <c r="R28" s="1463"/>
      <c r="S28" s="1464"/>
      <c r="T28" s="1463"/>
      <c r="U28" s="1464"/>
      <c r="V28" s="1463"/>
      <c r="W28" s="1464"/>
      <c r="X28" s="1457"/>
      <c r="Y28" s="3672"/>
      <c r="Z28" s="1465"/>
      <c r="AA28" s="1466">
        <v>1</v>
      </c>
      <c r="AB28" s="1466">
        <v>1</v>
      </c>
      <c r="AC28" s="1466">
        <v>1</v>
      </c>
    </row>
    <row r="29" spans="1:29" s="1166" customFormat="1" ht="42.75">
      <c r="A29" s="553"/>
      <c r="B29" s="2357"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1"/>
      <c r="M29" s="1968"/>
      <c r="N29" s="1968"/>
      <c r="O29" s="1973"/>
      <c r="P29" s="3672"/>
      <c r="Q29" s="1097" t="str">
        <f t="shared" si="8"/>
        <v>公共配套设施</v>
      </c>
      <c r="R29" s="1458" t="s">
        <v>8</v>
      </c>
      <c r="S29" s="1459">
        <f>F29</f>
        <v>100</v>
      </c>
      <c r="T29" s="1458" t="s">
        <v>8</v>
      </c>
      <c r="U29" s="1459">
        <f>H29</f>
        <v>100</v>
      </c>
      <c r="V29" s="1458" t="s">
        <v>8</v>
      </c>
      <c r="W29" s="1459">
        <f>J29</f>
        <v>100</v>
      </c>
      <c r="X29" s="1460"/>
      <c r="Y29" s="3672"/>
      <c r="Z29" s="1096" t="str">
        <f>Q29</f>
        <v>公共配套设施</v>
      </c>
      <c r="AA29" s="1466">
        <f>D29/F29</f>
        <v>1</v>
      </c>
      <c r="AB29" s="1466">
        <f>D29/H29</f>
        <v>1</v>
      </c>
      <c r="AC29" s="1466">
        <f>D29/J29</f>
        <v>1</v>
      </c>
    </row>
    <row r="30" spans="1:29" s="1166" customFormat="1" ht="20.25">
      <c r="A30" s="553"/>
      <c r="B30" s="542"/>
      <c r="C30" s="3460" t="s">
        <v>3287</v>
      </c>
      <c r="D30" s="533"/>
      <c r="E30" s="3459" t="s">
        <v>3287</v>
      </c>
      <c r="F30" s="531"/>
      <c r="G30" s="3456" t="s">
        <v>3287</v>
      </c>
      <c r="H30" s="531"/>
      <c r="I30" s="3459" t="s">
        <v>3287</v>
      </c>
      <c r="J30" s="531"/>
      <c r="K30" s="507"/>
      <c r="L30" s="1971"/>
      <c r="M30" s="1968"/>
      <c r="N30" s="1968"/>
      <c r="O30" s="1973"/>
      <c r="P30" s="3672"/>
      <c r="Q30" s="1097"/>
      <c r="R30" s="1458"/>
      <c r="S30" s="1459"/>
      <c r="T30" s="1458"/>
      <c r="U30" s="1459"/>
      <c r="V30" s="1458"/>
      <c r="W30" s="1459"/>
      <c r="X30" s="1460"/>
      <c r="Y30" s="3672"/>
      <c r="Z30" s="1096"/>
      <c r="AA30" s="1466">
        <v>1</v>
      </c>
      <c r="AB30" s="1466">
        <v>1</v>
      </c>
      <c r="AC30" s="1466">
        <v>1</v>
      </c>
    </row>
    <row r="31" spans="1:29" s="1166" customFormat="1" ht="28.5">
      <c r="A31" s="553"/>
      <c r="B31" s="2357"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1"/>
      <c r="M31" s="1968"/>
      <c r="N31" s="1968"/>
      <c r="O31" s="1973"/>
      <c r="P31" s="3672"/>
      <c r="Q31" s="2350" t="str">
        <f t="shared" ref="Q31" si="9">B31</f>
        <v>基础设施水平</v>
      </c>
      <c r="R31" s="1458" t="s">
        <v>8</v>
      </c>
      <c r="S31" s="1459">
        <f>F31</f>
        <v>100</v>
      </c>
      <c r="T31" s="1458" t="s">
        <v>8</v>
      </c>
      <c r="U31" s="1459">
        <f>H31</f>
        <v>100</v>
      </c>
      <c r="V31" s="1458" t="s">
        <v>8</v>
      </c>
      <c r="W31" s="1459">
        <f>J31</f>
        <v>100</v>
      </c>
      <c r="X31" s="1460"/>
      <c r="Y31" s="3672"/>
      <c r="Z31" s="2349" t="str">
        <f>Q31</f>
        <v>基础设施水平</v>
      </c>
      <c r="AA31" s="1466">
        <f>D31/F31</f>
        <v>1</v>
      </c>
      <c r="AB31" s="1466">
        <f>D31/H31</f>
        <v>1</v>
      </c>
      <c r="AC31" s="1466">
        <f>D31/J31</f>
        <v>1</v>
      </c>
    </row>
    <row r="32" spans="1:29" s="1166" customFormat="1" ht="20.25">
      <c r="A32" s="553"/>
      <c r="B32" s="542"/>
      <c r="C32" s="3460" t="s">
        <v>3289</v>
      </c>
      <c r="D32" s="533"/>
      <c r="E32" s="3461" t="s">
        <v>3289</v>
      </c>
      <c r="F32" s="531"/>
      <c r="G32" s="3460" t="s">
        <v>3289</v>
      </c>
      <c r="H32" s="531"/>
      <c r="I32" s="3460" t="s">
        <v>3289</v>
      </c>
      <c r="J32" s="531"/>
      <c r="K32" s="507"/>
      <c r="L32" s="1971"/>
      <c r="M32" s="1968"/>
      <c r="N32" s="1968"/>
      <c r="O32" s="1973"/>
      <c r="P32" s="3672"/>
      <c r="Q32" s="2350"/>
      <c r="R32" s="1458"/>
      <c r="S32" s="1459"/>
      <c r="T32" s="1458"/>
      <c r="U32" s="1459"/>
      <c r="V32" s="1458"/>
      <c r="W32" s="1459"/>
      <c r="X32" s="1460"/>
      <c r="Y32" s="3672"/>
      <c r="Z32" s="2349"/>
      <c r="AA32" s="1466">
        <v>1</v>
      </c>
      <c r="AB32" s="1466">
        <v>1</v>
      </c>
      <c r="AC32" s="1466">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8"/>
      <c r="M33" s="1968"/>
      <c r="N33" s="1968"/>
      <c r="O33" s="1977"/>
      <c r="P33" s="3672"/>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72"/>
      <c r="Z33" s="1465" t="str">
        <f t="shared" ref="Z33:Z47" si="13">Q33</f>
        <v>临街状况</v>
      </c>
      <c r="AA33" s="1466">
        <f t="shared" si="3"/>
        <v>1</v>
      </c>
      <c r="AB33" s="1466">
        <f t="shared" si="4"/>
        <v>1</v>
      </c>
      <c r="AC33" s="1466">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8"/>
      <c r="M34" s="1968"/>
      <c r="N34" s="1968"/>
      <c r="O34" s="1977"/>
      <c r="P34" s="3672"/>
      <c r="Q34" s="1462" t="str">
        <f t="shared" si="8"/>
        <v>毗邻道路的类型与等级</v>
      </c>
      <c r="R34" s="1463" t="s">
        <v>8</v>
      </c>
      <c r="S34" s="1464">
        <f t="shared" si="10"/>
        <v>100</v>
      </c>
      <c r="T34" s="1463" t="s">
        <v>8</v>
      </c>
      <c r="U34" s="1464">
        <f t="shared" si="11"/>
        <v>100</v>
      </c>
      <c r="V34" s="1463" t="s">
        <v>8</v>
      </c>
      <c r="W34" s="1464">
        <f t="shared" si="12"/>
        <v>100</v>
      </c>
      <c r="X34" s="1457"/>
      <c r="Y34" s="3672"/>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8"/>
      <c r="M35" s="1968"/>
      <c r="N35" s="1968"/>
      <c r="O35" s="1977"/>
      <c r="P35" s="3672"/>
      <c r="Q35" s="1462"/>
      <c r="R35" s="1463"/>
      <c r="S35" s="1464"/>
      <c r="T35" s="1463"/>
      <c r="U35" s="1464"/>
      <c r="V35" s="1463"/>
      <c r="W35" s="1464"/>
      <c r="X35" s="1457"/>
      <c r="Y35" s="3672"/>
      <c r="Z35" s="1465"/>
      <c r="AA35" s="1466">
        <v>1</v>
      </c>
      <c r="AB35" s="1466">
        <v>1</v>
      </c>
      <c r="AC35" s="1466">
        <v>1</v>
      </c>
    </row>
    <row r="36" spans="1:29" ht="20.25">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8"/>
      <c r="M36" s="1968"/>
      <c r="N36" s="1968"/>
      <c r="O36" s="1977"/>
      <c r="P36" s="3672"/>
      <c r="Q36" s="1462" t="str">
        <f t="shared" si="8"/>
        <v>土地级别</v>
      </c>
      <c r="R36" s="1463" t="s">
        <v>8</v>
      </c>
      <c r="S36" s="1464">
        <f t="shared" si="10"/>
        <v>100</v>
      </c>
      <c r="T36" s="1463" t="s">
        <v>8</v>
      </c>
      <c r="U36" s="1464">
        <f t="shared" si="11"/>
        <v>100</v>
      </c>
      <c r="V36" s="1463" t="s">
        <v>8</v>
      </c>
      <c r="W36" s="1464">
        <f t="shared" si="12"/>
        <v>100</v>
      </c>
      <c r="X36" s="1457"/>
      <c r="Y36" s="3672"/>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8"/>
      <c r="M37" s="1968"/>
      <c r="N37" s="1968"/>
      <c r="O37" s="1977"/>
      <c r="P37" s="3672"/>
      <c r="Q37" s="1462">
        <f t="shared" si="8"/>
        <v>111</v>
      </c>
      <c r="R37" s="1463" t="s">
        <v>8</v>
      </c>
      <c r="S37" s="1464">
        <f t="shared" si="10"/>
        <v>100</v>
      </c>
      <c r="T37" s="1463" t="s">
        <v>8</v>
      </c>
      <c r="U37" s="1464">
        <f t="shared" si="11"/>
        <v>100</v>
      </c>
      <c r="V37" s="1463" t="s">
        <v>8</v>
      </c>
      <c r="W37" s="1464">
        <f t="shared" si="12"/>
        <v>100</v>
      </c>
      <c r="X37" s="1457"/>
      <c r="Y37" s="3672"/>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8"/>
      <c r="M38" s="1968"/>
      <c r="N38" s="1968"/>
      <c r="O38" s="1977"/>
      <c r="P38" s="3673" t="s">
        <v>533</v>
      </c>
      <c r="Q38" s="1462">
        <f t="shared" si="8"/>
        <v>111</v>
      </c>
      <c r="R38" s="1463" t="s">
        <v>8</v>
      </c>
      <c r="S38" s="1464">
        <f t="shared" si="10"/>
        <v>100</v>
      </c>
      <c r="T38" s="1463" t="s">
        <v>8</v>
      </c>
      <c r="U38" s="1464">
        <f t="shared" si="11"/>
        <v>100</v>
      </c>
      <c r="V38" s="1463" t="s">
        <v>8</v>
      </c>
      <c r="W38" s="1464">
        <f t="shared" si="12"/>
        <v>100</v>
      </c>
      <c r="X38" s="1457"/>
      <c r="Y38" s="3674" t="s">
        <v>533</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6"/>
      <c r="M39" s="1968"/>
      <c r="N39" s="1968"/>
      <c r="O39" s="1979"/>
      <c r="P39" s="3674"/>
      <c r="Q39" s="1462">
        <f t="shared" si="8"/>
        <v>111</v>
      </c>
      <c r="R39" s="1467" t="s">
        <v>8</v>
      </c>
      <c r="S39" s="1468">
        <f t="shared" si="10"/>
        <v>100</v>
      </c>
      <c r="T39" s="1467" t="s">
        <v>8</v>
      </c>
      <c r="U39" s="1468">
        <f t="shared" si="11"/>
        <v>100</v>
      </c>
      <c r="V39" s="1467" t="s">
        <v>8</v>
      </c>
      <c r="W39" s="1468">
        <f t="shared" si="12"/>
        <v>100</v>
      </c>
      <c r="X39" s="1469"/>
      <c r="Y39" s="3674"/>
      <c r="Z39" s="1470">
        <f t="shared" si="13"/>
        <v>111</v>
      </c>
      <c r="AA39" s="1466">
        <f t="shared" si="3"/>
        <v>1</v>
      </c>
      <c r="AB39" s="1466">
        <f t="shared" si="4"/>
        <v>1</v>
      </c>
      <c r="AC39" s="1466">
        <f t="shared" si="5"/>
        <v>1</v>
      </c>
    </row>
    <row r="40" spans="1:29" ht="20.25">
      <c r="A40" s="2546" t="s">
        <v>2472</v>
      </c>
      <c r="B40" s="571" t="s">
        <v>535</v>
      </c>
      <c r="C40" s="572">
        <f>'数据-基础表'!A3</f>
        <v>16450</v>
      </c>
      <c r="D40" s="573">
        <v>100</v>
      </c>
      <c r="E40" s="572">
        <f>土地案例!D5</f>
        <v>3546.74</v>
      </c>
      <c r="F40" s="573">
        <f>LOOKUP(E40,118:118,119:119)-LOOKUP(C40,118:118,119:119)+100</f>
        <v>98</v>
      </c>
      <c r="G40" s="572">
        <f>土地案例!D22</f>
        <v>6639</v>
      </c>
      <c r="H40" s="573">
        <f>LOOKUP(G40,118:118,119:119)-LOOKUP(C40,118:118,119:119)+100</f>
        <v>99</v>
      </c>
      <c r="I40" s="574">
        <f>土地案例!D37</f>
        <v>39247.699999999997</v>
      </c>
      <c r="J40" s="573">
        <f>LOOKUP(I40,118:118,119:119)-LOOKUP(C40,118:118,119:119)+100</f>
        <v>102</v>
      </c>
      <c r="K40" s="557"/>
      <c r="L40" s="1978"/>
      <c r="M40" s="1968"/>
      <c r="N40" s="1968"/>
      <c r="O40" s="1977"/>
      <c r="P40" s="3674"/>
      <c r="Q40" s="1462" t="str">
        <f>B40</f>
        <v>宗地面积</v>
      </c>
      <c r="R40" s="1463" t="s">
        <v>8</v>
      </c>
      <c r="S40" s="1464">
        <f t="shared" si="10"/>
        <v>98</v>
      </c>
      <c r="T40" s="1463" t="s">
        <v>8</v>
      </c>
      <c r="U40" s="1464">
        <f t="shared" si="11"/>
        <v>99</v>
      </c>
      <c r="V40" s="1463" t="s">
        <v>8</v>
      </c>
      <c r="W40" s="1464">
        <f t="shared" si="12"/>
        <v>102</v>
      </c>
      <c r="X40" s="1457"/>
      <c r="Y40" s="3674"/>
      <c r="Z40" s="1465" t="str">
        <f t="shared" si="13"/>
        <v>宗地面积</v>
      </c>
      <c r="AA40" s="1466">
        <f t="shared" si="3"/>
        <v>1.0204081632653061</v>
      </c>
      <c r="AB40" s="1466">
        <f t="shared" si="4"/>
        <v>1.0101010101010102</v>
      </c>
      <c r="AC40" s="1466">
        <f t="shared" si="5"/>
        <v>0.98039215686274506</v>
      </c>
    </row>
    <row r="41" spans="1:29" ht="20.25">
      <c r="A41" s="570"/>
      <c r="B41" s="503"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8"/>
      <c r="M41" s="1968"/>
      <c r="N41" s="1968"/>
      <c r="O41" s="1977"/>
      <c r="P41" s="3674"/>
      <c r="Q41" s="1462" t="str">
        <f t="shared" ref="Q41:Q47" si="14">B41</f>
        <v>宗地形状</v>
      </c>
      <c r="R41" s="1463" t="s">
        <v>8</v>
      </c>
      <c r="S41" s="1464">
        <f t="shared" si="10"/>
        <v>100</v>
      </c>
      <c r="T41" s="1463" t="s">
        <v>8</v>
      </c>
      <c r="U41" s="1464">
        <f t="shared" si="11"/>
        <v>100</v>
      </c>
      <c r="V41" s="1463" t="s">
        <v>8</v>
      </c>
      <c r="W41" s="1464">
        <f t="shared" si="12"/>
        <v>100</v>
      </c>
      <c r="X41" s="1457"/>
      <c r="Y41" s="3674"/>
      <c r="Z41" s="1465" t="str">
        <f t="shared" si="13"/>
        <v>宗地形状</v>
      </c>
      <c r="AA41" s="1466">
        <f t="shared" si="3"/>
        <v>1</v>
      </c>
      <c r="AB41" s="1466">
        <f t="shared" si="4"/>
        <v>1</v>
      </c>
      <c r="AC41" s="1466">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8"/>
      <c r="M42" s="1968"/>
      <c r="N42" s="1968"/>
      <c r="O42" s="1977"/>
      <c r="P42" s="3674"/>
      <c r="Q42" s="1462" t="str">
        <f t="shared" si="14"/>
        <v>临街宽度及深度</v>
      </c>
      <c r="R42" s="1463" t="s">
        <v>8</v>
      </c>
      <c r="S42" s="1464">
        <f t="shared" si="10"/>
        <v>100</v>
      </c>
      <c r="T42" s="1463" t="s">
        <v>8</v>
      </c>
      <c r="U42" s="1464">
        <f t="shared" si="11"/>
        <v>100</v>
      </c>
      <c r="V42" s="1463" t="s">
        <v>8</v>
      </c>
      <c r="W42" s="1464">
        <f t="shared" si="12"/>
        <v>100</v>
      </c>
      <c r="X42" s="1457"/>
      <c r="Y42" s="3674"/>
      <c r="Z42" s="1465" t="str">
        <f t="shared" si="13"/>
        <v>临街宽度及深度</v>
      </c>
      <c r="AA42" s="1466">
        <f t="shared" si="3"/>
        <v>1</v>
      </c>
      <c r="AB42" s="1466">
        <f t="shared" si="4"/>
        <v>1</v>
      </c>
      <c r="AC42" s="1466">
        <f t="shared" si="5"/>
        <v>1</v>
      </c>
    </row>
    <row r="43" spans="1:29" s="1166" customFormat="1" ht="20.25">
      <c r="A43" s="576"/>
      <c r="B43" s="1764"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1"/>
      <c r="M43" s="1968"/>
      <c r="N43" s="1968"/>
      <c r="O43" s="1973"/>
      <c r="P43" s="3674"/>
      <c r="Q43" s="1462" t="str">
        <f t="shared" si="14"/>
        <v>宗地开发程度</v>
      </c>
      <c r="R43" s="1458" t="s">
        <v>8</v>
      </c>
      <c r="S43" s="1459">
        <f t="shared" si="10"/>
        <v>100</v>
      </c>
      <c r="T43" s="1458" t="s">
        <v>8</v>
      </c>
      <c r="U43" s="1459">
        <f t="shared" si="11"/>
        <v>100</v>
      </c>
      <c r="V43" s="1458" t="s">
        <v>8</v>
      </c>
      <c r="W43" s="1459">
        <f t="shared" si="12"/>
        <v>100</v>
      </c>
      <c r="X43" s="1460"/>
      <c r="Y43" s="3674"/>
      <c r="Z43" s="1096" t="str">
        <f t="shared" si="13"/>
        <v>宗地开发程度</v>
      </c>
      <c r="AA43" s="1461">
        <f t="shared" si="3"/>
        <v>1</v>
      </c>
      <c r="AB43" s="1461">
        <f t="shared" si="4"/>
        <v>1</v>
      </c>
      <c r="AC43" s="1461">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8"/>
      <c r="M44" s="1968"/>
      <c r="N44" s="1968"/>
      <c r="O44" s="1977"/>
      <c r="P44" s="3674" t="s">
        <v>533</v>
      </c>
      <c r="Q44" s="1462" t="str">
        <f t="shared" si="14"/>
        <v>工程地质条件</v>
      </c>
      <c r="R44" s="1463" t="s">
        <v>8</v>
      </c>
      <c r="S44" s="1464">
        <f t="shared" si="10"/>
        <v>100</v>
      </c>
      <c r="T44" s="1463" t="s">
        <v>8</v>
      </c>
      <c r="U44" s="1464">
        <f t="shared" si="11"/>
        <v>100</v>
      </c>
      <c r="V44" s="1463" t="s">
        <v>8</v>
      </c>
      <c r="W44" s="1464">
        <f t="shared" si="12"/>
        <v>100</v>
      </c>
      <c r="X44" s="1457"/>
      <c r="Y44" s="3674" t="s">
        <v>533</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8"/>
      <c r="M45" s="1968"/>
      <c r="N45" s="1968"/>
      <c r="O45" s="1977"/>
      <c r="P45" s="3674"/>
      <c r="Q45" s="1462">
        <f t="shared" si="14"/>
        <v>111</v>
      </c>
      <c r="R45" s="1463" t="s">
        <v>8</v>
      </c>
      <c r="S45" s="1464">
        <f t="shared" si="10"/>
        <v>100</v>
      </c>
      <c r="T45" s="1463" t="s">
        <v>8</v>
      </c>
      <c r="U45" s="1464">
        <f t="shared" si="11"/>
        <v>100</v>
      </c>
      <c r="V45" s="1463" t="s">
        <v>8</v>
      </c>
      <c r="W45" s="1464">
        <f t="shared" si="12"/>
        <v>100</v>
      </c>
      <c r="X45" s="1457"/>
      <c r="Y45" s="3674"/>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8"/>
      <c r="M46" s="1968"/>
      <c r="N46" s="1968"/>
      <c r="O46" s="1977"/>
      <c r="P46" s="3674"/>
      <c r="Q46" s="1462">
        <f t="shared" si="14"/>
        <v>111</v>
      </c>
      <c r="R46" s="1463" t="s">
        <v>8</v>
      </c>
      <c r="S46" s="1464">
        <f t="shared" si="10"/>
        <v>100</v>
      </c>
      <c r="T46" s="1463" t="s">
        <v>8</v>
      </c>
      <c r="U46" s="1464">
        <f t="shared" si="11"/>
        <v>100</v>
      </c>
      <c r="V46" s="1463" t="s">
        <v>8</v>
      </c>
      <c r="W46" s="1464">
        <f t="shared" si="12"/>
        <v>100</v>
      </c>
      <c r="X46" s="1457"/>
      <c r="Y46" s="3674"/>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6"/>
      <c r="M47" s="1968"/>
      <c r="N47" s="1968"/>
      <c r="O47" s="1979"/>
      <c r="P47" s="3674"/>
      <c r="Q47" s="1462">
        <f t="shared" si="14"/>
        <v>111</v>
      </c>
      <c r="R47" s="1467" t="s">
        <v>8</v>
      </c>
      <c r="S47" s="1468">
        <f t="shared" si="10"/>
        <v>100</v>
      </c>
      <c r="T47" s="1467" t="s">
        <v>8</v>
      </c>
      <c r="U47" s="1468">
        <f t="shared" si="11"/>
        <v>100</v>
      </c>
      <c r="V47" s="1467" t="s">
        <v>8</v>
      </c>
      <c r="W47" s="1468">
        <f t="shared" si="12"/>
        <v>100</v>
      </c>
      <c r="X47" s="1469"/>
      <c r="Y47" s="3674"/>
      <c r="Z47" s="1470">
        <f t="shared" si="13"/>
        <v>111</v>
      </c>
      <c r="AA47" s="1466">
        <f t="shared" si="3"/>
        <v>1</v>
      </c>
      <c r="AB47" s="1466">
        <f t="shared" si="4"/>
        <v>1</v>
      </c>
      <c r="AC47" s="1466">
        <f t="shared" si="5"/>
        <v>1</v>
      </c>
    </row>
    <row r="48" spans="1:29" ht="20.25">
      <c r="A48" s="583" t="s">
        <v>539</v>
      </c>
      <c r="B48" s="584" t="s">
        <v>3286</v>
      </c>
      <c r="C48" s="585" t="s">
        <v>1</v>
      </c>
      <c r="D48" s="586"/>
      <c r="E48" s="587">
        <f>土地案例!R5</f>
        <v>1683</v>
      </c>
      <c r="F48" s="588"/>
      <c r="G48" s="589">
        <f>土地案例!R22</f>
        <v>1770</v>
      </c>
      <c r="H48" s="590"/>
      <c r="I48" s="587">
        <f>土地案例!R37</f>
        <v>1950</v>
      </c>
      <c r="J48" s="590"/>
      <c r="K48" s="1249"/>
      <c r="L48" s="1980"/>
      <c r="M48" s="1968"/>
      <c r="N48" s="1968"/>
      <c r="O48" s="1981"/>
      <c r="P48" s="3669" t="str">
        <f>A48</f>
        <v>成交单价</v>
      </c>
      <c r="Q48" s="3669"/>
      <c r="R48" s="3685">
        <f>E48</f>
        <v>1683</v>
      </c>
      <c r="S48" s="3685"/>
      <c r="T48" s="3685">
        <f>G48</f>
        <v>1770</v>
      </c>
      <c r="U48" s="3685"/>
      <c r="V48" s="3685">
        <f>I48</f>
        <v>1950</v>
      </c>
      <c r="W48" s="3685"/>
      <c r="X48" s="1452"/>
      <c r="Y48" s="1471"/>
      <c r="Z48" s="1452"/>
      <c r="AA48" s="1452"/>
      <c r="AB48" s="1452"/>
      <c r="AC48" s="1452"/>
    </row>
    <row r="49" spans="1:29" ht="21" thickBot="1">
      <c r="A49" s="591" t="s">
        <v>2410</v>
      </c>
      <c r="B49" s="592"/>
      <c r="C49" s="593">
        <f>R50</f>
        <v>1493</v>
      </c>
      <c r="D49" s="2922" t="s">
        <v>2702</v>
      </c>
      <c r="E49" s="593">
        <f>R49</f>
        <v>1454</v>
      </c>
      <c r="F49" s="2923"/>
      <c r="G49" s="594">
        <f>T49</f>
        <v>1478</v>
      </c>
      <c r="H49" s="2923"/>
      <c r="I49" s="593">
        <f>V49</f>
        <v>1547</v>
      </c>
      <c r="J49" s="2923"/>
      <c r="K49" s="2924">
        <f>F49+H49+J49</f>
        <v>0</v>
      </c>
      <c r="L49" s="1980"/>
      <c r="M49" s="1968"/>
      <c r="N49" s="1968"/>
      <c r="O49" s="1981"/>
      <c r="P49" s="3669" t="str">
        <f>A49</f>
        <v>比较价格（元/平方米）</v>
      </c>
      <c r="Q49" s="3669"/>
      <c r="R49" s="3693">
        <f>ROUND(PRODUCT(R48,AA9:AA47),0)</f>
        <v>1454</v>
      </c>
      <c r="S49" s="3693"/>
      <c r="T49" s="3693">
        <f>ROUND(PRODUCT(T48,AB9:AB47),0)</f>
        <v>1478</v>
      </c>
      <c r="U49" s="3693"/>
      <c r="V49" s="3693">
        <f>ROUND(PRODUCT(V48,AC9:AC47),0)</f>
        <v>1547</v>
      </c>
      <c r="W49" s="3693"/>
      <c r="X49" s="1452"/>
      <c r="Y49" s="1452"/>
      <c r="Z49" s="1452"/>
      <c r="AA49" s="1452"/>
      <c r="AB49" s="1452"/>
      <c r="AC49" s="1452"/>
    </row>
    <row r="50" spans="1:29" ht="21" thickBot="1">
      <c r="A50" s="595" t="s">
        <v>2637</v>
      </c>
      <c r="B50" s="596"/>
      <c r="C50" s="597">
        <f>R50</f>
        <v>1493</v>
      </c>
      <c r="D50" s="597"/>
      <c r="E50" s="597"/>
      <c r="F50" s="597"/>
      <c r="G50" s="597"/>
      <c r="H50" s="597"/>
      <c r="I50" s="597"/>
      <c r="J50" s="597"/>
      <c r="K50" s="1250"/>
      <c r="L50" s="1980"/>
      <c r="M50" s="1968"/>
      <c r="N50" s="1968"/>
      <c r="O50" s="1981"/>
      <c r="P50" s="3675" t="str">
        <f>A50</f>
        <v>估价对象XX用房的比较价格（楼面单价，元/平方米）</v>
      </c>
      <c r="Q50" s="3676"/>
      <c r="R50" s="3692">
        <f>ROUND(IF(D49="简单平均",AVERAGE(R49:W49),R49*F49+T49*H49+V49*J49),0)</f>
        <v>1493</v>
      </c>
      <c r="S50" s="3692"/>
      <c r="T50" s="3692"/>
      <c r="U50" s="3692"/>
      <c r="V50" s="3692"/>
      <c r="W50" s="3692"/>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f>IF(E48&lt;E49,E49/E48-1,E48/E49-1)</f>
        <v>0.15749656121045397</v>
      </c>
      <c r="F53" s="601" t="str">
        <f>IF(OR(E53&gt;=0.3,E53&lt;=-0.3),"超过30%","")</f>
        <v/>
      </c>
      <c r="G53" s="600">
        <f>IF(G48&lt;G49,G49/G48-1,G48/G49-1)</f>
        <v>0.1975642760487144</v>
      </c>
      <c r="H53" s="601" t="str">
        <f>IF(OR(G53&gt;=0.3,G53&lt;=-0.3),"超过30%","")</f>
        <v/>
      </c>
      <c r="I53" s="600">
        <f>IF(I48&lt;I49,I49/I48-1,I48/I49-1)</f>
        <v>0.26050420168067223</v>
      </c>
      <c r="J53" s="601"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f>IF(E49&lt;G49,G49/E49-1,E49/G49-1)</f>
        <v>1.6506189821182904E-2</v>
      </c>
      <c r="F54" s="601" t="str">
        <f>IF(OR(E54&gt;=0.2,E54&lt;=-0.2),"超过20%","")</f>
        <v/>
      </c>
      <c r="G54" s="600">
        <f>IF(G49&lt;I49,I49/G49-1,G49/I49-1)</f>
        <v>4.6684709066305841E-2</v>
      </c>
      <c r="H54" s="601" t="str">
        <f>IF(OR(G54&gt;=0.2,G54&lt;=-0.2),"超过20%","")</f>
        <v/>
      </c>
      <c r="I54" s="600">
        <f>IF(I49&lt;E49,E49/I49-1,I49/E49-1)</f>
        <v>6.3961485557083808E-2</v>
      </c>
      <c r="J54" s="601"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f>IF(E48&lt;G48,G48/E48-1,E48/G48-1)</f>
        <v>5.1693404634581164E-2</v>
      </c>
      <c r="F55" s="601" t="str">
        <f>IF(OR(E55&gt;=0.3,E55&lt;=-0.3),"超过30%","")</f>
        <v/>
      </c>
      <c r="G55" s="600">
        <f>IF(G48&lt;I48,I48/G48-1,G48/I48-1)</f>
        <v>0.10169491525423724</v>
      </c>
      <c r="H55" s="601" t="str">
        <f>IF(OR(G55&gt;=0.3,G55&lt;=-0.3),"超过30%","")</f>
        <v/>
      </c>
      <c r="I55" s="600">
        <f>IF(I48&lt;E48,E48/I48-1,I48/E48-1)</f>
        <v>0.15864527629233516</v>
      </c>
      <c r="J55" s="601"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3" t="s">
        <v>543</v>
      </c>
      <c r="B57" s="604" t="s">
        <v>544</v>
      </c>
      <c r="C57" s="1453" t="s">
        <v>1524</v>
      </c>
      <c r="D57" s="2061" t="s">
        <v>2083</v>
      </c>
      <c r="E57" s="605" t="s">
        <v>545</v>
      </c>
      <c r="F57" s="606" t="s">
        <v>546</v>
      </c>
      <c r="G57" s="3654" t="s">
        <v>2072</v>
      </c>
      <c r="H57" s="3655"/>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7" t="s">
        <v>547</v>
      </c>
      <c r="B58" s="608">
        <f>C50</f>
        <v>1493</v>
      </c>
      <c r="C58" s="609">
        <v>1</v>
      </c>
      <c r="D58" s="2062">
        <v>1</v>
      </c>
      <c r="E58" s="609">
        <f>'数据-汇总表'!E8+'数据-汇总表'!E9</f>
        <v>1790.62</v>
      </c>
      <c r="F58" s="610">
        <f t="shared" ref="F58:F66" si="15">ROUND(B58*E58/10000,0)</f>
        <v>267</v>
      </c>
      <c r="G58" s="3656"/>
      <c r="H58" s="3657"/>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548</v>
      </c>
      <c r="B59" s="612">
        <f>ROUND($C$50*C59*D59,0)</f>
        <v>0</v>
      </c>
      <c r="C59" s="371">
        <f t="shared" ref="C59:C66" si="16">IF($C$57="北京市系数",I59,J59)</f>
        <v>0</v>
      </c>
      <c r="D59" s="2063">
        <v>0.25</v>
      </c>
      <c r="E59" s="613">
        <v>0</v>
      </c>
      <c r="F59" s="610">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549</v>
      </c>
      <c r="B60" s="612">
        <f t="shared" ref="B60:B66" si="17">ROUND($C$50*C60*D60,0)</f>
        <v>0</v>
      </c>
      <c r="C60" s="371">
        <f t="shared" si="16"/>
        <v>0</v>
      </c>
      <c r="D60" s="2063">
        <v>0.25</v>
      </c>
      <c r="E60" s="613">
        <v>0</v>
      </c>
      <c r="F60" s="610">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1" t="s">
        <v>550</v>
      </c>
      <c r="B61" s="612">
        <f t="shared" si="17"/>
        <v>0</v>
      </c>
      <c r="C61" s="371">
        <f t="shared" si="16"/>
        <v>0</v>
      </c>
      <c r="D61" s="2063">
        <v>0.25</v>
      </c>
      <c r="E61" s="613">
        <v>0</v>
      </c>
      <c r="F61" s="610">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2">
        <f t="shared" si="17"/>
        <v>0</v>
      </c>
      <c r="C62" s="371">
        <f t="shared" si="16"/>
        <v>0</v>
      </c>
      <c r="D62" s="2063">
        <v>0.25</v>
      </c>
      <c r="E62" s="615">
        <f>'数据-汇总表'!E11</f>
        <v>0</v>
      </c>
      <c r="F62" s="610">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1" t="s">
        <v>551</v>
      </c>
      <c r="B63" s="612">
        <f t="shared" si="17"/>
        <v>0</v>
      </c>
      <c r="C63" s="371">
        <f t="shared" si="16"/>
        <v>0</v>
      </c>
      <c r="D63" s="2063">
        <v>0.25</v>
      </c>
      <c r="E63" s="615">
        <f>'数据-汇总表'!E12</f>
        <v>0</v>
      </c>
      <c r="F63" s="610">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1" t="s">
        <v>552</v>
      </c>
      <c r="B64" s="612">
        <f t="shared" si="17"/>
        <v>0</v>
      </c>
      <c r="C64" s="371">
        <f t="shared" si="16"/>
        <v>0</v>
      </c>
      <c r="D64" s="2063">
        <v>0.25</v>
      </c>
      <c r="E64" s="615">
        <f>'数据-汇总表'!E13</f>
        <v>0</v>
      </c>
      <c r="F64" s="610">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1" t="s">
        <v>553</v>
      </c>
      <c r="B65" s="612">
        <f t="shared" si="17"/>
        <v>0</v>
      </c>
      <c r="C65" s="371">
        <f t="shared" si="16"/>
        <v>0</v>
      </c>
      <c r="D65" s="2063">
        <v>0.25</v>
      </c>
      <c r="E65" s="615">
        <f>'数据-汇总表'!E14</f>
        <v>0</v>
      </c>
      <c r="F65" s="610">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1" t="s">
        <v>554</v>
      </c>
      <c r="B66" s="612">
        <f t="shared" si="17"/>
        <v>0</v>
      </c>
      <c r="C66" s="371">
        <f t="shared" si="16"/>
        <v>0</v>
      </c>
      <c r="D66" s="2063">
        <v>0.25</v>
      </c>
      <c r="E66" s="615">
        <f>'数据-汇总表'!E15</f>
        <v>0</v>
      </c>
      <c r="F66" s="610">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6" t="s">
        <v>555</v>
      </c>
      <c r="B67" s="617" t="s">
        <v>17</v>
      </c>
      <c r="C67" s="617" t="s">
        <v>18</v>
      </c>
      <c r="D67" s="617" t="s">
        <v>2084</v>
      </c>
      <c r="E67" s="617">
        <f>IF(B48="楼面地价",SUM(E58:E66),'数据-汇总表'!D3)</f>
        <v>16450</v>
      </c>
      <c r="F67" s="618">
        <f>IF(B48="楼面地价",SUM(F58:F66),ROUND(C50*E67/10000,0))</f>
        <v>2456</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2022-9-1</v>
      </c>
      <c r="D69" s="2438">
        <f>EDATE(C69,-3)</f>
        <v>44713</v>
      </c>
      <c r="E69" s="2438">
        <f t="shared" ref="E69:N69" si="18">EDATE(D69,-3)</f>
        <v>44621</v>
      </c>
      <c r="F69" s="2438">
        <f t="shared" si="18"/>
        <v>44531</v>
      </c>
      <c r="G69" s="2438">
        <f t="shared" si="18"/>
        <v>44440</v>
      </c>
      <c r="H69" s="2438">
        <f t="shared" si="18"/>
        <v>44348</v>
      </c>
      <c r="I69" s="2438">
        <f t="shared" si="18"/>
        <v>44256</v>
      </c>
      <c r="J69" s="2438">
        <f t="shared" si="18"/>
        <v>44166</v>
      </c>
      <c r="K69" s="2438">
        <f t="shared" si="18"/>
        <v>44075</v>
      </c>
      <c r="L69" s="2438">
        <f t="shared" si="18"/>
        <v>43983</v>
      </c>
      <c r="M69" s="2438">
        <f t="shared" si="18"/>
        <v>43891</v>
      </c>
      <c r="N69" s="2438">
        <f t="shared" si="18"/>
        <v>43800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1" t="str">
        <f>"北京市平均增长率"&amp;TEXT(SUMIF(基准地价!N21:N25,A72,基准地价!P21:P25),"0.00%")</f>
        <v>北京市平均增长率1.55%</v>
      </c>
      <c r="C72" s="865">
        <v>100</v>
      </c>
      <c r="D72" s="704">
        <v>99.5</v>
      </c>
      <c r="E72" s="704">
        <v>99</v>
      </c>
      <c r="F72" s="704">
        <v>98.5</v>
      </c>
      <c r="G72" s="704">
        <v>98</v>
      </c>
      <c r="H72" s="704">
        <v>97.5</v>
      </c>
      <c r="I72" s="704">
        <v>97</v>
      </c>
      <c r="J72" s="704">
        <v>96.5</v>
      </c>
      <c r="K72" s="704">
        <v>96</v>
      </c>
      <c r="L72" s="704">
        <v>95.5</v>
      </c>
      <c r="M72" s="704">
        <v>95</v>
      </c>
      <c r="N72" s="70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3" t="s">
        <v>514</v>
      </c>
      <c r="B74" s="622"/>
      <c r="C74" s="634" t="s">
        <v>558</v>
      </c>
      <c r="D74" s="635"/>
      <c r="E74" s="635"/>
      <c r="F74" s="635"/>
      <c r="G74" s="635"/>
      <c r="H74" s="635"/>
      <c r="I74" s="635"/>
      <c r="J74" s="635"/>
      <c r="K74" s="635"/>
      <c r="L74" s="636"/>
      <c r="M74" s="637"/>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3"/>
      <c r="B75" s="622"/>
      <c r="C75" s="623">
        <v>100</v>
      </c>
      <c r="D75" s="624"/>
      <c r="E75" s="624"/>
      <c r="F75" s="624"/>
      <c r="G75" s="624"/>
      <c r="H75" s="624"/>
      <c r="I75" s="624"/>
      <c r="J75" s="624"/>
      <c r="K75" s="624"/>
      <c r="L75" s="624"/>
      <c r="M75" s="626"/>
      <c r="N75" s="1997"/>
      <c r="O75" s="1997"/>
      <c r="P75" s="1993"/>
      <c r="Q75" s="1993"/>
      <c r="R75" s="1859"/>
      <c r="S75" s="1859"/>
      <c r="T75" s="1859"/>
      <c r="U75" s="1859"/>
      <c r="V75" s="1859"/>
      <c r="W75" s="1859"/>
      <c r="X75" s="1859"/>
      <c r="Y75" s="1859"/>
      <c r="Z75" s="1859"/>
      <c r="AA75" s="1859"/>
      <c r="AB75" s="1859"/>
      <c r="AC75" s="1859"/>
    </row>
    <row r="76" spans="1:29">
      <c r="A76" s="638" t="s">
        <v>559</v>
      </c>
      <c r="B76" s="639" t="s">
        <v>517</v>
      </c>
      <c r="C76" s="574"/>
      <c r="D76" s="574"/>
      <c r="E76" s="574"/>
      <c r="F76" s="574"/>
      <c r="G76" s="574"/>
      <c r="H76" s="574"/>
      <c r="I76" s="574"/>
      <c r="J76" s="574"/>
      <c r="K76" s="640"/>
      <c r="L76" s="641"/>
      <c r="M76" s="642"/>
      <c r="N76" s="1999"/>
      <c r="O76" s="1999"/>
      <c r="P76" s="2000"/>
      <c r="Q76" s="1993"/>
      <c r="R76" s="1981"/>
      <c r="S76" s="1981"/>
      <c r="T76" s="1981"/>
      <c r="U76" s="1981"/>
      <c r="V76" s="1981"/>
      <c r="W76" s="1981"/>
      <c r="X76" s="1981"/>
      <c r="Y76" s="1981"/>
      <c r="Z76" s="1981"/>
      <c r="AA76" s="1981"/>
      <c r="AB76" s="1981"/>
      <c r="AC76" s="1981"/>
    </row>
    <row r="77" spans="1:29" ht="15.75" thickBot="1">
      <c r="A77" s="643"/>
      <c r="B77" s="644"/>
      <c r="C77" s="645"/>
      <c r="D77" s="645"/>
      <c r="E77" s="645"/>
      <c r="F77" s="645"/>
      <c r="G77" s="645"/>
      <c r="H77" s="645"/>
      <c r="I77" s="645"/>
      <c r="J77" s="645"/>
      <c r="K77" s="645"/>
      <c r="L77" s="645"/>
      <c r="M77" s="646"/>
      <c r="N77" s="2001"/>
      <c r="O77" s="2001"/>
      <c r="P77" s="2000"/>
      <c r="Q77" s="1993"/>
      <c r="R77" s="1981"/>
      <c r="S77" s="1981"/>
      <c r="T77" s="1981"/>
      <c r="U77" s="1981"/>
      <c r="V77" s="1981"/>
      <c r="W77" s="1981"/>
      <c r="X77" s="1981"/>
      <c r="Y77" s="1981"/>
      <c r="Z77" s="1981"/>
      <c r="AA77" s="1981"/>
      <c r="AB77" s="1981"/>
      <c r="AC77" s="1981"/>
    </row>
    <row r="78" spans="1:29" ht="27.75" thickTop="1">
      <c r="A78" s="643"/>
      <c r="B78" s="647" t="s">
        <v>520</v>
      </c>
      <c r="C78" s="648"/>
      <c r="D78" s="648"/>
      <c r="E78" s="648"/>
      <c r="F78" s="648"/>
      <c r="G78" s="648"/>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c r="D79" s="653"/>
      <c r="E79" s="653"/>
      <c r="F79" s="653"/>
      <c r="G79" s="653"/>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655" t="s">
        <v>521</v>
      </c>
      <c r="C80" s="656" t="str">
        <f>C81&amp;"（含）"&amp;"-"&amp;D81</f>
        <v>0（含）-0.5</v>
      </c>
      <c r="D80" s="656" t="str">
        <f t="shared" ref="D80:L80" si="20">D81&amp;"（含）"&amp;"-"&amp;E81</f>
        <v>0.5（含）-1</v>
      </c>
      <c r="E80" s="656" t="str">
        <f t="shared" si="20"/>
        <v>1（含）-1.5</v>
      </c>
      <c r="F80" s="656" t="str">
        <f t="shared" si="20"/>
        <v>1.5（含）-2</v>
      </c>
      <c r="G80" s="656" t="str">
        <f t="shared" si="20"/>
        <v>2（含）-2.5</v>
      </c>
      <c r="H80" s="656" t="str">
        <f t="shared" si="20"/>
        <v>2.5（含）-</v>
      </c>
      <c r="I80" s="656" t="str">
        <f t="shared" si="20"/>
        <v>（含）-</v>
      </c>
      <c r="J80" s="656" t="str">
        <f t="shared" si="20"/>
        <v>（含）-</v>
      </c>
      <c r="K80" s="656" t="str">
        <f t="shared" si="20"/>
        <v>（含）-</v>
      </c>
      <c r="L80" s="656" t="str">
        <f t="shared" si="20"/>
        <v>（含）-</v>
      </c>
      <c r="M80" s="531"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3"/>
      <c r="B81" s="657"/>
      <c r="C81" s="517">
        <v>0</v>
      </c>
      <c r="D81" s="517">
        <v>0.5</v>
      </c>
      <c r="E81" s="517">
        <v>1</v>
      </c>
      <c r="F81" s="517">
        <v>1.5</v>
      </c>
      <c r="G81" s="517">
        <v>2</v>
      </c>
      <c r="H81" s="517">
        <v>2.5</v>
      </c>
      <c r="I81" s="517"/>
      <c r="J81" s="517"/>
      <c r="K81" s="658"/>
      <c r="L81" s="659"/>
      <c r="M81" s="660"/>
      <c r="N81" s="1999"/>
      <c r="O81" s="1999"/>
      <c r="P81" s="2000"/>
      <c r="Q81" s="1993"/>
      <c r="R81" s="1981"/>
      <c r="S81" s="1981"/>
      <c r="T81" s="1981"/>
      <c r="U81" s="1981"/>
      <c r="V81" s="1981"/>
      <c r="W81" s="1981"/>
      <c r="X81" s="1981"/>
      <c r="Y81" s="1981"/>
      <c r="Z81" s="1981"/>
      <c r="AA81" s="1981"/>
      <c r="AB81" s="1981"/>
      <c r="AC81" s="1981"/>
    </row>
    <row r="82" spans="1:29" ht="15.75" thickBot="1">
      <c r="A82" s="643"/>
      <c r="B82" s="644"/>
      <c r="C82" s="653">
        <v>100</v>
      </c>
      <c r="D82" s="653">
        <f t="shared" ref="D82:M82" si="21">IF($B$48="单位面积地价",C82+$K13,C82-$K13)</f>
        <v>105</v>
      </c>
      <c r="E82" s="653">
        <f t="shared" si="21"/>
        <v>110</v>
      </c>
      <c r="F82" s="653">
        <f t="shared" si="21"/>
        <v>115</v>
      </c>
      <c r="G82" s="653">
        <f t="shared" si="21"/>
        <v>120</v>
      </c>
      <c r="H82" s="653">
        <f t="shared" si="21"/>
        <v>125</v>
      </c>
      <c r="I82" s="653">
        <f t="shared" si="21"/>
        <v>130</v>
      </c>
      <c r="J82" s="653">
        <f t="shared" si="21"/>
        <v>135</v>
      </c>
      <c r="K82" s="653">
        <f t="shared" si="21"/>
        <v>140</v>
      </c>
      <c r="L82" s="653">
        <f t="shared" si="21"/>
        <v>145</v>
      </c>
      <c r="M82" s="653">
        <f t="shared" si="21"/>
        <v>150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1"/>
      <c r="B83" s="647" t="str">
        <f>B14</f>
        <v>配建</v>
      </c>
      <c r="C83" s="662"/>
      <c r="D83" s="1282"/>
      <c r="E83" s="1283"/>
      <c r="F83" s="662"/>
      <c r="G83" s="662"/>
      <c r="H83" s="663"/>
      <c r="I83" s="663"/>
      <c r="J83" s="663"/>
      <c r="K83" s="663"/>
      <c r="L83" s="664"/>
      <c r="M83" s="665"/>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1"/>
      <c r="B84" s="652"/>
      <c r="C84" s="666"/>
      <c r="D84" s="645"/>
      <c r="E84" s="645"/>
      <c r="F84" s="645"/>
      <c r="G84" s="645"/>
      <c r="H84" s="645"/>
      <c r="I84" s="645"/>
      <c r="J84" s="645"/>
      <c r="K84" s="645"/>
      <c r="L84" s="645"/>
      <c r="M84" s="646"/>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1"/>
      <c r="B85" s="647">
        <f>B15</f>
        <v>111</v>
      </c>
      <c r="C85" s="662"/>
      <c r="D85" s="662"/>
      <c r="E85" s="662"/>
      <c r="F85" s="662"/>
      <c r="G85" s="662"/>
      <c r="H85" s="663"/>
      <c r="I85" s="663"/>
      <c r="J85" s="663"/>
      <c r="K85" s="663"/>
      <c r="L85" s="664"/>
      <c r="M85" s="665"/>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1"/>
      <c r="B86" s="652"/>
      <c r="C86" s="666"/>
      <c r="D86" s="666"/>
      <c r="E86" s="666"/>
      <c r="F86" s="666"/>
      <c r="G86" s="666"/>
      <c r="H86" s="667"/>
      <c r="I86" s="667"/>
      <c r="J86" s="667"/>
      <c r="K86" s="667"/>
      <c r="L86" s="667"/>
      <c r="M86" s="668"/>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1"/>
      <c r="B87" s="655">
        <f>B16</f>
        <v>111</v>
      </c>
      <c r="C87" s="635"/>
      <c r="D87" s="635"/>
      <c r="E87" s="635"/>
      <c r="F87" s="635"/>
      <c r="G87" s="635"/>
      <c r="H87" s="669"/>
      <c r="I87" s="669"/>
      <c r="J87" s="669"/>
      <c r="K87" s="669"/>
      <c r="L87" s="670"/>
      <c r="M87" s="671"/>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2"/>
      <c r="B88" s="673"/>
      <c r="C88" s="674"/>
      <c r="D88" s="674"/>
      <c r="E88" s="674"/>
      <c r="F88" s="674"/>
      <c r="G88" s="674"/>
      <c r="H88" s="675"/>
      <c r="I88" s="675"/>
      <c r="J88" s="675"/>
      <c r="K88" s="675"/>
      <c r="L88" s="675"/>
      <c r="M88" s="676"/>
      <c r="N88" s="2002"/>
      <c r="O88" s="2002"/>
      <c r="P88" s="2003"/>
      <c r="Q88" s="2004"/>
      <c r="R88" s="2005"/>
      <c r="S88" s="2005"/>
      <c r="T88" s="2005"/>
      <c r="U88" s="2005"/>
      <c r="V88" s="2005"/>
      <c r="W88" s="2005"/>
      <c r="X88" s="2005"/>
      <c r="Y88" s="2005"/>
      <c r="Z88" s="2005"/>
      <c r="AA88" s="2005"/>
      <c r="AB88" s="2005"/>
      <c r="AC88" s="2005"/>
    </row>
    <row r="89" spans="1:29">
      <c r="A89" s="638" t="s">
        <v>522</v>
      </c>
      <c r="B89" s="639" t="s">
        <v>560</v>
      </c>
      <c r="C89" s="677" t="s">
        <v>561</v>
      </c>
      <c r="D89" s="677" t="s">
        <v>562</v>
      </c>
      <c r="E89" s="677" t="s">
        <v>563</v>
      </c>
      <c r="F89" s="677" t="s">
        <v>564</v>
      </c>
      <c r="G89" s="677" t="s">
        <v>565</v>
      </c>
      <c r="H89" s="678"/>
      <c r="I89" s="678"/>
      <c r="J89" s="678"/>
      <c r="K89" s="679"/>
      <c r="L89" s="680"/>
      <c r="M89" s="681"/>
      <c r="N89" s="1999"/>
      <c r="O89" s="1999"/>
      <c r="P89" s="2009"/>
      <c r="Q89" s="1993"/>
      <c r="R89" s="1981"/>
      <c r="S89" s="1981"/>
      <c r="T89" s="1981"/>
      <c r="U89" s="1981"/>
      <c r="V89" s="1981"/>
      <c r="W89" s="1981"/>
      <c r="X89" s="1981"/>
      <c r="Y89" s="1981"/>
      <c r="Z89" s="1981"/>
      <c r="AA89" s="1981"/>
      <c r="AB89" s="1981"/>
      <c r="AC89" s="1981"/>
    </row>
    <row r="90" spans="1:29" ht="15.75" thickBot="1">
      <c r="A90" s="643"/>
      <c r="B90" s="652"/>
      <c r="C90" s="653">
        <v>100</v>
      </c>
      <c r="D90" s="653">
        <f>C90-$K17</f>
        <v>100</v>
      </c>
      <c r="E90" s="653">
        <f>D90-$K17</f>
        <v>100</v>
      </c>
      <c r="F90" s="653">
        <f>E90-$K17</f>
        <v>100</v>
      </c>
      <c r="G90" s="653">
        <f>F90-$K17</f>
        <v>100</v>
      </c>
      <c r="H90" s="653"/>
      <c r="I90" s="653"/>
      <c r="J90" s="653"/>
      <c r="K90" s="653"/>
      <c r="L90" s="653"/>
      <c r="M90" s="654"/>
      <c r="N90" s="2001"/>
      <c r="O90" s="2001"/>
      <c r="P90" s="2000"/>
      <c r="Q90" s="1993"/>
      <c r="R90" s="1981"/>
      <c r="S90" s="1981"/>
      <c r="T90" s="1981"/>
      <c r="U90" s="1981"/>
      <c r="V90" s="1981"/>
      <c r="W90" s="1981"/>
      <c r="X90" s="1981"/>
      <c r="Y90" s="1981"/>
      <c r="Z90" s="1981"/>
      <c r="AA90" s="1981"/>
      <c r="AB90" s="1981"/>
      <c r="AC90" s="1981"/>
    </row>
    <row r="91" spans="1:29" ht="15.75" thickTop="1">
      <c r="A91" s="643"/>
      <c r="B91" s="647" t="s">
        <v>566</v>
      </c>
      <c r="C91" s="682" t="s">
        <v>561</v>
      </c>
      <c r="D91" s="682" t="s">
        <v>562</v>
      </c>
      <c r="E91" s="682" t="s">
        <v>563</v>
      </c>
      <c r="F91" s="682" t="s">
        <v>564</v>
      </c>
      <c r="G91" s="682" t="s">
        <v>565</v>
      </c>
      <c r="H91" s="648"/>
      <c r="I91" s="648"/>
      <c r="J91" s="648"/>
      <c r="K91" s="649"/>
      <c r="L91" s="650"/>
      <c r="M91" s="651"/>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53">
        <v>100</v>
      </c>
      <c r="D92" s="653">
        <f>C92-$K19</f>
        <v>98</v>
      </c>
      <c r="E92" s="653">
        <f>D92-$K19</f>
        <v>96</v>
      </c>
      <c r="F92" s="653">
        <f>E92-$K19</f>
        <v>94</v>
      </c>
      <c r="G92" s="653">
        <f>F92-$K19</f>
        <v>92</v>
      </c>
      <c r="H92" s="653"/>
      <c r="I92" s="653"/>
      <c r="J92" s="653"/>
      <c r="K92" s="653"/>
      <c r="L92" s="653"/>
      <c r="M92" s="654"/>
      <c r="N92" s="2001"/>
      <c r="O92" s="2001"/>
      <c r="P92" s="2000"/>
      <c r="Q92" s="1993"/>
      <c r="R92" s="1981"/>
      <c r="S92" s="1981"/>
      <c r="T92" s="1981"/>
      <c r="U92" s="1981"/>
      <c r="V92" s="1981"/>
      <c r="W92" s="1981"/>
      <c r="X92" s="1981"/>
      <c r="Y92" s="1981"/>
      <c r="Z92" s="1981"/>
      <c r="AA92" s="1981"/>
      <c r="AB92" s="1981"/>
      <c r="AC92" s="1981"/>
    </row>
    <row r="93" spans="1:29" ht="15.75" thickTop="1">
      <c r="A93" s="643"/>
      <c r="B93" s="647" t="s">
        <v>567</v>
      </c>
      <c r="C93" s="682" t="s">
        <v>561</v>
      </c>
      <c r="D93" s="682" t="s">
        <v>562</v>
      </c>
      <c r="E93" s="682" t="s">
        <v>563</v>
      </c>
      <c r="F93" s="682" t="s">
        <v>564</v>
      </c>
      <c r="G93" s="682" t="s">
        <v>565</v>
      </c>
      <c r="H93" s="648"/>
      <c r="I93" s="648"/>
      <c r="J93" s="648"/>
      <c r="K93" s="649"/>
      <c r="L93" s="650"/>
      <c r="M93" s="651"/>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1"/>
      <c r="O94" s="2001"/>
      <c r="P94" s="2000"/>
      <c r="Q94" s="1993"/>
      <c r="R94" s="1981"/>
      <c r="S94" s="1981"/>
      <c r="T94" s="1981"/>
      <c r="U94" s="1981"/>
      <c r="V94" s="1981"/>
      <c r="W94" s="1981"/>
      <c r="X94" s="1981"/>
      <c r="Y94" s="1981"/>
      <c r="Z94" s="1981"/>
      <c r="AA94" s="1981"/>
      <c r="AB94" s="1981"/>
      <c r="AC94" s="1981"/>
    </row>
    <row r="95" spans="1:29" ht="15.75" thickTop="1">
      <c r="A95" s="643"/>
      <c r="B95" s="647" t="s">
        <v>568</v>
      </c>
      <c r="C95" s="682" t="s">
        <v>561</v>
      </c>
      <c r="D95" s="682" t="s">
        <v>562</v>
      </c>
      <c r="E95" s="682" t="s">
        <v>563</v>
      </c>
      <c r="F95" s="682" t="s">
        <v>564</v>
      </c>
      <c r="G95" s="682" t="s">
        <v>565</v>
      </c>
      <c r="H95" s="648"/>
      <c r="I95" s="648"/>
      <c r="J95" s="648"/>
      <c r="K95" s="649"/>
      <c r="L95" s="650"/>
      <c r="M95" s="651"/>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C96-$K23</f>
        <v>98</v>
      </c>
      <c r="E96" s="653">
        <f>D96-$K23</f>
        <v>96</v>
      </c>
      <c r="F96" s="653">
        <f>E96-$K23</f>
        <v>94</v>
      </c>
      <c r="G96" s="653">
        <f>F96-$K23</f>
        <v>92</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3"/>
      <c r="B98" s="652"/>
      <c r="C98" s="686">
        <v>100</v>
      </c>
      <c r="D98" s="653">
        <f>C98-$K25</f>
        <v>98</v>
      </c>
      <c r="E98" s="653">
        <f>D98-$K25</f>
        <v>96</v>
      </c>
      <c r="F98" s="653">
        <f>E98-$K25</f>
        <v>94</v>
      </c>
      <c r="G98" s="653">
        <f>F98-$K25</f>
        <v>92</v>
      </c>
      <c r="H98" s="653"/>
      <c r="I98" s="653"/>
      <c r="J98" s="653"/>
      <c r="K98" s="653"/>
      <c r="L98" s="653"/>
      <c r="M98" s="654"/>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3"/>
      <c r="B100" s="652"/>
      <c r="C100" s="653">
        <v>100</v>
      </c>
      <c r="D100" s="653">
        <f>C100-$K27</f>
        <v>98</v>
      </c>
      <c r="E100" s="653">
        <f>D100-$K27</f>
        <v>96</v>
      </c>
      <c r="F100" s="653">
        <f>E100-$K27</f>
        <v>94</v>
      </c>
      <c r="G100" s="653">
        <f>F100-$K27</f>
        <v>92</v>
      </c>
      <c r="H100" s="653"/>
      <c r="I100" s="653"/>
      <c r="J100" s="653"/>
      <c r="K100" s="653"/>
      <c r="L100" s="653"/>
      <c r="M100" s="654"/>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1"/>
      <c r="B101" s="1765" t="s">
        <v>2266</v>
      </c>
      <c r="C101" s="677" t="s">
        <v>561</v>
      </c>
      <c r="D101" s="677" t="s">
        <v>562</v>
      </c>
      <c r="E101" s="677" t="s">
        <v>563</v>
      </c>
      <c r="F101" s="677" t="s">
        <v>564</v>
      </c>
      <c r="G101" s="677" t="s">
        <v>565</v>
      </c>
      <c r="H101" s="687"/>
      <c r="I101" s="687"/>
      <c r="J101" s="687"/>
      <c r="K101" s="687"/>
      <c r="L101" s="688"/>
      <c r="M101" s="689"/>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1"/>
      <c r="B103" s="2363" t="s">
        <v>2268</v>
      </c>
      <c r="C103" s="2364" t="s">
        <v>2269</v>
      </c>
      <c r="D103" s="2364" t="s">
        <v>2270</v>
      </c>
      <c r="E103" s="2364" t="s">
        <v>2271</v>
      </c>
      <c r="F103" s="2364" t="s">
        <v>2272</v>
      </c>
      <c r="G103" s="2364" t="s">
        <v>2273</v>
      </c>
      <c r="H103" s="687"/>
      <c r="I103" s="687"/>
      <c r="J103" s="687"/>
      <c r="K103" s="687"/>
      <c r="L103" s="687"/>
      <c r="M103" s="689"/>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5"/>
      <c r="C104" s="653">
        <v>100</v>
      </c>
      <c r="D104" s="653">
        <f>C104-$K31</f>
        <v>98</v>
      </c>
      <c r="E104" s="653">
        <f>D104-$K31</f>
        <v>96</v>
      </c>
      <c r="F104" s="653">
        <f>E104-$K31</f>
        <v>94</v>
      </c>
      <c r="G104" s="653">
        <f>F104-$K31</f>
        <v>92</v>
      </c>
      <c r="H104" s="657"/>
      <c r="I104" s="657"/>
      <c r="J104" s="657"/>
      <c r="K104" s="657"/>
      <c r="L104" s="657"/>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3"/>
      <c r="B107" s="647" t="s">
        <v>531</v>
      </c>
      <c r="C107" s="662"/>
      <c r="D107" s="662"/>
      <c r="E107" s="662"/>
      <c r="F107" s="662"/>
      <c r="G107" s="66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3"/>
      <c r="B109" s="647" t="s">
        <v>532</v>
      </c>
      <c r="C109" s="692"/>
      <c r="D109" s="692"/>
      <c r="E109" s="69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3"/>
      <c r="B111" s="655">
        <f>B37</f>
        <v>111</v>
      </c>
      <c r="C111" s="662"/>
      <c r="D111" s="662"/>
      <c r="E111" s="662"/>
      <c r="F111" s="662"/>
      <c r="G111" s="696"/>
      <c r="H111" s="696"/>
      <c r="I111" s="696"/>
      <c r="J111" s="696"/>
      <c r="K111" s="697"/>
      <c r="L111" s="698"/>
      <c r="M111" s="699"/>
      <c r="N111" s="1999"/>
      <c r="O111" s="1999"/>
      <c r="P111" s="2000"/>
      <c r="Q111" s="1993"/>
      <c r="R111" s="1981"/>
      <c r="S111" s="1981"/>
      <c r="T111" s="1981"/>
      <c r="U111" s="1981"/>
      <c r="V111" s="1981"/>
      <c r="W111" s="1981"/>
      <c r="X111" s="1981"/>
      <c r="Y111" s="1981"/>
      <c r="Z111" s="1981"/>
      <c r="AA111" s="1981"/>
      <c r="AB111" s="1981"/>
      <c r="AC111" s="1981"/>
    </row>
    <row r="112" spans="1:29" ht="15.75" thickBot="1">
      <c r="A112" s="643"/>
      <c r="B112" s="673"/>
      <c r="C112" s="666"/>
      <c r="D112" s="666"/>
      <c r="E112" s="666"/>
      <c r="F112" s="666"/>
      <c r="G112" s="700"/>
      <c r="H112" s="700"/>
      <c r="I112" s="700"/>
      <c r="J112" s="700"/>
      <c r="K112" s="700"/>
      <c r="L112" s="700"/>
      <c r="M112" s="701"/>
      <c r="N112" s="2001"/>
      <c r="O112" s="2001"/>
      <c r="P112" s="2000"/>
      <c r="Q112" s="1993"/>
      <c r="R112" s="1981"/>
      <c r="S112" s="1981"/>
      <c r="T112" s="1981"/>
      <c r="U112" s="1981"/>
      <c r="V112" s="1981"/>
      <c r="W112" s="1981"/>
      <c r="X112" s="1981"/>
      <c r="Y112" s="1981"/>
      <c r="Z112" s="1981"/>
      <c r="AA112" s="1981"/>
      <c r="AB112" s="1981"/>
      <c r="AC112" s="1981"/>
    </row>
    <row r="113" spans="1:29" ht="15" thickTop="1">
      <c r="A113" s="563"/>
      <c r="B113" s="647">
        <f>B38</f>
        <v>111</v>
      </c>
      <c r="C113" s="635"/>
      <c r="D113" s="635"/>
      <c r="E113" s="635"/>
      <c r="F113" s="635"/>
      <c r="G113" s="692"/>
      <c r="H113" s="692"/>
      <c r="I113" s="692"/>
      <c r="J113" s="692"/>
      <c r="K113" s="693"/>
      <c r="L113" s="694"/>
      <c r="M113" s="695"/>
      <c r="N113" s="1999"/>
      <c r="O113" s="1999"/>
      <c r="P113" s="2000"/>
      <c r="Q113" s="1993"/>
      <c r="R113" s="1981"/>
      <c r="S113" s="1981"/>
      <c r="T113" s="1981"/>
      <c r="U113" s="1981"/>
      <c r="V113" s="1981"/>
      <c r="W113" s="1981"/>
      <c r="X113" s="1981"/>
      <c r="Y113" s="1981"/>
      <c r="Z113" s="1981"/>
      <c r="AA113" s="1981"/>
      <c r="AB113" s="1981"/>
      <c r="AC113" s="1981"/>
    </row>
    <row r="114" spans="1:29" ht="15.75" thickBot="1">
      <c r="A114" s="643"/>
      <c r="B114" s="652"/>
      <c r="C114" s="674"/>
      <c r="D114" s="674"/>
      <c r="E114" s="674"/>
      <c r="F114" s="674"/>
      <c r="G114" s="645"/>
      <c r="H114" s="645"/>
      <c r="I114" s="645"/>
      <c r="J114" s="645"/>
      <c r="K114" s="645"/>
      <c r="L114" s="645"/>
      <c r="M114" s="646"/>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2"/>
      <c r="B115" s="703">
        <f>B39</f>
        <v>111</v>
      </c>
      <c r="C115" s="704"/>
      <c r="D115" s="704"/>
      <c r="E115" s="704"/>
      <c r="F115" s="704"/>
      <c r="G115" s="704"/>
      <c r="H115" s="704"/>
      <c r="I115" s="704"/>
      <c r="J115" s="705"/>
      <c r="K115" s="705"/>
      <c r="L115" s="706"/>
      <c r="M115" s="707"/>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1"/>
      <c r="B116" s="655"/>
      <c r="C116" s="624"/>
      <c r="D116" s="568"/>
      <c r="E116" s="568"/>
      <c r="F116" s="568"/>
      <c r="G116" s="568"/>
      <c r="H116" s="568"/>
      <c r="I116" s="568"/>
      <c r="J116" s="568"/>
      <c r="K116" s="568"/>
      <c r="L116" s="568"/>
      <c r="M116" s="708"/>
      <c r="N116" s="2001"/>
      <c r="O116" s="2001"/>
      <c r="P116" s="2003"/>
      <c r="Q116" s="2004"/>
      <c r="R116" s="2005"/>
      <c r="S116" s="2005"/>
      <c r="T116" s="2005"/>
      <c r="U116" s="2005"/>
      <c r="V116" s="2005"/>
      <c r="W116" s="2005"/>
      <c r="X116" s="2005"/>
      <c r="Y116" s="2005"/>
      <c r="Z116" s="2005"/>
      <c r="AA116" s="2005"/>
      <c r="AB116" s="2005"/>
      <c r="AC116" s="2005"/>
    </row>
    <row r="117" spans="1:29" ht="28.5">
      <c r="A117" s="638" t="s">
        <v>534</v>
      </c>
      <c r="B117" s="639" t="s">
        <v>575</v>
      </c>
      <c r="C117" s="678" t="str">
        <f t="shared" ref="C117:L117" si="25">C118&amp;"(含)"&amp;"-"&amp;D118</f>
        <v>0(含)-5000</v>
      </c>
      <c r="D117" s="678" t="str">
        <f t="shared" si="25"/>
        <v>5000(含)-10000</v>
      </c>
      <c r="E117" s="678" t="str">
        <f t="shared" si="25"/>
        <v>10000(含)-20000</v>
      </c>
      <c r="F117" s="678" t="str">
        <f t="shared" si="25"/>
        <v>20000(含)-30000</v>
      </c>
      <c r="G117" s="678" t="str">
        <f t="shared" si="25"/>
        <v>30000(含)-40000</v>
      </c>
      <c r="H117" s="678" t="str">
        <f t="shared" si="25"/>
        <v>40000(含)-</v>
      </c>
      <c r="I117" s="678"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3"/>
      <c r="B118" s="655"/>
      <c r="C118" s="704">
        <v>0</v>
      </c>
      <c r="D118" s="704">
        <v>5000</v>
      </c>
      <c r="E118" s="704">
        <v>10000</v>
      </c>
      <c r="F118" s="704">
        <v>20000</v>
      </c>
      <c r="G118" s="704">
        <v>30000</v>
      </c>
      <c r="H118" s="704">
        <v>40000</v>
      </c>
      <c r="I118" s="704"/>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74">
        <v>100</v>
      </c>
      <c r="D119" s="700">
        <v>101</v>
      </c>
      <c r="E119" s="700">
        <v>102</v>
      </c>
      <c r="F119" s="700">
        <v>103</v>
      </c>
      <c r="G119" s="700">
        <v>104</v>
      </c>
      <c r="H119" s="700">
        <v>105</v>
      </c>
      <c r="I119" s="700"/>
      <c r="J119" s="700"/>
      <c r="K119" s="700"/>
      <c r="L119" s="700"/>
      <c r="M119" s="701"/>
      <c r="N119" s="2001"/>
      <c r="O119" s="2001"/>
      <c r="P119" s="2000"/>
      <c r="Q119" s="1993"/>
      <c r="R119" s="1981"/>
      <c r="S119" s="1981"/>
      <c r="T119" s="1981"/>
      <c r="U119" s="1981"/>
      <c r="V119" s="1981"/>
      <c r="W119" s="1981"/>
      <c r="X119" s="1981"/>
      <c r="Y119" s="1981"/>
      <c r="Z119" s="1981"/>
      <c r="AA119" s="1981"/>
      <c r="AB119" s="1981"/>
      <c r="AC119" s="1981"/>
    </row>
    <row r="120" spans="1:29" ht="15" thickTop="1">
      <c r="A120" s="709"/>
      <c r="B120" s="647" t="s">
        <v>576</v>
      </c>
      <c r="C120" s="692"/>
      <c r="D120" s="692"/>
      <c r="E120" s="692"/>
      <c r="F120" s="692"/>
      <c r="G120" s="692"/>
      <c r="H120" s="692"/>
      <c r="I120" s="692"/>
      <c r="J120" s="692"/>
      <c r="K120" s="693"/>
      <c r="L120" s="694"/>
      <c r="M120" s="695"/>
      <c r="N120" s="1999"/>
      <c r="O120" s="1999"/>
      <c r="P120" s="2000"/>
      <c r="Q120" s="1993"/>
      <c r="R120" s="1981"/>
      <c r="S120" s="1981"/>
      <c r="T120" s="1981"/>
      <c r="U120" s="1981"/>
      <c r="V120" s="1981"/>
      <c r="W120" s="1981"/>
      <c r="X120" s="1981"/>
      <c r="Y120" s="1981"/>
      <c r="Z120" s="1981"/>
      <c r="AA120" s="1981"/>
      <c r="AB120" s="1981"/>
      <c r="AC120" s="1981"/>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09"/>
      <c r="B122" s="647" t="s">
        <v>577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2"/>
      <c r="B124" s="1765" t="s">
        <v>2212</v>
      </c>
      <c r="C124" s="1282"/>
      <c r="D124" s="1282"/>
      <c r="E124" s="1282"/>
      <c r="F124" s="1282"/>
      <c r="G124" s="1282"/>
      <c r="H124" s="692"/>
      <c r="I124" s="692"/>
      <c r="J124" s="692"/>
      <c r="K124" s="693"/>
      <c r="L124" s="694"/>
      <c r="M124" s="695"/>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09"/>
      <c r="B126" s="647" t="s">
        <v>578</v>
      </c>
      <c r="C126" s="662"/>
      <c r="D126" s="662"/>
      <c r="E126" s="692"/>
      <c r="F126" s="692"/>
      <c r="G126" s="692"/>
      <c r="H126" s="692"/>
      <c r="I126" s="692"/>
      <c r="J126" s="692"/>
      <c r="K126" s="693"/>
      <c r="L126" s="694"/>
      <c r="M126" s="695"/>
      <c r="N126" s="1999"/>
      <c r="O126" s="1999"/>
      <c r="P126" s="2000"/>
      <c r="Q126" s="1993"/>
      <c r="R126" s="1981"/>
      <c r="S126" s="1981"/>
      <c r="T126" s="1981"/>
      <c r="U126" s="1981"/>
      <c r="V126" s="1981"/>
      <c r="W126" s="1981"/>
      <c r="X126" s="1981"/>
      <c r="Y126" s="1981"/>
      <c r="Z126" s="1981"/>
      <c r="AA126" s="1981"/>
      <c r="AB126" s="1981"/>
      <c r="AC126" s="1981"/>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09"/>
      <c r="B128" s="647">
        <f>B45</f>
        <v>111</v>
      </c>
      <c r="C128" s="662"/>
      <c r="D128" s="662"/>
      <c r="E128" s="662"/>
      <c r="F128" s="662"/>
      <c r="G128" s="66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47">
        <f>B46</f>
        <v>111</v>
      </c>
      <c r="C130" s="635"/>
      <c r="D130" s="635"/>
      <c r="E130" s="635"/>
      <c r="F130" s="635"/>
      <c r="G130" s="692"/>
      <c r="H130" s="692"/>
      <c r="I130" s="692"/>
      <c r="J130" s="692"/>
      <c r="K130" s="693"/>
      <c r="L130" s="694"/>
      <c r="M130" s="695"/>
      <c r="N130" s="1999"/>
      <c r="O130" s="1999"/>
      <c r="P130" s="2000"/>
      <c r="Q130" s="1993"/>
      <c r="R130" s="1981"/>
      <c r="S130" s="1981"/>
      <c r="T130" s="1981"/>
      <c r="U130" s="1981"/>
      <c r="V130" s="1981"/>
      <c r="W130" s="1981"/>
      <c r="X130" s="1981"/>
      <c r="Y130" s="1981"/>
      <c r="Z130" s="1981"/>
      <c r="AA130" s="1981"/>
      <c r="AB130" s="1981"/>
      <c r="AC130" s="1981"/>
    </row>
    <row r="131" spans="1:29" ht="15.75" thickBot="1">
      <c r="A131" s="643"/>
      <c r="B131" s="652"/>
      <c r="C131" s="674"/>
      <c r="D131" s="674"/>
      <c r="E131" s="674"/>
      <c r="F131" s="674"/>
      <c r="G131" s="645"/>
      <c r="H131" s="645"/>
      <c r="I131" s="645"/>
      <c r="J131" s="645"/>
      <c r="K131" s="645"/>
      <c r="L131" s="645"/>
      <c r="M131" s="646"/>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2"/>
      <c r="B132" s="647">
        <f>B47</f>
        <v>111</v>
      </c>
      <c r="C132" s="635"/>
      <c r="D132" s="635"/>
      <c r="E132" s="635"/>
      <c r="F132" s="635"/>
      <c r="G132" s="663"/>
      <c r="H132" s="663"/>
      <c r="I132" s="663"/>
      <c r="J132" s="663"/>
      <c r="K132" s="663"/>
      <c r="L132" s="664"/>
      <c r="M132" s="665"/>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2"/>
      <c r="B133" s="710"/>
      <c r="C133" s="674"/>
      <c r="D133" s="674"/>
      <c r="E133" s="674"/>
      <c r="F133" s="674"/>
      <c r="G133" s="700"/>
      <c r="H133" s="700"/>
      <c r="I133" s="700"/>
      <c r="J133" s="700"/>
      <c r="K133" s="700"/>
      <c r="L133" s="700"/>
      <c r="M133" s="701"/>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77" t="str">
        <f>项目基本情况!B1</f>
        <v>出让国有建设用地使用权抵押价格预评估</v>
      </c>
      <c r="C37" s="3477"/>
      <c r="D37" s="3477"/>
      <c r="E37" s="3477"/>
      <c r="F37" s="3477"/>
      <c r="G37" s="3477"/>
      <c r="H37" s="3477"/>
      <c r="I37" s="3477"/>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484"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6"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7" t="s">
        <v>503</v>
      </c>
      <c r="B4" s="420"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2"/>
      <c r="B5" s="423" t="e">
        <f>ROUND(B2/('数据-汇总表'!D3/666.67),0)</f>
        <v>#DIV/0!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8" t="s">
        <v>504</v>
      </c>
      <c r="B6" s="489"/>
      <c r="C6" s="3677" t="s">
        <v>505</v>
      </c>
      <c r="D6" s="3678"/>
      <c r="E6" s="3699" t="s">
        <v>506</v>
      </c>
      <c r="F6" s="3700"/>
      <c r="G6" s="3677" t="s">
        <v>507</v>
      </c>
      <c r="H6" s="3678"/>
      <c r="I6" s="3677" t="s">
        <v>508</v>
      </c>
      <c r="J6" s="3678"/>
      <c r="K6" s="490" t="s">
        <v>509</v>
      </c>
      <c r="L6" s="1969"/>
      <c r="M6" s="1970"/>
      <c r="N6" s="1970"/>
      <c r="O6" s="1970"/>
      <c r="P6" s="3679" t="s">
        <v>510</v>
      </c>
      <c r="Q6" s="3680"/>
      <c r="R6" s="3663" t="s">
        <v>506</v>
      </c>
      <c r="S6" s="3664"/>
      <c r="T6" s="3663" t="s">
        <v>507</v>
      </c>
      <c r="U6" s="3664"/>
      <c r="V6" s="3685" t="s">
        <v>508</v>
      </c>
      <c r="W6" s="3685"/>
      <c r="X6" s="1457"/>
      <c r="Y6" s="3663" t="s">
        <v>510</v>
      </c>
      <c r="Z6" s="3664"/>
      <c r="AA6" s="3658" t="s">
        <v>506</v>
      </c>
      <c r="AB6" s="3659" t="s">
        <v>507</v>
      </c>
      <c r="AC6" s="3658" t="s">
        <v>508</v>
      </c>
    </row>
    <row r="7" spans="1:29" ht="15">
      <c r="A7" s="491"/>
      <c r="B7" s="492"/>
      <c r="C7" s="3688" t="s">
        <v>2631</v>
      </c>
      <c r="D7" s="3689"/>
      <c r="E7" s="3701" t="s">
        <v>2632</v>
      </c>
      <c r="F7" s="3702"/>
      <c r="G7" s="3688" t="s">
        <v>2633</v>
      </c>
      <c r="H7" s="3689"/>
      <c r="I7" s="3688" t="s">
        <v>2634</v>
      </c>
      <c r="J7" s="3689"/>
      <c r="K7" s="490"/>
      <c r="L7" s="1969"/>
      <c r="M7" s="1970"/>
      <c r="N7" s="1970"/>
      <c r="O7" s="1970"/>
      <c r="P7" s="3681"/>
      <c r="Q7" s="3682"/>
      <c r="R7" s="3665"/>
      <c r="S7" s="3666"/>
      <c r="T7" s="3665"/>
      <c r="U7" s="3666"/>
      <c r="V7" s="3685"/>
      <c r="W7" s="3685"/>
      <c r="X7" s="1457"/>
      <c r="Y7" s="3665"/>
      <c r="Z7" s="3666"/>
      <c r="AA7" s="3659"/>
      <c r="AB7" s="3659"/>
      <c r="AC7" s="3659"/>
    </row>
    <row r="8" spans="1:29" ht="15.75" thickBot="1">
      <c r="A8" s="493"/>
      <c r="B8" s="494"/>
      <c r="C8" s="3686" t="s">
        <v>2635</v>
      </c>
      <c r="D8" s="3687"/>
      <c r="E8" s="3703" t="s">
        <v>2635</v>
      </c>
      <c r="F8" s="3704"/>
      <c r="G8" s="3686" t="s">
        <v>2635</v>
      </c>
      <c r="H8" s="3687"/>
      <c r="I8" s="3686" t="s">
        <v>2635</v>
      </c>
      <c r="J8" s="3687"/>
      <c r="K8" s="490" t="s">
        <v>511</v>
      </c>
      <c r="L8" s="1969"/>
      <c r="M8" s="1970"/>
      <c r="N8" s="1970"/>
      <c r="O8" s="1970"/>
      <c r="P8" s="3683"/>
      <c r="Q8" s="3684"/>
      <c r="R8" s="3665"/>
      <c r="S8" s="3666"/>
      <c r="T8" s="3667"/>
      <c r="U8" s="3668"/>
      <c r="V8" s="3685"/>
      <c r="W8" s="3685"/>
      <c r="X8" s="1457"/>
      <c r="Y8" s="3667"/>
      <c r="Z8" s="3668"/>
      <c r="AA8" s="3660"/>
      <c r="AB8" s="3660"/>
      <c r="AC8" s="3660"/>
    </row>
    <row r="9" spans="1:29" s="1166" customFormat="1" ht="15.75" thickBot="1">
      <c r="A9" s="2551"/>
      <c r="B9" s="2558" t="s">
        <v>512</v>
      </c>
      <c r="C9" s="495">
        <f>'数据-取费表'!B2</f>
        <v>44819</v>
      </c>
      <c r="D9" s="496">
        <v>100</v>
      </c>
      <c r="E9" s="497"/>
      <c r="F9" s="498">
        <f>SUMIF(66:66,YEAR(E9)&amp;"-"&amp;INT((MONTH(E9)+2)/3),67:67)</f>
        <v>0</v>
      </c>
      <c r="G9" s="499"/>
      <c r="H9" s="496">
        <f>SUMIF(66:66,YEAR(G9)&amp;"-"&amp;INT((MONTH(G9)+2)/3),67:67)</f>
        <v>0</v>
      </c>
      <c r="I9" s="499"/>
      <c r="J9" s="496">
        <f>SUMIF(66:66,YEAR(I9)&amp;"-"&amp;INT((MONTH(I9)+2)/3),67:67)</f>
        <v>0</v>
      </c>
      <c r="K9" s="500"/>
      <c r="L9" s="1971"/>
      <c r="M9" s="1972"/>
      <c r="N9" s="1972"/>
      <c r="O9" s="1972"/>
      <c r="P9" s="3661" t="s">
        <v>513</v>
      </c>
      <c r="Q9" s="3670"/>
      <c r="R9" s="1458" t="s">
        <v>8</v>
      </c>
      <c r="S9" s="1459">
        <f t="shared" ref="S9:S17" si="0">F9</f>
        <v>0</v>
      </c>
      <c r="T9" s="1458" t="s">
        <v>8</v>
      </c>
      <c r="U9" s="1459">
        <f t="shared" ref="U9:U17" si="1">H9</f>
        <v>0</v>
      </c>
      <c r="V9" s="1458" t="s">
        <v>8</v>
      </c>
      <c r="W9" s="1459">
        <f t="shared" ref="W9:W17" si="2">J9</f>
        <v>0</v>
      </c>
      <c r="X9" s="1460"/>
      <c r="Y9" s="3661" t="s">
        <v>513</v>
      </c>
      <c r="Z9" s="3662"/>
      <c r="AA9" s="1461" t="e">
        <f>D9/F9</f>
        <v>#DIV/0!</v>
      </c>
      <c r="AB9" s="1461" t="e">
        <f>D9/H9</f>
        <v>#DIV/0!</v>
      </c>
      <c r="AC9" s="1461" t="e">
        <f>D9/J9</f>
        <v>#DIV/0!</v>
      </c>
    </row>
    <row r="10" spans="1:29" s="1166" customFormat="1" ht="15.75" thickBot="1">
      <c r="A10" s="2552"/>
      <c r="B10" s="2559"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1"/>
      <c r="M10" s="1972"/>
      <c r="N10" s="1972"/>
      <c r="O10" s="1972"/>
      <c r="P10" s="3661" t="s">
        <v>516</v>
      </c>
      <c r="Q10" s="3662"/>
      <c r="R10" s="1458" t="s">
        <v>8</v>
      </c>
      <c r="S10" s="1459">
        <f t="shared" si="0"/>
        <v>0</v>
      </c>
      <c r="T10" s="1458" t="s">
        <v>8</v>
      </c>
      <c r="U10" s="1459">
        <f t="shared" si="1"/>
        <v>0</v>
      </c>
      <c r="V10" s="1458" t="s">
        <v>8</v>
      </c>
      <c r="W10" s="1459">
        <f t="shared" si="2"/>
        <v>0</v>
      </c>
      <c r="X10" s="1460"/>
      <c r="Y10" s="3661" t="s">
        <v>516</v>
      </c>
      <c r="Z10" s="3662"/>
      <c r="AA10" s="1461" t="e">
        <f t="shared" ref="AA10:AA42" si="3">D10/F10</f>
        <v>#DIV/0!</v>
      </c>
      <c r="AB10" s="1461" t="e">
        <f t="shared" ref="AB10:AB42" si="4">D10/H10</f>
        <v>#DIV/0!</v>
      </c>
      <c r="AC10" s="1461" t="e">
        <f t="shared" ref="AC10:AC42" si="5">D10/J10</f>
        <v>#DIV/0!</v>
      </c>
    </row>
    <row r="11" spans="1:29" s="1166" customFormat="1" ht="15">
      <c r="A11" s="2553"/>
      <c r="B11" s="2560" t="s">
        <v>2473</v>
      </c>
      <c r="C11" s="502"/>
      <c r="D11" s="251">
        <v>100</v>
      </c>
      <c r="E11" s="502"/>
      <c r="F11" s="251">
        <f>SUMIF(71:71,E11,72:72)-SUMIF(71:71,C11,72:72)+100</f>
        <v>100</v>
      </c>
      <c r="G11" s="502"/>
      <c r="H11" s="251">
        <f>SUMIF(71:71,G11,72:72)-SUMIF(71:71,C11,72:72)+100</f>
        <v>100</v>
      </c>
      <c r="I11" s="502"/>
      <c r="J11" s="251">
        <f>SUMIF(71:71,I11,72:72)-SUMIF(71:71,C11,72:72)+100</f>
        <v>100</v>
      </c>
      <c r="K11" s="500"/>
      <c r="L11" s="1971"/>
      <c r="M11" s="1972"/>
      <c r="N11" s="1972"/>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7" t="s">
        <v>519</v>
      </c>
      <c r="Z11" s="1096" t="str">
        <f t="shared" ref="Z11:Z17" si="7">Q11</f>
        <v>用途</v>
      </c>
      <c r="AA11" s="1461">
        <f t="shared" si="3"/>
        <v>1</v>
      </c>
      <c r="AB11" s="1461">
        <f t="shared" si="4"/>
        <v>1</v>
      </c>
      <c r="AC11" s="1461">
        <f t="shared" si="5"/>
        <v>1</v>
      </c>
    </row>
    <row r="12" spans="1:29" s="1247" customFormat="1" ht="27">
      <c r="A12" s="2554"/>
      <c r="B12" s="2559" t="s">
        <v>2474</v>
      </c>
      <c r="C12" s="504"/>
      <c r="D12" s="252">
        <v>100</v>
      </c>
      <c r="E12" s="504"/>
      <c r="F12" s="252">
        <f>ROUND(100/'数据-取费表'!G16,0)</f>
        <v>109</v>
      </c>
      <c r="G12" s="504"/>
      <c r="H12" s="252">
        <f>ROUND(100/'数据-取费表'!G16,0)</f>
        <v>109</v>
      </c>
      <c r="I12" s="504"/>
      <c r="J12" s="252">
        <f>ROUND(100/'数据-取费表'!G16,0)</f>
        <v>109</v>
      </c>
      <c r="K12" s="507"/>
      <c r="L12" s="1974"/>
      <c r="M12" s="2013"/>
      <c r="N12" s="2013"/>
      <c r="O12" s="1975"/>
      <c r="P12" s="3669"/>
      <c r="Q12" s="1097" t="str">
        <f t="shared" si="6"/>
        <v>土地使用年限（年）</v>
      </c>
      <c r="R12" s="1458" t="s">
        <v>8</v>
      </c>
      <c r="S12" s="1459">
        <f t="shared" si="0"/>
        <v>109</v>
      </c>
      <c r="T12" s="1458" t="s">
        <v>8</v>
      </c>
      <c r="U12" s="1459">
        <f t="shared" si="1"/>
        <v>109</v>
      </c>
      <c r="V12" s="1458" t="s">
        <v>8</v>
      </c>
      <c r="W12" s="1459">
        <f t="shared" si="2"/>
        <v>109</v>
      </c>
      <c r="X12" s="1460"/>
      <c r="Y12" s="3617"/>
      <c r="Z12" s="1096" t="str">
        <f t="shared" si="7"/>
        <v>土地使用年限（年）</v>
      </c>
      <c r="AA12" s="1461">
        <f t="shared" si="3"/>
        <v>0.91743119266055051</v>
      </c>
      <c r="AB12" s="1461">
        <f t="shared" si="4"/>
        <v>0.91743119266055051</v>
      </c>
      <c r="AC12" s="1461">
        <f t="shared" si="5"/>
        <v>0.91743119266055051</v>
      </c>
    </row>
    <row r="13" spans="1:29" ht="15">
      <c r="A13" s="2555"/>
      <c r="B13" s="2559"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6"/>
      <c r="M13" s="1970"/>
      <c r="N13" s="1970"/>
      <c r="O13" s="1977"/>
      <c r="P13" s="3669"/>
      <c r="Q13" s="1097" t="str">
        <f t="shared" si="6"/>
        <v>容积率</v>
      </c>
      <c r="R13" s="1458" t="s">
        <v>8</v>
      </c>
      <c r="S13" s="1459" t="e">
        <f t="shared" si="0"/>
        <v>#N/A</v>
      </c>
      <c r="T13" s="1458" t="s">
        <v>8</v>
      </c>
      <c r="U13" s="1459" t="e">
        <f t="shared" si="1"/>
        <v>#N/A</v>
      </c>
      <c r="V13" s="1458" t="s">
        <v>8</v>
      </c>
      <c r="W13" s="1459" t="e">
        <f t="shared" si="2"/>
        <v>#N/A</v>
      </c>
      <c r="X13" s="1460"/>
      <c r="Y13" s="3617"/>
      <c r="Z13" s="1096" t="str">
        <f t="shared" si="7"/>
        <v>容积率</v>
      </c>
      <c r="AA13" s="1461" t="e">
        <f t="shared" si="3"/>
        <v>#N/A</v>
      </c>
      <c r="AB13" s="1461" t="e">
        <f t="shared" si="4"/>
        <v>#N/A</v>
      </c>
      <c r="AC13" s="1461" t="e">
        <f t="shared" si="5"/>
        <v>#N/A</v>
      </c>
    </row>
    <row r="14" spans="1:29" s="1166" customFormat="1" ht="15">
      <c r="A14" s="2556"/>
      <c r="B14" s="2562">
        <v>111</v>
      </c>
      <c r="C14" s="504"/>
      <c r="D14" s="514">
        <v>100</v>
      </c>
      <c r="E14" s="517"/>
      <c r="F14" s="252">
        <f>SUMIF(78:78,E14,79:79)-SUMIF(78:78,C14,79:79)+100</f>
        <v>100</v>
      </c>
      <c r="G14" s="518"/>
      <c r="H14" s="252">
        <f>SUMIF(78:78,G14,79:79)-SUMIF(78:78,C14,79:79)+100</f>
        <v>100</v>
      </c>
      <c r="I14" s="517"/>
      <c r="J14" s="252">
        <f>SUMIF(78:78,I14,79:79)-SUMIF(78:78,C14,79:79)+100</f>
        <v>100</v>
      </c>
      <c r="K14" s="507"/>
      <c r="L14" s="1971"/>
      <c r="M14" s="1972"/>
      <c r="N14" s="1972"/>
      <c r="O14" s="1973"/>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D14/F14</f>
        <v>1</v>
      </c>
      <c r="AB14" s="1461">
        <f>D14/H14</f>
        <v>1</v>
      </c>
      <c r="AC14" s="1461">
        <f>D14/J14</f>
        <v>1</v>
      </c>
    </row>
    <row r="15" spans="1:29" ht="15">
      <c r="A15" s="2556"/>
      <c r="B15" s="2562">
        <v>111</v>
      </c>
      <c r="C15" s="515"/>
      <c r="D15" s="516">
        <v>100</v>
      </c>
      <c r="E15" s="517"/>
      <c r="F15" s="252">
        <f>SUMIF(80:80,E15,81:81)-SUMIF(80:80,C15,81:81)+100</f>
        <v>100</v>
      </c>
      <c r="G15" s="518"/>
      <c r="H15" s="516">
        <f>SUMIF(80:80,G15,81:81)-SUMIF(80:80,C15,81:81)+100</f>
        <v>100</v>
      </c>
      <c r="I15" s="517"/>
      <c r="J15" s="516">
        <f>SUMIF(80:80,I15,81:81)-SUMIF(80:80,C15,81:81)+100</f>
        <v>100</v>
      </c>
      <c r="K15" s="507"/>
      <c r="L15" s="1978"/>
      <c r="M15" s="1970"/>
      <c r="N15" s="1970"/>
      <c r="O15" s="1977"/>
      <c r="P15" s="3669"/>
      <c r="Q15" s="1097">
        <f t="shared" si="6"/>
        <v>111</v>
      </c>
      <c r="R15" s="1458" t="s">
        <v>8</v>
      </c>
      <c r="S15" s="1459">
        <f t="shared" si="0"/>
        <v>100</v>
      </c>
      <c r="T15" s="1458" t="s">
        <v>8</v>
      </c>
      <c r="U15" s="1459">
        <f t="shared" si="1"/>
        <v>100</v>
      </c>
      <c r="V15" s="1458" t="s">
        <v>8</v>
      </c>
      <c r="W15" s="1459">
        <f t="shared" si="2"/>
        <v>100</v>
      </c>
      <c r="X15" s="1460"/>
      <c r="Y15" s="3617"/>
      <c r="Z15" s="1096">
        <f t="shared" si="7"/>
        <v>111</v>
      </c>
      <c r="AA15" s="1461">
        <f t="shared" si="3"/>
        <v>1</v>
      </c>
      <c r="AB15" s="1461">
        <f t="shared" si="4"/>
        <v>1</v>
      </c>
      <c r="AC15" s="1461">
        <f t="shared" si="5"/>
        <v>1</v>
      </c>
    </row>
    <row r="16" spans="1:29" ht="15.75" thickBot="1">
      <c r="A16" s="2557"/>
      <c r="B16" s="2563">
        <v>111</v>
      </c>
      <c r="C16" s="521"/>
      <c r="D16" s="522">
        <v>100</v>
      </c>
      <c r="E16" s="517"/>
      <c r="F16" s="522">
        <f>SUMIF(82:82,E16,83:83)-SUMIF(82:82,C16,83:83)+100</f>
        <v>100</v>
      </c>
      <c r="G16" s="518"/>
      <c r="H16" s="522">
        <f>SUMIF(82:82,G16,83:83)-SUMIF(82:82,C16,83:83)+100</f>
        <v>100</v>
      </c>
      <c r="I16" s="517"/>
      <c r="J16" s="522">
        <f>SUMIF(82:82,I16,83:83)-SUMIF(82:82,C16,83:83)+100</f>
        <v>100</v>
      </c>
      <c r="K16" s="507"/>
      <c r="L16" s="1978"/>
      <c r="M16" s="1970"/>
      <c r="N16" s="1970"/>
      <c r="O16" s="1977"/>
      <c r="P16" s="3669"/>
      <c r="Q16" s="1097">
        <f t="shared" si="6"/>
        <v>111</v>
      </c>
      <c r="R16" s="1458" t="s">
        <v>8</v>
      </c>
      <c r="S16" s="1459">
        <f t="shared" si="0"/>
        <v>100</v>
      </c>
      <c r="T16" s="1458" t="s">
        <v>8</v>
      </c>
      <c r="U16" s="1459">
        <f t="shared" si="1"/>
        <v>100</v>
      </c>
      <c r="V16" s="1458" t="s">
        <v>8</v>
      </c>
      <c r="W16" s="1459">
        <f t="shared" si="2"/>
        <v>100</v>
      </c>
      <c r="X16" s="1460"/>
      <c r="Y16" s="3617"/>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8"/>
      <c r="M17" s="1970"/>
      <c r="N17" s="1970"/>
      <c r="O17" s="1977"/>
      <c r="P17" s="3671" t="s">
        <v>523</v>
      </c>
      <c r="Q17" s="1462" t="str">
        <f t="shared" si="6"/>
        <v>产业集聚程度</v>
      </c>
      <c r="R17" s="1463" t="s">
        <v>8</v>
      </c>
      <c r="S17" s="1464">
        <f t="shared" si="0"/>
        <v>100</v>
      </c>
      <c r="T17" s="1463" t="s">
        <v>8</v>
      </c>
      <c r="U17" s="1464">
        <f t="shared" si="1"/>
        <v>100</v>
      </c>
      <c r="V17" s="1463" t="s">
        <v>8</v>
      </c>
      <c r="W17" s="1464">
        <f t="shared" si="2"/>
        <v>100</v>
      </c>
      <c r="X17" s="1457"/>
      <c r="Y17" s="3671" t="s">
        <v>523</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8"/>
      <c r="M18" s="1970"/>
      <c r="N18" s="1970"/>
      <c r="O18" s="1977"/>
      <c r="P18" s="3672"/>
      <c r="Q18" s="1462"/>
      <c r="R18" s="1463"/>
      <c r="S18" s="1464"/>
      <c r="T18" s="1463"/>
      <c r="U18" s="1464"/>
      <c r="V18" s="1463"/>
      <c r="W18" s="1464"/>
      <c r="X18" s="1457"/>
      <c r="Y18" s="3672"/>
      <c r="Z18" s="1465"/>
      <c r="AA18" s="1466">
        <v>1</v>
      </c>
      <c r="AB18" s="1466">
        <v>1</v>
      </c>
      <c r="AC18" s="1466">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8"/>
      <c r="M19" s="1970"/>
      <c r="N19" s="1970"/>
      <c r="O19" s="1977"/>
      <c r="P19" s="3672"/>
      <c r="Q19" s="1462" t="str">
        <f>B19</f>
        <v>交通便捷度</v>
      </c>
      <c r="R19" s="1463" t="s">
        <v>8</v>
      </c>
      <c r="S19" s="1464">
        <f>F19</f>
        <v>100</v>
      </c>
      <c r="T19" s="1463" t="s">
        <v>8</v>
      </c>
      <c r="U19" s="1464">
        <f>H19</f>
        <v>100</v>
      </c>
      <c r="V19" s="1463" t="s">
        <v>8</v>
      </c>
      <c r="W19" s="1464">
        <f>J19</f>
        <v>100</v>
      </c>
      <c r="X19" s="1457"/>
      <c r="Y19" s="3672"/>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8"/>
      <c r="M21" s="1970"/>
      <c r="N21" s="1970"/>
      <c r="O21" s="1977"/>
      <c r="P21" s="3672"/>
      <c r="Q21" s="1462" t="str">
        <f t="shared" ref="Q21:Q35" si="8">B21</f>
        <v>区域土地利用方向</v>
      </c>
      <c r="R21" s="1463" t="s">
        <v>8</v>
      </c>
      <c r="S21" s="1464">
        <f>F21</f>
        <v>100</v>
      </c>
      <c r="T21" s="1463" t="s">
        <v>8</v>
      </c>
      <c r="U21" s="1464">
        <f>H21</f>
        <v>100</v>
      </c>
      <c r="V21" s="1463" t="s">
        <v>8</v>
      </c>
      <c r="W21" s="1464">
        <f>J21</f>
        <v>100</v>
      </c>
      <c r="X21" s="1457"/>
      <c r="Y21" s="3672"/>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8"/>
      <c r="M22" s="1970"/>
      <c r="N22" s="1970"/>
      <c r="O22" s="1977"/>
      <c r="P22" s="3672"/>
      <c r="Q22" s="1462"/>
      <c r="R22" s="1463"/>
      <c r="S22" s="1464"/>
      <c r="T22" s="1463"/>
      <c r="U22" s="1464"/>
      <c r="V22" s="1463"/>
      <c r="W22" s="1464"/>
      <c r="X22" s="1457"/>
      <c r="Y22" s="3672"/>
      <c r="Z22" s="1465"/>
      <c r="AA22" s="1466"/>
      <c r="AB22" s="1466"/>
      <c r="AC22" s="1466"/>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8"/>
      <c r="M23" s="1970"/>
      <c r="N23" s="1970"/>
      <c r="O23" s="1977"/>
      <c r="P23" s="3672"/>
      <c r="Q23" s="1462" t="str">
        <f t="shared" si="8"/>
        <v>环境状况</v>
      </c>
      <c r="R23" s="1463" t="s">
        <v>8</v>
      </c>
      <c r="S23" s="1464">
        <f>F23</f>
        <v>100</v>
      </c>
      <c r="T23" s="1463" t="s">
        <v>8</v>
      </c>
      <c r="U23" s="1464">
        <f>H23</f>
        <v>100</v>
      </c>
      <c r="V23" s="1463" t="s">
        <v>8</v>
      </c>
      <c r="W23" s="1464">
        <f>J23</f>
        <v>100</v>
      </c>
      <c r="X23" s="1457"/>
      <c r="Y23" s="3672"/>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8"/>
      <c r="M24" s="1970"/>
      <c r="N24" s="1970"/>
      <c r="O24" s="1977"/>
      <c r="P24" s="3672"/>
      <c r="Q24" s="1462"/>
      <c r="R24" s="1463"/>
      <c r="S24" s="1464"/>
      <c r="T24" s="1463"/>
      <c r="U24" s="1464"/>
      <c r="V24" s="1463"/>
      <c r="W24" s="1464"/>
      <c r="X24" s="1457"/>
      <c r="Y24" s="3672"/>
      <c r="Z24" s="1465"/>
      <c r="AA24" s="1466">
        <v>1</v>
      </c>
      <c r="AB24" s="1466">
        <v>1</v>
      </c>
      <c r="AC24" s="1466">
        <v>1</v>
      </c>
    </row>
    <row r="25" spans="1:29" s="1166" customFormat="1" ht="42.75">
      <c r="A25" s="553"/>
      <c r="B25" s="2359"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1"/>
      <c r="M25" s="1972"/>
      <c r="N25" s="1972"/>
      <c r="O25" s="1973"/>
      <c r="P25" s="3672"/>
      <c r="Q25" s="1097" t="str">
        <f t="shared" si="8"/>
        <v>公共配套设施</v>
      </c>
      <c r="R25" s="1458" t="s">
        <v>8</v>
      </c>
      <c r="S25" s="1459">
        <f>F25</f>
        <v>100</v>
      </c>
      <c r="T25" s="1458" t="s">
        <v>8</v>
      </c>
      <c r="U25" s="1459">
        <f>H25</f>
        <v>100</v>
      </c>
      <c r="V25" s="1458" t="s">
        <v>8</v>
      </c>
      <c r="W25" s="1459">
        <f>J25</f>
        <v>100</v>
      </c>
      <c r="X25" s="1460"/>
      <c r="Y25" s="3672"/>
      <c r="Z25" s="1096" t="str">
        <f>Q25</f>
        <v>公共配套设施</v>
      </c>
      <c r="AA25" s="1466">
        <f>D25/F25</f>
        <v>1</v>
      </c>
      <c r="AB25" s="1466">
        <f>D25/H25</f>
        <v>1</v>
      </c>
      <c r="AC25" s="1466">
        <f>D25/J25</f>
        <v>1</v>
      </c>
    </row>
    <row r="26" spans="1:29" s="1166" customFormat="1" ht="15">
      <c r="A26" s="553"/>
      <c r="B26" s="571"/>
      <c r="C26" s="2358"/>
      <c r="D26" s="531"/>
      <c r="E26" s="530"/>
      <c r="F26" s="531"/>
      <c r="G26" s="530"/>
      <c r="H26" s="531"/>
      <c r="I26" s="552"/>
      <c r="J26" s="531"/>
      <c r="K26" s="507"/>
      <c r="L26" s="1971"/>
      <c r="M26" s="1972"/>
      <c r="N26" s="1972"/>
      <c r="O26" s="1973"/>
      <c r="P26" s="3672"/>
      <c r="Q26" s="1097"/>
      <c r="R26" s="1458"/>
      <c r="S26" s="1459"/>
      <c r="T26" s="1458"/>
      <c r="U26" s="1459"/>
      <c r="V26" s="1458"/>
      <c r="W26" s="1459"/>
      <c r="X26" s="1460"/>
      <c r="Y26" s="3672"/>
      <c r="Z26" s="1096"/>
      <c r="AA26" s="1461">
        <v>1</v>
      </c>
      <c r="AB26" s="1461">
        <v>1</v>
      </c>
      <c r="AC26" s="1461">
        <v>1</v>
      </c>
    </row>
    <row r="27" spans="1:29" s="1166" customFormat="1" ht="28.5">
      <c r="A27" s="553"/>
      <c r="B27" s="2359"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1"/>
      <c r="M27" s="1972"/>
      <c r="N27" s="1972"/>
      <c r="O27" s="1973"/>
      <c r="P27" s="3672"/>
      <c r="Q27" s="2350" t="str">
        <f t="shared" ref="Q27" si="9">B27</f>
        <v>基础设施水平</v>
      </c>
      <c r="R27" s="1458" t="s">
        <v>8</v>
      </c>
      <c r="S27" s="1459">
        <f>F27</f>
        <v>100</v>
      </c>
      <c r="T27" s="1458" t="s">
        <v>8</v>
      </c>
      <c r="U27" s="1459">
        <f>H27</f>
        <v>100</v>
      </c>
      <c r="V27" s="1458" t="s">
        <v>8</v>
      </c>
      <c r="W27" s="1459">
        <f>J27</f>
        <v>100</v>
      </c>
      <c r="X27" s="1460"/>
      <c r="Y27" s="3672"/>
      <c r="Z27" s="2349" t="str">
        <f>Q27</f>
        <v>基础设施水平</v>
      </c>
      <c r="AA27" s="1466">
        <f>D27/F27</f>
        <v>1</v>
      </c>
      <c r="AB27" s="1466">
        <f>D27/H27</f>
        <v>1</v>
      </c>
      <c r="AC27" s="1466">
        <f>D27/J27</f>
        <v>1</v>
      </c>
    </row>
    <row r="28" spans="1:29" s="1166" customFormat="1" ht="15">
      <c r="A28" s="553"/>
      <c r="B28" s="571"/>
      <c r="C28" s="2358"/>
      <c r="D28" s="531"/>
      <c r="E28" s="555"/>
      <c r="F28" s="531"/>
      <c r="G28" s="555"/>
      <c r="H28" s="531"/>
      <c r="I28" s="555"/>
      <c r="J28" s="531"/>
      <c r="K28" s="507"/>
      <c r="L28" s="1971"/>
      <c r="M28" s="1972"/>
      <c r="N28" s="1972"/>
      <c r="O28" s="1973"/>
      <c r="P28" s="3672"/>
      <c r="Q28" s="2350"/>
      <c r="R28" s="1458"/>
      <c r="S28" s="1459"/>
      <c r="T28" s="1458"/>
      <c r="U28" s="1459"/>
      <c r="V28" s="1458"/>
      <c r="W28" s="1459"/>
      <c r="X28" s="1460"/>
      <c r="Y28" s="3672"/>
      <c r="Z28" s="2349"/>
      <c r="AA28" s="1461">
        <v>1</v>
      </c>
      <c r="AB28" s="1461">
        <v>1</v>
      </c>
      <c r="AC28" s="1461">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8"/>
      <c r="M29" s="1970"/>
      <c r="N29" s="1970"/>
      <c r="O29" s="1977"/>
      <c r="P29" s="3672"/>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72"/>
      <c r="Z29" s="1465" t="str">
        <f t="shared" ref="Z29:Z42" si="13">Q29</f>
        <v>临街状况</v>
      </c>
      <c r="AA29" s="1466">
        <f t="shared" si="3"/>
        <v>1</v>
      </c>
      <c r="AB29" s="1466">
        <f t="shared" si="4"/>
        <v>1</v>
      </c>
      <c r="AC29" s="1466">
        <f t="shared" si="5"/>
        <v>1</v>
      </c>
    </row>
    <row r="30" spans="1:29" ht="27">
      <c r="A30" s="508"/>
      <c r="B30" s="893" t="s">
        <v>531</v>
      </c>
      <c r="C30" s="2361">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8"/>
      <c r="M30" s="1970"/>
      <c r="N30" s="1970"/>
      <c r="O30" s="1977"/>
      <c r="P30" s="3672"/>
      <c r="Q30" s="1462" t="str">
        <f t="shared" si="8"/>
        <v>毗邻道路的类型与等级</v>
      </c>
      <c r="R30" s="1463" t="s">
        <v>8</v>
      </c>
      <c r="S30" s="1464">
        <f t="shared" si="10"/>
        <v>100</v>
      </c>
      <c r="T30" s="1463" t="s">
        <v>8</v>
      </c>
      <c r="U30" s="1464">
        <f t="shared" si="11"/>
        <v>100</v>
      </c>
      <c r="V30" s="1463" t="s">
        <v>8</v>
      </c>
      <c r="W30" s="1464">
        <f t="shared" si="12"/>
        <v>100</v>
      </c>
      <c r="X30" s="1457"/>
      <c r="Y30" s="3672"/>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8"/>
      <c r="M31" s="1970"/>
      <c r="N31" s="1970"/>
      <c r="O31" s="1977"/>
      <c r="P31" s="3672"/>
      <c r="Q31" s="1462"/>
      <c r="R31" s="1463"/>
      <c r="S31" s="1464"/>
      <c r="T31" s="1463"/>
      <c r="U31" s="1464"/>
      <c r="V31" s="1463"/>
      <c r="W31" s="1464"/>
      <c r="X31" s="1457"/>
      <c r="Y31" s="3672"/>
      <c r="Z31" s="1465"/>
      <c r="AA31" s="1466">
        <v>1</v>
      </c>
      <c r="AB31" s="1466">
        <v>1</v>
      </c>
      <c r="AC31" s="1466">
        <v>1</v>
      </c>
    </row>
    <row r="32" spans="1:29" ht="15">
      <c r="A32" s="508"/>
      <c r="B32" s="503" t="s">
        <v>532</v>
      </c>
      <c r="C32" s="2362">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8"/>
      <c r="M32" s="1970"/>
      <c r="N32" s="1970"/>
      <c r="O32" s="1977"/>
      <c r="P32" s="3672"/>
      <c r="Q32" s="1462" t="str">
        <f t="shared" si="8"/>
        <v>土地级别</v>
      </c>
      <c r="R32" s="1463" t="s">
        <v>8</v>
      </c>
      <c r="S32" s="1464">
        <f t="shared" si="10"/>
        <v>100</v>
      </c>
      <c r="T32" s="1463" t="s">
        <v>8</v>
      </c>
      <c r="U32" s="1464">
        <f t="shared" si="11"/>
        <v>100</v>
      </c>
      <c r="V32" s="1463" t="s">
        <v>8</v>
      </c>
      <c r="W32" s="1464">
        <f t="shared" si="12"/>
        <v>100</v>
      </c>
      <c r="X32" s="1457"/>
      <c r="Y32" s="3672"/>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8"/>
      <c r="M33" s="1970"/>
      <c r="N33" s="1970"/>
      <c r="O33" s="1977"/>
      <c r="P33" s="3672"/>
      <c r="Q33" s="1462">
        <f t="shared" si="8"/>
        <v>111</v>
      </c>
      <c r="R33" s="1463" t="s">
        <v>8</v>
      </c>
      <c r="S33" s="1464">
        <f t="shared" si="10"/>
        <v>100</v>
      </c>
      <c r="T33" s="1463" t="s">
        <v>8</v>
      </c>
      <c r="U33" s="1464">
        <f t="shared" si="11"/>
        <v>100</v>
      </c>
      <c r="V33" s="1463" t="s">
        <v>8</v>
      </c>
      <c r="W33" s="1464">
        <f t="shared" si="12"/>
        <v>100</v>
      </c>
      <c r="X33" s="1457"/>
      <c r="Y33" s="3672"/>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8"/>
      <c r="M34" s="1970"/>
      <c r="N34" s="1970"/>
      <c r="O34" s="1977"/>
      <c r="P34" s="3673" t="s">
        <v>533</v>
      </c>
      <c r="Q34" s="1462">
        <f t="shared" si="8"/>
        <v>111</v>
      </c>
      <c r="R34" s="1463" t="s">
        <v>8</v>
      </c>
      <c r="S34" s="1464">
        <f t="shared" si="10"/>
        <v>100</v>
      </c>
      <c r="T34" s="1463" t="s">
        <v>8</v>
      </c>
      <c r="U34" s="1464">
        <f t="shared" si="11"/>
        <v>100</v>
      </c>
      <c r="V34" s="1463" t="s">
        <v>8</v>
      </c>
      <c r="W34" s="1464">
        <f t="shared" si="12"/>
        <v>100</v>
      </c>
      <c r="X34" s="1457"/>
      <c r="Y34" s="3674" t="s">
        <v>533</v>
      </c>
      <c r="Z34" s="1465">
        <f t="shared" si="13"/>
        <v>111</v>
      </c>
      <c r="AA34" s="1466">
        <f t="shared" si="3"/>
        <v>1</v>
      </c>
      <c r="AB34" s="1466">
        <f t="shared" si="4"/>
        <v>1</v>
      </c>
      <c r="AC34" s="1466">
        <f t="shared" si="5"/>
        <v>1</v>
      </c>
    </row>
    <row r="35" spans="1:29" s="1248" customFormat="1" ht="15.75" thickBot="1">
      <c r="A35" s="565"/>
      <c r="B35" s="2360">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6"/>
      <c r="M35" s="2006"/>
      <c r="N35" s="2006"/>
      <c r="O35" s="1979"/>
      <c r="P35" s="3674"/>
      <c r="Q35" s="1462">
        <f t="shared" si="8"/>
        <v>111</v>
      </c>
      <c r="R35" s="1467" t="s">
        <v>8</v>
      </c>
      <c r="S35" s="1468">
        <f t="shared" si="10"/>
        <v>100</v>
      </c>
      <c r="T35" s="1467" t="s">
        <v>8</v>
      </c>
      <c r="U35" s="1468">
        <f t="shared" si="11"/>
        <v>100</v>
      </c>
      <c r="V35" s="1467" t="s">
        <v>8</v>
      </c>
      <c r="W35" s="1468">
        <f t="shared" si="12"/>
        <v>100</v>
      </c>
      <c r="X35" s="1469"/>
      <c r="Y35" s="3674"/>
      <c r="Z35" s="1470">
        <f t="shared" si="13"/>
        <v>111</v>
      </c>
      <c r="AA35" s="1466">
        <f t="shared" si="3"/>
        <v>1</v>
      </c>
      <c r="AB35" s="1466">
        <f t="shared" si="4"/>
        <v>1</v>
      </c>
      <c r="AC35" s="1466">
        <f t="shared" si="5"/>
        <v>1</v>
      </c>
    </row>
    <row r="36" spans="1:29" ht="15">
      <c r="A36" s="2546"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8"/>
      <c r="M36" s="1970"/>
      <c r="N36" s="1970"/>
      <c r="O36" s="1977"/>
      <c r="P36" s="3674"/>
      <c r="Q36" s="1462" t="str">
        <f>B36</f>
        <v>宗地面积</v>
      </c>
      <c r="R36" s="1463" t="s">
        <v>8</v>
      </c>
      <c r="S36" s="1464" t="e">
        <f t="shared" si="10"/>
        <v>#N/A</v>
      </c>
      <c r="T36" s="1463" t="s">
        <v>8</v>
      </c>
      <c r="U36" s="1464" t="e">
        <f t="shared" si="11"/>
        <v>#N/A</v>
      </c>
      <c r="V36" s="1463" t="s">
        <v>8</v>
      </c>
      <c r="W36" s="1464" t="e">
        <f t="shared" si="12"/>
        <v>#N/A</v>
      </c>
      <c r="X36" s="1457"/>
      <c r="Y36" s="3674"/>
      <c r="Z36" s="1465" t="str">
        <f t="shared" si="13"/>
        <v>宗地面积</v>
      </c>
      <c r="AA36" s="1466" t="e">
        <f t="shared" si="3"/>
        <v>#N/A</v>
      </c>
      <c r="AB36" s="1466" t="e">
        <f t="shared" si="4"/>
        <v>#N/A</v>
      </c>
      <c r="AC36" s="1466"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8"/>
      <c r="M37" s="1970"/>
      <c r="N37" s="1970"/>
      <c r="O37" s="1977"/>
      <c r="P37" s="3674"/>
      <c r="Q37" s="1462" t="str">
        <f t="shared" ref="Q37:Q42" si="14">B37</f>
        <v>宗地形状</v>
      </c>
      <c r="R37" s="1463" t="s">
        <v>8</v>
      </c>
      <c r="S37" s="1464">
        <f t="shared" si="10"/>
        <v>100</v>
      </c>
      <c r="T37" s="1463" t="s">
        <v>8</v>
      </c>
      <c r="U37" s="1464">
        <f t="shared" si="11"/>
        <v>100</v>
      </c>
      <c r="V37" s="1463" t="s">
        <v>8</v>
      </c>
      <c r="W37" s="1464">
        <f t="shared" si="12"/>
        <v>100</v>
      </c>
      <c r="X37" s="1457"/>
      <c r="Y37" s="3674"/>
      <c r="Z37" s="1465" t="str">
        <f t="shared" si="13"/>
        <v>宗地形状</v>
      </c>
      <c r="AA37" s="1466">
        <f t="shared" si="3"/>
        <v>1</v>
      </c>
      <c r="AB37" s="1466">
        <f t="shared" si="4"/>
        <v>1</v>
      </c>
      <c r="AC37" s="1466">
        <f t="shared" si="5"/>
        <v>1</v>
      </c>
    </row>
    <row r="38" spans="1:29" s="1166" customFormat="1" ht="15">
      <c r="A38" s="576"/>
      <c r="B38" s="1764"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1"/>
      <c r="M38" s="1972"/>
      <c r="N38" s="1972"/>
      <c r="O38" s="1973"/>
      <c r="P38" s="3674"/>
      <c r="Q38" s="1462" t="str">
        <f t="shared" si="14"/>
        <v>宗地开发程度</v>
      </c>
      <c r="R38" s="1458" t="s">
        <v>8</v>
      </c>
      <c r="S38" s="1459">
        <f t="shared" si="10"/>
        <v>100</v>
      </c>
      <c r="T38" s="1458" t="s">
        <v>8</v>
      </c>
      <c r="U38" s="1459">
        <f t="shared" si="11"/>
        <v>100</v>
      </c>
      <c r="V38" s="1458" t="s">
        <v>8</v>
      </c>
      <c r="W38" s="1459">
        <f t="shared" si="12"/>
        <v>100</v>
      </c>
      <c r="X38" s="1460"/>
      <c r="Y38" s="3674"/>
      <c r="Z38" s="1096" t="str">
        <f t="shared" si="13"/>
        <v>宗地开发程度</v>
      </c>
      <c r="AA38" s="1461">
        <f t="shared" si="3"/>
        <v>1</v>
      </c>
      <c r="AB38" s="1461">
        <f t="shared" si="4"/>
        <v>1</v>
      </c>
      <c r="AC38" s="1461">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8"/>
      <c r="M39" s="1970"/>
      <c r="N39" s="1970"/>
      <c r="O39" s="1977"/>
      <c r="P39" s="3674" t="s">
        <v>583</v>
      </c>
      <c r="Q39" s="1462" t="str">
        <f t="shared" si="14"/>
        <v>工程地质条件</v>
      </c>
      <c r="R39" s="1463" t="s">
        <v>8</v>
      </c>
      <c r="S39" s="1464">
        <f t="shared" si="10"/>
        <v>100</v>
      </c>
      <c r="T39" s="1463" t="s">
        <v>8</v>
      </c>
      <c r="U39" s="1464">
        <f t="shared" si="11"/>
        <v>100</v>
      </c>
      <c r="V39" s="1463" t="s">
        <v>8</v>
      </c>
      <c r="W39" s="1464">
        <f t="shared" si="12"/>
        <v>100</v>
      </c>
      <c r="X39" s="1457"/>
      <c r="Y39" s="3674" t="s">
        <v>583</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8"/>
      <c r="M40" s="1970"/>
      <c r="N40" s="1970"/>
      <c r="O40" s="1977"/>
      <c r="P40" s="3674"/>
      <c r="Q40" s="1462">
        <f t="shared" si="14"/>
        <v>111</v>
      </c>
      <c r="R40" s="1463" t="s">
        <v>8</v>
      </c>
      <c r="S40" s="1464">
        <f t="shared" si="10"/>
        <v>100</v>
      </c>
      <c r="T40" s="1463" t="s">
        <v>8</v>
      </c>
      <c r="U40" s="1464">
        <f t="shared" si="11"/>
        <v>100</v>
      </c>
      <c r="V40" s="1463" t="s">
        <v>8</v>
      </c>
      <c r="W40" s="1464">
        <f t="shared" si="12"/>
        <v>100</v>
      </c>
      <c r="X40" s="1457"/>
      <c r="Y40" s="3674"/>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8"/>
      <c r="M41" s="1970"/>
      <c r="N41" s="1970"/>
      <c r="O41" s="1977"/>
      <c r="P41" s="3674"/>
      <c r="Q41" s="1462">
        <f t="shared" si="14"/>
        <v>111</v>
      </c>
      <c r="R41" s="1463" t="s">
        <v>8</v>
      </c>
      <c r="S41" s="1464">
        <f t="shared" si="10"/>
        <v>100</v>
      </c>
      <c r="T41" s="1463" t="s">
        <v>8</v>
      </c>
      <c r="U41" s="1464">
        <f t="shared" si="11"/>
        <v>100</v>
      </c>
      <c r="V41" s="1463" t="s">
        <v>8</v>
      </c>
      <c r="W41" s="1464">
        <f t="shared" si="12"/>
        <v>100</v>
      </c>
      <c r="X41" s="1457"/>
      <c r="Y41" s="3674"/>
      <c r="Z41" s="1465">
        <f t="shared" si="13"/>
        <v>111</v>
      </c>
      <c r="AA41" s="1466">
        <f t="shared" si="3"/>
        <v>1</v>
      </c>
      <c r="AB41" s="1466">
        <f t="shared" si="4"/>
        <v>1</v>
      </c>
      <c r="AC41" s="1466">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6"/>
      <c r="M42" s="2006"/>
      <c r="N42" s="2006"/>
      <c r="O42" s="1979"/>
      <c r="P42" s="3674"/>
      <c r="Q42" s="1462">
        <f t="shared" si="14"/>
        <v>111</v>
      </c>
      <c r="R42" s="1467" t="s">
        <v>8</v>
      </c>
      <c r="S42" s="1468">
        <f t="shared" si="10"/>
        <v>100</v>
      </c>
      <c r="T42" s="1467" t="s">
        <v>8</v>
      </c>
      <c r="U42" s="1468">
        <f t="shared" si="11"/>
        <v>100</v>
      </c>
      <c r="V42" s="1467" t="s">
        <v>8</v>
      </c>
      <c r="W42" s="1468">
        <f t="shared" si="12"/>
        <v>100</v>
      </c>
      <c r="X42" s="1469"/>
      <c r="Y42" s="3674"/>
      <c r="Z42" s="1470">
        <f t="shared" si="13"/>
        <v>111</v>
      </c>
      <c r="AA42" s="1466">
        <f t="shared" si="3"/>
        <v>1</v>
      </c>
      <c r="AB42" s="1466">
        <f t="shared" si="4"/>
        <v>1</v>
      </c>
      <c r="AC42" s="1466">
        <f t="shared" si="5"/>
        <v>1</v>
      </c>
    </row>
    <row r="43" spans="1:29" ht="15">
      <c r="A43" s="583" t="s">
        <v>539</v>
      </c>
      <c r="B43" s="584" t="s">
        <v>2636</v>
      </c>
      <c r="C43" s="585" t="s">
        <v>1</v>
      </c>
      <c r="D43" s="586"/>
      <c r="E43" s="587"/>
      <c r="F43" s="588"/>
      <c r="G43" s="589"/>
      <c r="H43" s="590"/>
      <c r="I43" s="587"/>
      <c r="J43" s="590"/>
      <c r="K43" s="1249"/>
      <c r="L43" s="1980"/>
      <c r="M43" s="1970"/>
      <c r="N43" s="1970"/>
      <c r="O43" s="1981"/>
      <c r="P43" s="3669" t="str">
        <f>A43</f>
        <v>成交单价</v>
      </c>
      <c r="Q43" s="3669"/>
      <c r="R43" s="3685">
        <f>E43</f>
        <v>0</v>
      </c>
      <c r="S43" s="3685"/>
      <c r="T43" s="3685">
        <f>G43</f>
        <v>0</v>
      </c>
      <c r="U43" s="3685"/>
      <c r="V43" s="3685">
        <f>I43</f>
        <v>0</v>
      </c>
      <c r="W43" s="3685"/>
      <c r="X43" s="1452"/>
      <c r="Y43" s="1471"/>
      <c r="Z43" s="1452"/>
      <c r="AA43" s="1452"/>
      <c r="AB43" s="1452"/>
      <c r="AC43" s="1452"/>
    </row>
    <row r="44" spans="1:29" ht="15.75" thickBot="1">
      <c r="A44" s="591" t="s">
        <v>2410</v>
      </c>
      <c r="B44" s="592"/>
      <c r="C44" s="593" t="e">
        <f>R45</f>
        <v>#DIV/0!</v>
      </c>
      <c r="D44" s="2922" t="s">
        <v>2702</v>
      </c>
      <c r="E44" s="593" t="e">
        <f>R44</f>
        <v>#DIV/0!</v>
      </c>
      <c r="F44" s="2923"/>
      <c r="G44" s="594" t="e">
        <f>T44</f>
        <v>#DIV/0!</v>
      </c>
      <c r="H44" s="2923"/>
      <c r="I44" s="593" t="e">
        <f>V44</f>
        <v>#DIV/0!</v>
      </c>
      <c r="J44" s="2923"/>
      <c r="K44" s="2924">
        <f>F44+H44+J44</f>
        <v>0</v>
      </c>
      <c r="L44" s="1980"/>
      <c r="M44" s="1970"/>
      <c r="N44" s="1970"/>
      <c r="O44" s="1981"/>
      <c r="P44" s="3669" t="str">
        <f>A44</f>
        <v>比较价格（元/平方米）</v>
      </c>
      <c r="Q44" s="3669"/>
      <c r="R44" s="3693" t="e">
        <f>ROUND(PRODUCT(R43,AA9:AA42),0)</f>
        <v>#DIV/0!</v>
      </c>
      <c r="S44" s="3693"/>
      <c r="T44" s="3693" t="e">
        <f>ROUND(PRODUCT(T43,AB9:AB42),0)</f>
        <v>#DIV/0!</v>
      </c>
      <c r="U44" s="3693"/>
      <c r="V44" s="3693" t="e">
        <f>ROUND(PRODUCT(V43,AC9:AC42),0)</f>
        <v>#DIV/0!</v>
      </c>
      <c r="W44" s="3693"/>
      <c r="X44" s="1452"/>
      <c r="Y44" s="1452"/>
      <c r="Z44" s="1452"/>
      <c r="AA44" s="1452"/>
      <c r="AB44" s="1452"/>
      <c r="AC44" s="1452"/>
    </row>
    <row r="45" spans="1:29" ht="15.75" thickBot="1">
      <c r="A45" s="595" t="s">
        <v>2637</v>
      </c>
      <c r="B45" s="596"/>
      <c r="C45" s="597" t="e">
        <f>R45</f>
        <v>#DIV/0!</v>
      </c>
      <c r="D45" s="597"/>
      <c r="E45" s="597"/>
      <c r="F45" s="597"/>
      <c r="G45" s="597"/>
      <c r="H45" s="597"/>
      <c r="I45" s="597"/>
      <c r="J45" s="597"/>
      <c r="K45" s="1250"/>
      <c r="L45" s="1980"/>
      <c r="M45" s="1970"/>
      <c r="N45" s="1970"/>
      <c r="O45" s="1981"/>
      <c r="P45" s="3675" t="str">
        <f>A45</f>
        <v>估价对象XX用房的比较价格（楼面单价，元/平方米）</v>
      </c>
      <c r="Q45" s="3676"/>
      <c r="R45" s="3698" t="e">
        <f>ROUND(IF(D44="简单平均",AVERAGE(R44:W44),R44*F44+T44*H44+V44*J44),0)</f>
        <v>#DIV/0!</v>
      </c>
      <c r="S45" s="3698"/>
      <c r="T45" s="3698"/>
      <c r="U45" s="3698"/>
      <c r="V45" s="3698"/>
      <c r="W45" s="3698"/>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3" t="s">
        <v>543</v>
      </c>
      <c r="B52" s="604" t="s">
        <v>544</v>
      </c>
      <c r="C52" s="1453" t="s">
        <v>1524</v>
      </c>
      <c r="D52" s="2061" t="s">
        <v>2083</v>
      </c>
      <c r="E52" s="605" t="s">
        <v>545</v>
      </c>
      <c r="F52" s="1820" t="s">
        <v>546</v>
      </c>
      <c r="G52" s="3694" t="s">
        <v>2075</v>
      </c>
      <c r="H52" s="3695"/>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7" t="s">
        <v>547</v>
      </c>
      <c r="B53" s="608" t="e">
        <f>C45</f>
        <v>#DIV/0!</v>
      </c>
      <c r="C53" s="609">
        <v>1</v>
      </c>
      <c r="D53" s="2062">
        <v>1</v>
      </c>
      <c r="E53" s="609">
        <f>'数据-汇总表'!E8+'数据-汇总表'!E9</f>
        <v>1790.62</v>
      </c>
      <c r="F53" s="1819" t="e">
        <f t="shared" ref="F53:F61" si="15">ROUND(B53*E53/10000,0)</f>
        <v>#DIV/0!</v>
      </c>
      <c r="G53" s="3696"/>
      <c r="H53" s="3697"/>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1" t="s">
        <v>548</v>
      </c>
      <c r="B54" s="612" t="e">
        <f>ROUND($C$45*C54*D54,0)</f>
        <v>#DIV/0!</v>
      </c>
      <c r="C54" s="371">
        <f t="shared" ref="C54:C61" si="16">IF($C$52="北京市系数",I54,J54)</f>
        <v>0</v>
      </c>
      <c r="D54" s="2063">
        <v>0.25</v>
      </c>
      <c r="E54" s="613"/>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1" t="s">
        <v>549</v>
      </c>
      <c r="B55" s="612" t="e">
        <f t="shared" ref="B55:B61" si="17">ROUND($C$45*C55*D55,0)</f>
        <v>#DIV/0!</v>
      </c>
      <c r="C55" s="371">
        <f t="shared" si="16"/>
        <v>0</v>
      </c>
      <c r="D55" s="2063">
        <v>0.25</v>
      </c>
      <c r="E55" s="613"/>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1" t="s">
        <v>550</v>
      </c>
      <c r="B56" s="612" t="e">
        <f t="shared" si="17"/>
        <v>#DIV/0!</v>
      </c>
      <c r="C56" s="371">
        <f t="shared" si="16"/>
        <v>0</v>
      </c>
      <c r="D56" s="2063">
        <v>0.25</v>
      </c>
      <c r="E56" s="613"/>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2" t="e">
        <f t="shared" si="17"/>
        <v>#DIV/0!</v>
      </c>
      <c r="C57" s="371">
        <f t="shared" si="16"/>
        <v>0</v>
      </c>
      <c r="D57" s="2063">
        <v>0.25</v>
      </c>
      <c r="E57" s="615">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1" t="s">
        <v>551</v>
      </c>
      <c r="B58" s="612" t="e">
        <f t="shared" si="17"/>
        <v>#DIV/0!</v>
      </c>
      <c r="C58" s="371">
        <f t="shared" si="16"/>
        <v>0</v>
      </c>
      <c r="D58" s="2063">
        <v>0.25</v>
      </c>
      <c r="E58" s="615">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552</v>
      </c>
      <c r="B59" s="612" t="e">
        <f t="shared" si="17"/>
        <v>#DIV/0!</v>
      </c>
      <c r="C59" s="371">
        <f t="shared" si="16"/>
        <v>0</v>
      </c>
      <c r="D59" s="2063">
        <v>0.25</v>
      </c>
      <c r="E59" s="615">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553</v>
      </c>
      <c r="B60" s="612" t="e">
        <f t="shared" si="17"/>
        <v>#DIV/0!</v>
      </c>
      <c r="C60" s="371">
        <f t="shared" si="16"/>
        <v>0</v>
      </c>
      <c r="D60" s="2063">
        <v>0.25</v>
      </c>
      <c r="E60" s="615">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1" t="s">
        <v>554</v>
      </c>
      <c r="B61" s="612" t="e">
        <f t="shared" si="17"/>
        <v>#DIV/0!</v>
      </c>
      <c r="C61" s="371">
        <f t="shared" si="16"/>
        <v>0</v>
      </c>
      <c r="D61" s="2063">
        <v>0.25</v>
      </c>
      <c r="E61" s="615">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6" t="s">
        <v>555</v>
      </c>
      <c r="B62" s="617" t="s">
        <v>17</v>
      </c>
      <c r="C62" s="617" t="s">
        <v>18</v>
      </c>
      <c r="D62" s="617" t="s">
        <v>2084</v>
      </c>
      <c r="E62" s="617">
        <f>IF(B43="楼面地价",SUM(E53:E61),'数据-汇总表'!D3)</f>
        <v>16450</v>
      </c>
      <c r="F62" s="618"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2022-9-1</v>
      </c>
      <c r="D64" s="2438">
        <f>EDATE(C64,-3)</f>
        <v>44713</v>
      </c>
      <c r="E64" s="2438">
        <f t="shared" ref="E64:N64" si="18">EDATE(D64,-3)</f>
        <v>44621</v>
      </c>
      <c r="F64" s="2438">
        <f t="shared" si="18"/>
        <v>44531</v>
      </c>
      <c r="G64" s="2438">
        <f t="shared" si="18"/>
        <v>44440</v>
      </c>
      <c r="H64" s="2438">
        <f t="shared" si="18"/>
        <v>44348</v>
      </c>
      <c r="I64" s="2438">
        <f t="shared" si="18"/>
        <v>44256</v>
      </c>
      <c r="J64" s="2438">
        <f t="shared" si="18"/>
        <v>44166</v>
      </c>
      <c r="K64" s="2438">
        <f t="shared" si="18"/>
        <v>44075</v>
      </c>
      <c r="L64" s="2438">
        <f t="shared" si="18"/>
        <v>43983</v>
      </c>
      <c r="M64" s="2438">
        <f t="shared" si="18"/>
        <v>43891</v>
      </c>
      <c r="N64" s="2438">
        <f t="shared" si="18"/>
        <v>43800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0"/>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1" t="str">
        <f>"北京市平均增长率"&amp;TEXT(基准地价!P24,"0.00%")</f>
        <v>北京市平均增长率1.13%</v>
      </c>
      <c r="C67" s="865">
        <v>100</v>
      </c>
      <c r="D67" s="704"/>
      <c r="E67" s="704"/>
      <c r="F67" s="704"/>
      <c r="G67" s="704"/>
      <c r="H67" s="704"/>
      <c r="I67" s="704"/>
      <c r="J67" s="704"/>
      <c r="K67" s="704"/>
      <c r="L67" s="704"/>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7" t="s">
        <v>557</v>
      </c>
      <c r="B68" s="628"/>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3" t="s">
        <v>514</v>
      </c>
      <c r="B69" s="622"/>
      <c r="C69" s="634" t="s">
        <v>558</v>
      </c>
      <c r="D69" s="635"/>
      <c r="E69" s="635"/>
      <c r="F69" s="635"/>
      <c r="G69" s="635"/>
      <c r="H69" s="635"/>
      <c r="I69" s="635"/>
      <c r="J69" s="635"/>
      <c r="K69" s="635"/>
      <c r="L69" s="636"/>
      <c r="M69" s="637"/>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3"/>
      <c r="B70" s="622"/>
      <c r="C70" s="623">
        <v>100</v>
      </c>
      <c r="D70" s="624"/>
      <c r="E70" s="624"/>
      <c r="F70" s="624"/>
      <c r="G70" s="624"/>
      <c r="H70" s="624"/>
      <c r="I70" s="624"/>
      <c r="J70" s="624"/>
      <c r="K70" s="624"/>
      <c r="L70" s="624"/>
      <c r="M70" s="626"/>
      <c r="N70" s="3136"/>
      <c r="O70" s="1997"/>
      <c r="P70" s="1993"/>
      <c r="Q70" s="1993"/>
      <c r="R70" s="1859"/>
      <c r="S70" s="1859"/>
      <c r="T70" s="1859"/>
      <c r="U70" s="1859"/>
      <c r="V70" s="1859"/>
      <c r="W70" s="1859"/>
      <c r="X70" s="1859"/>
      <c r="Y70" s="1859"/>
      <c r="Z70" s="1859"/>
      <c r="AA70" s="1859"/>
      <c r="AB70" s="1859"/>
      <c r="AC70" s="1859"/>
    </row>
    <row r="71" spans="1:29">
      <c r="A71" s="638" t="s">
        <v>559</v>
      </c>
      <c r="B71" s="639" t="s">
        <v>517</v>
      </c>
      <c r="C71" s="574"/>
      <c r="D71" s="574"/>
      <c r="E71" s="574"/>
      <c r="F71" s="574"/>
      <c r="G71" s="574"/>
      <c r="H71" s="574"/>
      <c r="I71" s="574"/>
      <c r="J71" s="574"/>
      <c r="K71" s="640"/>
      <c r="L71" s="641"/>
      <c r="M71" s="642"/>
      <c r="N71" s="3137"/>
      <c r="O71" s="1999"/>
      <c r="P71" s="2000"/>
      <c r="Q71" s="1993"/>
      <c r="R71" s="1981"/>
      <c r="S71" s="1981"/>
      <c r="T71" s="1981"/>
      <c r="U71" s="1981"/>
      <c r="V71" s="1981"/>
      <c r="W71" s="1981"/>
      <c r="X71" s="1981"/>
      <c r="Y71" s="1981"/>
      <c r="Z71" s="1981"/>
      <c r="AA71" s="1981"/>
      <c r="AB71" s="1981"/>
      <c r="AC71" s="1981"/>
    </row>
    <row r="72" spans="1:29" ht="15.75" thickBot="1">
      <c r="A72" s="643"/>
      <c r="B72" s="644"/>
      <c r="C72" s="645"/>
      <c r="D72" s="645"/>
      <c r="E72" s="645"/>
      <c r="F72" s="645"/>
      <c r="G72" s="645"/>
      <c r="H72" s="645"/>
      <c r="I72" s="645"/>
      <c r="J72" s="645"/>
      <c r="K72" s="645"/>
      <c r="L72" s="645"/>
      <c r="M72" s="646"/>
      <c r="N72" s="3138"/>
      <c r="O72" s="2001"/>
      <c r="P72" s="2000"/>
      <c r="Q72" s="1993"/>
      <c r="R72" s="1981"/>
      <c r="S72" s="1981"/>
      <c r="T72" s="1981"/>
      <c r="U72" s="1981"/>
      <c r="V72" s="1981"/>
      <c r="W72" s="1981"/>
      <c r="X72" s="1981"/>
      <c r="Y72" s="1981"/>
      <c r="Z72" s="1981"/>
      <c r="AA72" s="1981"/>
      <c r="AB72" s="1981"/>
      <c r="AC72" s="1981"/>
    </row>
    <row r="73" spans="1:29" ht="27.75" thickTop="1">
      <c r="A73" s="643"/>
      <c r="B73" s="647" t="s">
        <v>520</v>
      </c>
      <c r="C73" s="648"/>
      <c r="D73" s="648"/>
      <c r="E73" s="648"/>
      <c r="F73" s="648"/>
      <c r="G73" s="648"/>
      <c r="H73" s="648"/>
      <c r="I73" s="648"/>
      <c r="J73" s="648"/>
      <c r="K73" s="649"/>
      <c r="L73" s="650"/>
      <c r="M73" s="651"/>
      <c r="N73" s="3137"/>
      <c r="O73" s="1999"/>
      <c r="P73" s="2000"/>
      <c r="Q73" s="1993"/>
      <c r="R73" s="1981"/>
      <c r="S73" s="1981"/>
      <c r="T73" s="1981"/>
      <c r="U73" s="1981"/>
      <c r="V73" s="1981"/>
      <c r="W73" s="1981"/>
      <c r="X73" s="1981"/>
      <c r="Y73" s="1981"/>
      <c r="Z73" s="1981"/>
      <c r="AA73" s="1981"/>
      <c r="AB73" s="1981"/>
      <c r="AC73" s="1981"/>
    </row>
    <row r="74" spans="1:29" ht="15.75" thickBot="1">
      <c r="A74" s="643"/>
      <c r="B74" s="652"/>
      <c r="C74" s="653"/>
      <c r="D74" s="653"/>
      <c r="E74" s="653"/>
      <c r="F74" s="653"/>
      <c r="G74" s="653"/>
      <c r="H74" s="653"/>
      <c r="I74" s="653"/>
      <c r="J74" s="653"/>
      <c r="K74" s="653"/>
      <c r="L74" s="653"/>
      <c r="M74" s="654"/>
      <c r="N74" s="3138"/>
      <c r="O74" s="2001"/>
      <c r="P74" s="2000"/>
      <c r="Q74" s="1993"/>
      <c r="R74" s="1981"/>
      <c r="S74" s="1981"/>
      <c r="T74" s="1981"/>
      <c r="U74" s="1981"/>
      <c r="V74" s="1981"/>
      <c r="W74" s="1981"/>
      <c r="X74" s="1981"/>
      <c r="Y74" s="1981"/>
      <c r="Z74" s="1981"/>
      <c r="AA74" s="1981"/>
      <c r="AB74" s="1981"/>
      <c r="AC74" s="1981"/>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3"/>
      <c r="B76" s="657"/>
      <c r="C76" s="517"/>
      <c r="D76" s="517"/>
      <c r="E76" s="517"/>
      <c r="F76" s="517"/>
      <c r="G76" s="517"/>
      <c r="H76" s="517"/>
      <c r="I76" s="517"/>
      <c r="J76" s="517"/>
      <c r="K76" s="658"/>
      <c r="L76" s="659"/>
      <c r="M76" s="660"/>
      <c r="N76" s="3137"/>
      <c r="O76" s="1999"/>
      <c r="P76" s="2000"/>
      <c r="Q76" s="1993"/>
      <c r="R76" s="1981"/>
      <c r="S76" s="1981"/>
      <c r="T76" s="1981"/>
      <c r="U76" s="1981"/>
      <c r="V76" s="1981"/>
      <c r="W76" s="1981"/>
      <c r="X76" s="1981"/>
      <c r="Y76" s="1981"/>
      <c r="Z76" s="1981"/>
      <c r="AA76" s="1981"/>
      <c r="AB76" s="1981"/>
      <c r="AC76" s="1981"/>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1"/>
      <c r="B78" s="647">
        <f>B14</f>
        <v>111</v>
      </c>
      <c r="C78" s="662"/>
      <c r="D78" s="662"/>
      <c r="E78" s="662"/>
      <c r="F78" s="662"/>
      <c r="G78" s="662"/>
      <c r="H78" s="663"/>
      <c r="I78" s="663"/>
      <c r="J78" s="663"/>
      <c r="K78" s="663"/>
      <c r="L78" s="664"/>
      <c r="M78" s="665"/>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1"/>
      <c r="B79" s="652"/>
      <c r="C79" s="666"/>
      <c r="D79" s="645"/>
      <c r="E79" s="645"/>
      <c r="F79" s="645"/>
      <c r="G79" s="645"/>
      <c r="H79" s="645"/>
      <c r="I79" s="645"/>
      <c r="J79" s="645"/>
      <c r="K79" s="645"/>
      <c r="L79" s="645"/>
      <c r="M79" s="646"/>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1"/>
      <c r="B80" s="647">
        <f>B15</f>
        <v>111</v>
      </c>
      <c r="C80" s="662"/>
      <c r="D80" s="662"/>
      <c r="E80" s="662"/>
      <c r="F80" s="662"/>
      <c r="G80" s="662"/>
      <c r="H80" s="663"/>
      <c r="I80" s="663"/>
      <c r="J80" s="663"/>
      <c r="K80" s="663"/>
      <c r="L80" s="664"/>
      <c r="M80" s="665"/>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1"/>
      <c r="B81" s="652"/>
      <c r="C81" s="666"/>
      <c r="D81" s="666"/>
      <c r="E81" s="666"/>
      <c r="F81" s="666"/>
      <c r="G81" s="666"/>
      <c r="H81" s="667"/>
      <c r="I81" s="667"/>
      <c r="J81" s="667"/>
      <c r="K81" s="667"/>
      <c r="L81" s="667"/>
      <c r="M81" s="668"/>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1"/>
      <c r="B82" s="655">
        <f>B16</f>
        <v>111</v>
      </c>
      <c r="C82" s="635"/>
      <c r="D82" s="635"/>
      <c r="E82" s="635"/>
      <c r="F82" s="635"/>
      <c r="G82" s="635"/>
      <c r="H82" s="669"/>
      <c r="I82" s="669"/>
      <c r="J82" s="669"/>
      <c r="K82" s="669"/>
      <c r="L82" s="670"/>
      <c r="M82" s="671"/>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2"/>
      <c r="B83" s="673"/>
      <c r="C83" s="674"/>
      <c r="D83" s="674"/>
      <c r="E83" s="674"/>
      <c r="F83" s="674"/>
      <c r="G83" s="674"/>
      <c r="H83" s="675"/>
      <c r="I83" s="675"/>
      <c r="J83" s="675"/>
      <c r="K83" s="675"/>
      <c r="L83" s="675"/>
      <c r="M83" s="676"/>
      <c r="N83" s="3139"/>
      <c r="O83" s="2002"/>
      <c r="P83" s="2003"/>
      <c r="Q83" s="2004"/>
      <c r="R83" s="2005"/>
      <c r="S83" s="2005"/>
      <c r="T83" s="2005"/>
      <c r="U83" s="2005"/>
      <c r="V83" s="2005"/>
      <c r="W83" s="2005"/>
      <c r="X83" s="2005"/>
      <c r="Y83" s="2005"/>
      <c r="Z83" s="2005"/>
      <c r="AA83" s="2005"/>
      <c r="AB83" s="2005"/>
      <c r="AC83" s="2005"/>
    </row>
    <row r="84" spans="1:29">
      <c r="A84" s="638" t="s">
        <v>522</v>
      </c>
      <c r="B84" s="639" t="s">
        <v>584</v>
      </c>
      <c r="C84" s="677" t="s">
        <v>561</v>
      </c>
      <c r="D84" s="677" t="s">
        <v>562</v>
      </c>
      <c r="E84" s="677" t="s">
        <v>563</v>
      </c>
      <c r="F84" s="677" t="s">
        <v>564</v>
      </c>
      <c r="G84" s="677" t="s">
        <v>565</v>
      </c>
      <c r="H84" s="678"/>
      <c r="I84" s="678"/>
      <c r="J84" s="678"/>
      <c r="K84" s="679"/>
      <c r="L84" s="680"/>
      <c r="M84" s="681"/>
      <c r="N84" s="3137"/>
      <c r="O84" s="1999"/>
      <c r="P84" s="2009"/>
      <c r="Q84" s="1993"/>
      <c r="R84" s="1981"/>
      <c r="S84" s="1981"/>
      <c r="T84" s="1981"/>
      <c r="U84" s="1981"/>
      <c r="V84" s="1981"/>
      <c r="W84" s="1981"/>
      <c r="X84" s="1981"/>
      <c r="Y84" s="1981"/>
      <c r="Z84" s="1981"/>
      <c r="AA84" s="1981"/>
      <c r="AB84" s="1981"/>
      <c r="AC84" s="1981"/>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8"/>
      <c r="O85" s="2001"/>
      <c r="P85" s="2000"/>
      <c r="Q85" s="1993"/>
      <c r="R85" s="1981"/>
      <c r="S85" s="1981"/>
      <c r="T85" s="1981"/>
      <c r="U85" s="1981"/>
      <c r="V85" s="1981"/>
      <c r="W85" s="1981"/>
      <c r="X85" s="1981"/>
      <c r="Y85" s="1981"/>
      <c r="Z85" s="1981"/>
      <c r="AA85" s="1981"/>
      <c r="AB85" s="1981"/>
      <c r="AC85" s="1981"/>
    </row>
    <row r="86" spans="1:29" ht="15.75" thickTop="1">
      <c r="A86" s="643"/>
      <c r="B86" s="647" t="s">
        <v>568</v>
      </c>
      <c r="C86" s="682" t="s">
        <v>561</v>
      </c>
      <c r="D86" s="682" t="s">
        <v>562</v>
      </c>
      <c r="E86" s="682" t="s">
        <v>563</v>
      </c>
      <c r="F86" s="682" t="s">
        <v>564</v>
      </c>
      <c r="G86" s="682" t="s">
        <v>565</v>
      </c>
      <c r="H86" s="648"/>
      <c r="I86" s="648"/>
      <c r="J86" s="648"/>
      <c r="K86" s="649"/>
      <c r="L86" s="650"/>
      <c r="M86" s="651"/>
      <c r="N86" s="3137"/>
      <c r="O86" s="1999"/>
      <c r="P86" s="2000"/>
      <c r="Q86" s="1993"/>
      <c r="R86" s="1981"/>
      <c r="S86" s="1981"/>
      <c r="T86" s="1981"/>
      <c r="U86" s="1981"/>
      <c r="V86" s="1981"/>
      <c r="W86" s="1981"/>
      <c r="X86" s="1981"/>
      <c r="Y86" s="1981"/>
      <c r="Z86" s="1981"/>
      <c r="AA86" s="1981"/>
      <c r="AB86" s="1981"/>
      <c r="AC86" s="1981"/>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1"/>
      <c r="B92" s="1765" t="s">
        <v>2266</v>
      </c>
      <c r="C92" s="677" t="s">
        <v>561</v>
      </c>
      <c r="D92" s="677" t="s">
        <v>562</v>
      </c>
      <c r="E92" s="677" t="s">
        <v>563</v>
      </c>
      <c r="F92" s="677" t="s">
        <v>564</v>
      </c>
      <c r="G92" s="677" t="s">
        <v>565</v>
      </c>
      <c r="H92" s="687"/>
      <c r="I92" s="687"/>
      <c r="J92" s="687"/>
      <c r="K92" s="687"/>
      <c r="L92" s="688"/>
      <c r="M92" s="689"/>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1"/>
      <c r="B94" s="2363" t="s">
        <v>2268</v>
      </c>
      <c r="C94" s="2364" t="s">
        <v>2269</v>
      </c>
      <c r="D94" s="2364" t="s">
        <v>2270</v>
      </c>
      <c r="E94" s="2364" t="s">
        <v>2271</v>
      </c>
      <c r="F94" s="2364" t="s">
        <v>2272</v>
      </c>
      <c r="G94" s="2364" t="s">
        <v>2273</v>
      </c>
      <c r="H94" s="687"/>
      <c r="I94" s="687"/>
      <c r="J94" s="687"/>
      <c r="K94" s="687"/>
      <c r="L94" s="687"/>
      <c r="M94" s="689"/>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6"/>
      <c r="N95" s="3139"/>
      <c r="O95" s="2002"/>
      <c r="P95" s="2003"/>
      <c r="Q95" s="2004"/>
      <c r="R95" s="2005"/>
      <c r="S95" s="2005"/>
      <c r="T95" s="2005"/>
      <c r="U95" s="2005"/>
      <c r="V95" s="2005"/>
      <c r="W95" s="2005"/>
      <c r="X95" s="2005"/>
      <c r="Y95" s="2005"/>
      <c r="Z95" s="2005"/>
      <c r="AA95" s="2005"/>
      <c r="AB95" s="2005"/>
      <c r="AC95" s="2005"/>
    </row>
    <row r="96" spans="1:29" ht="15.75" thickTop="1">
      <c r="A96" s="643"/>
      <c r="B96" s="647" t="str">
        <f>B29</f>
        <v>临街状况</v>
      </c>
      <c r="C96" s="648" t="s">
        <v>571</v>
      </c>
      <c r="D96" s="648" t="s">
        <v>572</v>
      </c>
      <c r="E96" s="648" t="s">
        <v>573</v>
      </c>
      <c r="F96" s="648" t="s">
        <v>574</v>
      </c>
      <c r="G96" s="648"/>
      <c r="H96" s="648"/>
      <c r="I96" s="648"/>
      <c r="J96" s="648"/>
      <c r="K96" s="649"/>
      <c r="L96" s="650"/>
      <c r="M96" s="651"/>
      <c r="N96" s="3137"/>
      <c r="O96" s="1999"/>
      <c r="P96" s="2000"/>
      <c r="Q96" s="1993"/>
      <c r="R96" s="1981"/>
      <c r="S96" s="1981"/>
      <c r="T96" s="1981"/>
      <c r="U96" s="1981"/>
      <c r="V96" s="1981"/>
      <c r="W96" s="1981"/>
      <c r="X96" s="1981"/>
      <c r="Y96" s="1981"/>
      <c r="Z96" s="1981"/>
      <c r="AA96" s="1981"/>
      <c r="AB96" s="1981"/>
      <c r="AC96" s="1981"/>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3"/>
      <c r="B98" s="647" t="s">
        <v>531</v>
      </c>
      <c r="C98" s="662"/>
      <c r="D98" s="662"/>
      <c r="E98" s="662"/>
      <c r="F98" s="662"/>
      <c r="G98" s="662"/>
      <c r="H98" s="692"/>
      <c r="I98" s="692"/>
      <c r="J98" s="692"/>
      <c r="K98" s="693"/>
      <c r="L98" s="694"/>
      <c r="M98" s="695"/>
      <c r="N98" s="3137"/>
      <c r="O98" s="1999"/>
      <c r="P98" s="2000"/>
      <c r="Q98" s="1993"/>
      <c r="R98" s="1981"/>
      <c r="S98" s="1981"/>
      <c r="T98" s="1981"/>
      <c r="U98" s="1981"/>
      <c r="V98" s="1981"/>
      <c r="W98" s="1981"/>
      <c r="X98" s="1981"/>
      <c r="Y98" s="1981"/>
      <c r="Z98" s="1981"/>
      <c r="AA98" s="1981"/>
      <c r="AB98" s="1981"/>
      <c r="AC98" s="1981"/>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3"/>
      <c r="B100" s="647" t="s">
        <v>532</v>
      </c>
      <c r="C100" s="692"/>
      <c r="D100" s="692"/>
      <c r="E100" s="692"/>
      <c r="F100" s="692"/>
      <c r="G100" s="692"/>
      <c r="H100" s="692"/>
      <c r="I100" s="692"/>
      <c r="J100" s="692"/>
      <c r="K100" s="693"/>
      <c r="L100" s="694"/>
      <c r="M100" s="695"/>
      <c r="N100" s="3137"/>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3"/>
      <c r="B102" s="655">
        <f>B33</f>
        <v>111</v>
      </c>
      <c r="C102" s="662"/>
      <c r="D102" s="662"/>
      <c r="E102" s="662"/>
      <c r="F102" s="662"/>
      <c r="G102" s="696"/>
      <c r="H102" s="696"/>
      <c r="I102" s="696"/>
      <c r="J102" s="696"/>
      <c r="K102" s="697"/>
      <c r="L102" s="698"/>
      <c r="M102" s="699"/>
      <c r="N102" s="3137"/>
      <c r="O102" s="1999"/>
      <c r="P102" s="2000"/>
      <c r="Q102" s="1993"/>
      <c r="R102" s="1981"/>
      <c r="S102" s="1981"/>
      <c r="T102" s="1981"/>
      <c r="U102" s="1981"/>
      <c r="V102" s="1981"/>
      <c r="W102" s="1981"/>
      <c r="X102" s="1981"/>
      <c r="Y102" s="1981"/>
      <c r="Z102" s="1981"/>
      <c r="AA102" s="1981"/>
      <c r="AB102" s="1981"/>
      <c r="AC102" s="1981"/>
    </row>
    <row r="103" spans="1:29" ht="15.75" thickBot="1">
      <c r="A103" s="643"/>
      <c r="B103" s="673"/>
      <c r="C103" s="666"/>
      <c r="D103" s="645"/>
      <c r="E103" s="645"/>
      <c r="F103" s="645"/>
      <c r="G103" s="700"/>
      <c r="H103" s="700"/>
      <c r="I103" s="700"/>
      <c r="J103" s="700"/>
      <c r="K103" s="700"/>
      <c r="L103" s="700"/>
      <c r="M103" s="701"/>
      <c r="N103" s="3138"/>
      <c r="O103" s="2001"/>
      <c r="P103" s="2000"/>
      <c r="Q103" s="1993"/>
      <c r="R103" s="1981"/>
      <c r="S103" s="1981"/>
      <c r="T103" s="1981"/>
      <c r="U103" s="1981"/>
      <c r="V103" s="1981"/>
      <c r="W103" s="1981"/>
      <c r="X103" s="1981"/>
      <c r="Y103" s="1981"/>
      <c r="Z103" s="1981"/>
      <c r="AA103" s="1981"/>
      <c r="AB103" s="1981"/>
      <c r="AC103" s="1981"/>
    </row>
    <row r="104" spans="1:29" ht="15" thickTop="1">
      <c r="A104" s="563"/>
      <c r="B104" s="647">
        <f>B34</f>
        <v>111</v>
      </c>
      <c r="C104" s="662"/>
      <c r="D104" s="662"/>
      <c r="E104" s="662"/>
      <c r="F104" s="662"/>
      <c r="G104" s="692"/>
      <c r="H104" s="692"/>
      <c r="I104" s="692"/>
      <c r="J104" s="692"/>
      <c r="K104" s="693"/>
      <c r="L104" s="694"/>
      <c r="M104" s="695"/>
      <c r="N104" s="3137"/>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66"/>
      <c r="D105" s="666"/>
      <c r="E105" s="666"/>
      <c r="F105" s="666"/>
      <c r="G105" s="645"/>
      <c r="H105" s="645"/>
      <c r="I105" s="645"/>
      <c r="J105" s="645"/>
      <c r="K105" s="645"/>
      <c r="L105" s="645"/>
      <c r="M105" s="646"/>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2"/>
      <c r="B106" s="703">
        <f>B35</f>
        <v>111</v>
      </c>
      <c r="C106" s="635"/>
      <c r="D106" s="635"/>
      <c r="E106" s="635"/>
      <c r="F106" s="635"/>
      <c r="G106" s="704"/>
      <c r="H106" s="704"/>
      <c r="I106" s="704"/>
      <c r="J106" s="705"/>
      <c r="K106" s="705"/>
      <c r="L106" s="706"/>
      <c r="M106" s="707"/>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1"/>
      <c r="B107" s="655"/>
      <c r="C107" s="674"/>
      <c r="D107" s="674"/>
      <c r="E107" s="674"/>
      <c r="F107" s="674"/>
      <c r="G107" s="568"/>
      <c r="H107" s="568"/>
      <c r="I107" s="568"/>
      <c r="J107" s="568"/>
      <c r="K107" s="568"/>
      <c r="L107" s="568"/>
      <c r="M107" s="708"/>
      <c r="N107" s="3138"/>
      <c r="O107" s="2001"/>
      <c r="P107" s="2003"/>
      <c r="Q107" s="2004"/>
      <c r="R107" s="2005"/>
      <c r="S107" s="2005"/>
      <c r="T107" s="2005"/>
      <c r="U107" s="2005"/>
      <c r="V107" s="2005"/>
      <c r="W107" s="2005"/>
      <c r="X107" s="2005"/>
      <c r="Y107" s="2005"/>
      <c r="Z107" s="2005"/>
      <c r="AA107" s="2005"/>
      <c r="AB107" s="2005"/>
      <c r="AC107" s="2005"/>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3"/>
      <c r="B109" s="655"/>
      <c r="C109" s="704"/>
      <c r="D109" s="704"/>
      <c r="E109" s="704"/>
      <c r="F109" s="704"/>
      <c r="G109" s="704"/>
      <c r="H109" s="704"/>
      <c r="I109" s="704"/>
      <c r="J109" s="705"/>
      <c r="K109" s="705"/>
      <c r="L109" s="706"/>
      <c r="M109" s="707"/>
      <c r="N109" s="3137"/>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74"/>
      <c r="D110" s="700"/>
      <c r="E110" s="700"/>
      <c r="F110" s="700"/>
      <c r="G110" s="700"/>
      <c r="H110" s="700"/>
      <c r="I110" s="700"/>
      <c r="J110" s="700"/>
      <c r="K110" s="700"/>
      <c r="L110" s="700"/>
      <c r="M110" s="701"/>
      <c r="N110" s="3138"/>
      <c r="O110" s="2001"/>
      <c r="P110" s="2000"/>
      <c r="Q110" s="1993"/>
      <c r="R110" s="1981"/>
      <c r="S110" s="1981"/>
      <c r="T110" s="1981"/>
      <c r="U110" s="1981"/>
      <c r="V110" s="1981"/>
      <c r="W110" s="1981"/>
      <c r="X110" s="1981"/>
      <c r="Y110" s="1981"/>
      <c r="Z110" s="1981"/>
      <c r="AA110" s="1981"/>
      <c r="AB110" s="1981"/>
      <c r="AC110" s="1981"/>
    </row>
    <row r="111" spans="1:29" ht="15" thickTop="1">
      <c r="A111" s="709"/>
      <c r="B111" s="647" t="s">
        <v>576</v>
      </c>
      <c r="C111" s="692"/>
      <c r="D111" s="692"/>
      <c r="E111" s="692"/>
      <c r="F111" s="692"/>
      <c r="G111" s="692"/>
      <c r="H111" s="692"/>
      <c r="I111" s="692"/>
      <c r="J111" s="692"/>
      <c r="K111" s="693"/>
      <c r="L111" s="694"/>
      <c r="M111" s="695"/>
      <c r="N111" s="3137"/>
      <c r="O111" s="1999"/>
      <c r="P111" s="2000"/>
      <c r="Q111" s="1993"/>
      <c r="R111" s="1981"/>
      <c r="S111" s="1981"/>
      <c r="T111" s="1981"/>
      <c r="U111" s="1981"/>
      <c r="V111" s="1981"/>
      <c r="W111" s="1981"/>
      <c r="X111" s="1981"/>
      <c r="Y111" s="1981"/>
      <c r="Z111" s="1981"/>
      <c r="AA111" s="1981"/>
      <c r="AB111" s="1981"/>
      <c r="AC111" s="1981"/>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2"/>
      <c r="B113" s="1765" t="s">
        <v>2212</v>
      </c>
      <c r="C113" s="1282"/>
      <c r="D113" s="1282"/>
      <c r="E113" s="1282"/>
      <c r="F113" s="1282"/>
      <c r="G113" s="1282"/>
      <c r="H113" s="692"/>
      <c r="I113" s="692"/>
      <c r="J113" s="692"/>
      <c r="K113" s="693"/>
      <c r="L113" s="694"/>
      <c r="M113" s="695"/>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09"/>
      <c r="B115" s="647" t="s">
        <v>578</v>
      </c>
      <c r="C115" s="662"/>
      <c r="D115" s="662"/>
      <c r="E115" s="692"/>
      <c r="F115" s="692"/>
      <c r="G115" s="692"/>
      <c r="H115" s="692"/>
      <c r="I115" s="692"/>
      <c r="J115" s="692"/>
      <c r="K115" s="693"/>
      <c r="L115" s="694"/>
      <c r="M115" s="695"/>
      <c r="N115" s="3137"/>
      <c r="O115" s="1999"/>
      <c r="P115" s="2000"/>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09"/>
      <c r="B117" s="647">
        <f>B40</f>
        <v>111</v>
      </c>
      <c r="C117" s="662"/>
      <c r="D117" s="662"/>
      <c r="E117" s="662"/>
      <c r="F117" s="662"/>
      <c r="G117" s="662"/>
      <c r="H117" s="692"/>
      <c r="I117" s="692"/>
      <c r="J117" s="692"/>
      <c r="K117" s="693"/>
      <c r="L117" s="694"/>
      <c r="M117" s="695"/>
      <c r="N117" s="3137"/>
      <c r="O117" s="1999"/>
      <c r="P117" s="2000"/>
      <c r="Q117" s="1993"/>
      <c r="R117" s="1981"/>
      <c r="S117" s="1981"/>
      <c r="T117" s="1981"/>
      <c r="U117" s="1981"/>
      <c r="V117" s="1981"/>
      <c r="W117" s="1981"/>
      <c r="X117" s="1981"/>
      <c r="Y117" s="1981"/>
      <c r="Z117" s="1981"/>
      <c r="AA117" s="1981"/>
      <c r="AB117" s="1981"/>
      <c r="AC117" s="1981"/>
    </row>
    <row r="118" spans="1:29" ht="15.75" thickBot="1">
      <c r="A118" s="643"/>
      <c r="B118" s="652"/>
      <c r="C118" s="666"/>
      <c r="D118" s="645"/>
      <c r="E118" s="645"/>
      <c r="F118" s="645"/>
      <c r="G118" s="645"/>
      <c r="H118" s="645"/>
      <c r="I118" s="645"/>
      <c r="J118" s="645"/>
      <c r="K118" s="645"/>
      <c r="L118" s="645"/>
      <c r="M118" s="646"/>
      <c r="N118" s="3138"/>
      <c r="O118" s="2001"/>
      <c r="P118" s="2000"/>
      <c r="Q118" s="1993"/>
      <c r="R118" s="1981"/>
      <c r="S118" s="1981"/>
      <c r="T118" s="1981"/>
      <c r="U118" s="1981"/>
      <c r="V118" s="1981"/>
      <c r="W118" s="1981"/>
      <c r="X118" s="1981"/>
      <c r="Y118" s="1981"/>
      <c r="Z118" s="1981"/>
      <c r="AA118" s="1981"/>
      <c r="AB118" s="1981"/>
      <c r="AC118" s="1981"/>
    </row>
    <row r="119" spans="1:29" ht="15" thickTop="1">
      <c r="A119" s="709"/>
      <c r="B119" s="647">
        <f>B41</f>
        <v>111</v>
      </c>
      <c r="C119" s="662"/>
      <c r="D119" s="662"/>
      <c r="E119" s="662"/>
      <c r="F119" s="662"/>
      <c r="G119" s="692"/>
      <c r="H119" s="692"/>
      <c r="I119" s="692"/>
      <c r="J119" s="692"/>
      <c r="K119" s="693"/>
      <c r="L119" s="694"/>
      <c r="M119" s="695"/>
      <c r="N119" s="3137"/>
      <c r="O119" s="1999"/>
      <c r="P119" s="2000"/>
      <c r="Q119" s="1993"/>
      <c r="R119" s="1981"/>
      <c r="S119" s="1981"/>
      <c r="T119" s="1981"/>
      <c r="U119" s="1981"/>
      <c r="V119" s="1981"/>
      <c r="W119" s="1981"/>
      <c r="X119" s="1981"/>
      <c r="Y119" s="1981"/>
      <c r="Z119" s="1981"/>
      <c r="AA119" s="1981"/>
      <c r="AB119" s="1981"/>
      <c r="AC119" s="1981"/>
    </row>
    <row r="120" spans="1:29" ht="15.75" thickBot="1">
      <c r="A120" s="643"/>
      <c r="B120" s="652"/>
      <c r="C120" s="666"/>
      <c r="D120" s="666"/>
      <c r="E120" s="666"/>
      <c r="F120" s="666"/>
      <c r="G120" s="645"/>
      <c r="H120" s="645"/>
      <c r="I120" s="645"/>
      <c r="J120" s="645"/>
      <c r="K120" s="645"/>
      <c r="L120" s="645"/>
      <c r="M120" s="646"/>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2"/>
      <c r="B121" s="647">
        <f>B42</f>
        <v>111</v>
      </c>
      <c r="C121" s="635"/>
      <c r="D121" s="635"/>
      <c r="E121" s="635"/>
      <c r="F121" s="635"/>
      <c r="G121" s="663"/>
      <c r="H121" s="663"/>
      <c r="I121" s="663"/>
      <c r="J121" s="663"/>
      <c r="K121" s="663"/>
      <c r="L121" s="664"/>
      <c r="M121" s="665"/>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2"/>
      <c r="B122" s="710"/>
      <c r="C122" s="674"/>
      <c r="D122" s="674"/>
      <c r="E122" s="674"/>
      <c r="F122" s="674"/>
      <c r="G122" s="700"/>
      <c r="H122" s="700"/>
      <c r="I122" s="700"/>
      <c r="J122" s="700"/>
      <c r="K122" s="700"/>
      <c r="L122" s="700"/>
      <c r="M122" s="701"/>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34" sqref="Q34"/>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0.11</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06"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0.11</v>
      </c>
      <c r="AA7" s="2027"/>
      <c r="AB7" s="2027"/>
      <c r="AC7" s="2028"/>
      <c r="AD7" s="2568"/>
      <c r="AE7" s="2568"/>
      <c r="AF7" s="2568"/>
      <c r="AG7" s="2568"/>
      <c r="AH7" s="2568"/>
      <c r="AI7" s="2568"/>
      <c r="AJ7" s="2569"/>
    </row>
    <row r="8" spans="1:39" ht="15">
      <c r="A8" s="3707"/>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17" t="s">
        <v>2499</v>
      </c>
      <c r="X8" s="3718"/>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07"/>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16"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07"/>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16"/>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07"/>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16" t="s">
        <v>2497</v>
      </c>
      <c r="X11" s="1017" t="s">
        <v>2482</v>
      </c>
      <c r="Y11" s="1536">
        <f>$G$3</f>
        <v>0.11</v>
      </c>
      <c r="Z11" s="1536">
        <f t="shared" ref="Z11:AJ11" si="3">$G$3</f>
        <v>0.11</v>
      </c>
      <c r="AA11" s="1536">
        <f t="shared" si="3"/>
        <v>0.11</v>
      </c>
      <c r="AB11" s="1536">
        <f t="shared" si="3"/>
        <v>0.11</v>
      </c>
      <c r="AC11" s="1536">
        <f t="shared" si="3"/>
        <v>0.11</v>
      </c>
      <c r="AD11" s="1536">
        <f t="shared" si="3"/>
        <v>0.11</v>
      </c>
      <c r="AE11" s="1536">
        <f t="shared" si="3"/>
        <v>0.11</v>
      </c>
      <c r="AF11" s="1536">
        <f t="shared" si="3"/>
        <v>0.11</v>
      </c>
      <c r="AG11" s="1536">
        <f t="shared" si="3"/>
        <v>0.11</v>
      </c>
      <c r="AH11" s="1536">
        <f t="shared" si="3"/>
        <v>0.11</v>
      </c>
      <c r="AI11" s="1536">
        <f t="shared" si="3"/>
        <v>0.11</v>
      </c>
      <c r="AJ11" s="1536">
        <f t="shared" si="3"/>
        <v>0.11</v>
      </c>
    </row>
    <row r="12" spans="1:39" ht="25.5" thickBot="1">
      <c r="A12" s="3706"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16"/>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08"/>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16"/>
      <c r="X13" s="2573"/>
      <c r="Y13" s="2572">
        <f>(-0.163*(Y12^2)-0.59*Y12+7617)*(10^(-4))/Y11</f>
        <v>6.9245454545454548</v>
      </c>
      <c r="Z13" s="2572">
        <f t="shared" ref="Z13:AJ13" si="5">(-0.163*(Z12^2)-0.59*Z12+7617)*(10^(-4))/Z11</f>
        <v>6.9245454545454548</v>
      </c>
      <c r="AA13" s="2572">
        <f t="shared" si="5"/>
        <v>6.9245454545454548</v>
      </c>
      <c r="AB13" s="2572">
        <f t="shared" si="5"/>
        <v>6.9245454545454548</v>
      </c>
      <c r="AC13" s="2572">
        <f t="shared" si="5"/>
        <v>6.9245454545454548</v>
      </c>
      <c r="AD13" s="2572">
        <f t="shared" si="5"/>
        <v>6.9245454545454548</v>
      </c>
      <c r="AE13" s="2572">
        <f t="shared" si="5"/>
        <v>6.9245454545454548</v>
      </c>
      <c r="AF13" s="2572">
        <f t="shared" si="5"/>
        <v>6.9245454545454548</v>
      </c>
      <c r="AG13" s="2572">
        <f t="shared" si="5"/>
        <v>6.9245454545454548</v>
      </c>
      <c r="AH13" s="2572">
        <f t="shared" si="5"/>
        <v>6.9245454545454548</v>
      </c>
      <c r="AI13" s="2572">
        <f t="shared" si="5"/>
        <v>6.9245454545454548</v>
      </c>
      <c r="AJ13" s="2572">
        <f t="shared" si="5"/>
        <v>6.9245454545454548</v>
      </c>
    </row>
    <row r="14" spans="1:39" ht="12.75" customHeight="1">
      <c r="A14" s="3708"/>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09"/>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06" t="s">
        <v>1638</v>
      </c>
      <c r="B16" s="1331" t="s">
        <v>929</v>
      </c>
      <c r="C16" s="1021" t="e">
        <f>ROUND(IF(F17="与级别开发程度一致",0,(G17-E17)/C17),0)</f>
        <v>#DIV/0!</v>
      </c>
      <c r="D16" s="3724" t="s">
        <v>933</v>
      </c>
      <c r="E16" s="3725"/>
      <c r="F16" s="3724" t="s">
        <v>930</v>
      </c>
      <c r="G16" s="3725"/>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10"/>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44819</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f>IF(E22=G22,F22,IF(G3&lt;=10,ROUND(F22+(H22-F22)*(G3-E22)/(G22-E22),4),"——"))</f>
        <v>0</v>
      </c>
      <c r="E22" s="1008">
        <f>ROUNDDOWN(G3,1)</f>
        <v>0.1</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13"/>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13"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14"/>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14"/>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14"/>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14"/>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15"/>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5"/>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0" t="e">
        <f>ROUND(POWER(1+E41,H41-G41)*(POWER(1+E41,G41)-1)/(POWER(1+E41,H41)-1),4)</f>
        <v>#DIV/0!</v>
      </c>
      <c r="D41" s="371" t="s">
        <v>2680</v>
      </c>
      <c r="E41" s="2750">
        <f>G20</f>
        <v>0</v>
      </c>
      <c r="F41" s="371" t="s">
        <v>2681</v>
      </c>
      <c r="G41" s="389"/>
      <c r="H41" s="371">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11" t="s">
        <v>1434</v>
      </c>
      <c r="B90" s="3711"/>
      <c r="C90" s="3711"/>
      <c r="D90" s="3711"/>
      <c r="E90" s="3711"/>
      <c r="F90" s="3711"/>
      <c r="G90" s="3711"/>
      <c r="H90" s="3711"/>
      <c r="I90" s="3711"/>
      <c r="J90" s="3711"/>
      <c r="K90" s="2259"/>
      <c r="L90" s="2259"/>
      <c r="M90" s="2259"/>
      <c r="N90" s="2259"/>
    </row>
    <row r="91" spans="1:40">
      <c r="A91" s="3712" t="s">
        <v>1422</v>
      </c>
      <c r="B91" s="3712" t="s">
        <v>1435</v>
      </c>
      <c r="C91" s="1086" t="s">
        <v>1436</v>
      </c>
      <c r="D91" s="1087"/>
      <c r="E91" s="1087"/>
      <c r="F91" s="1087"/>
      <c r="G91" s="1087"/>
      <c r="H91" s="1087"/>
      <c r="I91" s="1087"/>
      <c r="J91" s="1088"/>
      <c r="K91" s="1080"/>
      <c r="L91" s="1080"/>
      <c r="M91" s="1080"/>
      <c r="N91" s="1080"/>
    </row>
    <row r="92" spans="1:40">
      <c r="A92" s="3712"/>
      <c r="B92" s="3712"/>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19"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0"/>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0"/>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0"/>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0"/>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0"/>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0"/>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1"/>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19" t="s">
        <v>1438</v>
      </c>
      <c r="B101" s="1093" t="s">
        <v>885</v>
      </c>
      <c r="C101" s="1094">
        <f>$G$3</f>
        <v>0.11</v>
      </c>
      <c r="D101" s="1094">
        <f t="shared" ref="D101:N101" si="31">$G$3</f>
        <v>0.11</v>
      </c>
      <c r="E101" s="1094">
        <f t="shared" si="31"/>
        <v>0.11</v>
      </c>
      <c r="F101" s="1094">
        <f t="shared" si="31"/>
        <v>0.11</v>
      </c>
      <c r="G101" s="1094">
        <f t="shared" si="31"/>
        <v>0.11</v>
      </c>
      <c r="H101" s="1094">
        <f t="shared" si="31"/>
        <v>0.11</v>
      </c>
      <c r="I101" s="1094">
        <f t="shared" si="31"/>
        <v>0.11</v>
      </c>
      <c r="J101" s="1094">
        <f t="shared" si="31"/>
        <v>0.11</v>
      </c>
      <c r="K101" s="1094">
        <f t="shared" si="31"/>
        <v>0.11</v>
      </c>
      <c r="L101" s="1094">
        <f t="shared" si="31"/>
        <v>0.11</v>
      </c>
      <c r="M101" s="1094">
        <f t="shared" si="31"/>
        <v>0.11</v>
      </c>
      <c r="N101" s="1094">
        <f t="shared" si="31"/>
        <v>0.11</v>
      </c>
    </row>
    <row r="102" spans="1:14">
      <c r="A102" s="3720"/>
      <c r="B102" s="1089">
        <v>1</v>
      </c>
      <c r="C102" s="1090">
        <f>1.9362/C101</f>
        <v>17.601818181818182</v>
      </c>
      <c r="D102" s="1090">
        <f>1.9362/D101</f>
        <v>17.601818181818182</v>
      </c>
      <c r="E102" s="1090">
        <f>1.8629/E101</f>
        <v>16.935454545454544</v>
      </c>
      <c r="F102" s="1090">
        <f>1.8629/F101</f>
        <v>16.935454545454544</v>
      </c>
      <c r="G102" s="1090">
        <f>1.8629/G101</f>
        <v>16.935454545454544</v>
      </c>
      <c r="H102" s="1090">
        <f>1.8629/H101</f>
        <v>16.935454545454544</v>
      </c>
      <c r="I102" s="1090">
        <f>1.8629/I101</f>
        <v>16.935454545454544</v>
      </c>
      <c r="J102" s="1090">
        <f>1.942/J101</f>
        <v>17.654545454545453</v>
      </c>
      <c r="K102" s="1090">
        <f>1.942/K101</f>
        <v>17.654545454545453</v>
      </c>
      <c r="L102" s="1090">
        <f>1.942/L101</f>
        <v>17.654545454545453</v>
      </c>
      <c r="M102" s="1090">
        <f>1.942/M101</f>
        <v>17.654545454545453</v>
      </c>
      <c r="N102" s="1090">
        <f>1.942/N101</f>
        <v>17.654545454545453</v>
      </c>
    </row>
    <row r="103" spans="1:14">
      <c r="A103" s="3720"/>
      <c r="B103" s="1089">
        <v>2</v>
      </c>
      <c r="C103" s="1090">
        <f>1.4198/C101</f>
        <v>12.907272727272726</v>
      </c>
      <c r="D103" s="1090">
        <f>1.4198/D101</f>
        <v>12.907272727272726</v>
      </c>
      <c r="E103" s="1090">
        <f>1.3372/E101</f>
        <v>12.156363636363636</v>
      </c>
      <c r="F103" s="1090">
        <f>1.3372/F101</f>
        <v>12.156363636363636</v>
      </c>
      <c r="G103" s="1090">
        <f>1.3372/G101</f>
        <v>12.156363636363636</v>
      </c>
      <c r="H103" s="1090">
        <f>1.3372/H101</f>
        <v>12.156363636363636</v>
      </c>
      <c r="I103" s="1090">
        <f>1.3372/I101</f>
        <v>12.156363636363636</v>
      </c>
      <c r="J103" s="1090">
        <f>1.2799/J101</f>
        <v>11.635454545454547</v>
      </c>
      <c r="K103" s="1090">
        <f>1.2799/K101</f>
        <v>11.635454545454547</v>
      </c>
      <c r="L103" s="1090">
        <f>1.2799/L101</f>
        <v>11.635454545454547</v>
      </c>
      <c r="M103" s="1090">
        <f>1.2799/M101</f>
        <v>11.635454545454547</v>
      </c>
      <c r="N103" s="1090">
        <f>1.2799/N101</f>
        <v>11.635454545454547</v>
      </c>
    </row>
    <row r="104" spans="1:14">
      <c r="A104" s="3720"/>
      <c r="B104" s="1089">
        <v>3</v>
      </c>
      <c r="C104" s="1090">
        <f>1.1594/C101</f>
        <v>10.54</v>
      </c>
      <c r="D104" s="1090">
        <f>1.1594/D101</f>
        <v>10.54</v>
      </c>
      <c r="E104" s="1090">
        <f>1.0788/E101</f>
        <v>9.8072727272727267</v>
      </c>
      <c r="F104" s="1090">
        <f>1.0788/F101</f>
        <v>9.8072727272727267</v>
      </c>
      <c r="G104" s="1090">
        <f>1.0788/G101</f>
        <v>9.8072727272727267</v>
      </c>
      <c r="H104" s="1090">
        <f>1.0788/H101</f>
        <v>9.8072727272727267</v>
      </c>
      <c r="I104" s="1090">
        <f>1.0788/I101</f>
        <v>9.8072727272727267</v>
      </c>
      <c r="J104" s="1090">
        <f>1.0072/J101</f>
        <v>9.156363636363638</v>
      </c>
      <c r="K104" s="1090">
        <f>1.0072/K101</f>
        <v>9.156363636363638</v>
      </c>
      <c r="L104" s="1090">
        <f>1.0072/L101</f>
        <v>9.156363636363638</v>
      </c>
      <c r="M104" s="1090">
        <f>1.0072/M101</f>
        <v>9.156363636363638</v>
      </c>
      <c r="N104" s="1090">
        <f>1.0072/N101</f>
        <v>9.156363636363638</v>
      </c>
    </row>
    <row r="105" spans="1:14">
      <c r="A105" s="3720"/>
      <c r="B105" s="1089">
        <v>4</v>
      </c>
      <c r="C105" s="1090">
        <f>0.9622/C101</f>
        <v>8.747272727272728</v>
      </c>
      <c r="D105" s="1090">
        <f>0.9622/D101</f>
        <v>8.747272727272728</v>
      </c>
      <c r="E105" s="1090">
        <f>0.8656/E101</f>
        <v>7.8690909090909091</v>
      </c>
      <c r="F105" s="1090">
        <f>0.8656/F101</f>
        <v>7.8690909090909091</v>
      </c>
      <c r="G105" s="1090">
        <f>0.8656/G101</f>
        <v>7.8690909090909091</v>
      </c>
      <c r="H105" s="1090">
        <f>0.8656/H101</f>
        <v>7.8690909090909091</v>
      </c>
      <c r="I105" s="1090">
        <f>0.8656/I101</f>
        <v>7.8690909090909091</v>
      </c>
      <c r="J105" s="1090">
        <f>0.7525/J101</f>
        <v>6.8409090909090908</v>
      </c>
      <c r="K105" s="1090">
        <f>0.7525/K101</f>
        <v>6.8409090909090908</v>
      </c>
      <c r="L105" s="1090">
        <f>0.7525/L101</f>
        <v>6.8409090909090908</v>
      </c>
      <c r="M105" s="1090">
        <f>0.7525/M101</f>
        <v>6.8409090909090908</v>
      </c>
      <c r="N105" s="1090">
        <f>0.7525/N101</f>
        <v>6.8409090909090908</v>
      </c>
    </row>
    <row r="106" spans="1:14">
      <c r="A106" s="3720"/>
      <c r="B106" s="1089">
        <v>5</v>
      </c>
      <c r="C106" s="1090">
        <f>0.8417/C101</f>
        <v>7.6518181818181814</v>
      </c>
      <c r="D106" s="1090">
        <f>0.8417/D101</f>
        <v>7.6518181818181814</v>
      </c>
      <c r="E106" s="1090">
        <f>0.7371/E101</f>
        <v>6.7009090909090903</v>
      </c>
      <c r="F106" s="1090">
        <f>0.7371/F101</f>
        <v>6.7009090909090903</v>
      </c>
      <c r="G106" s="1090">
        <f>0.7371/G101</f>
        <v>6.7009090909090903</v>
      </c>
      <c r="H106" s="1090">
        <f>0.7371/H101</f>
        <v>6.7009090909090903</v>
      </c>
      <c r="I106" s="1090">
        <f>0.7371/I101</f>
        <v>6.7009090909090903</v>
      </c>
      <c r="J106" s="1090">
        <f>0.5659/J101</f>
        <v>5.1445454545454545</v>
      </c>
      <c r="K106" s="1090">
        <f>0.5659/K101</f>
        <v>5.1445454545454545</v>
      </c>
      <c r="L106" s="1090">
        <f>0.5659/L101</f>
        <v>5.1445454545454545</v>
      </c>
      <c r="M106" s="1090">
        <f>0.5659/M101</f>
        <v>5.1445454545454545</v>
      </c>
      <c r="N106" s="1090">
        <f>0.5659/N101</f>
        <v>5.1445454545454545</v>
      </c>
    </row>
    <row r="107" spans="1:14">
      <c r="A107" s="3720"/>
      <c r="B107" s="1089">
        <v>6</v>
      </c>
      <c r="C107" s="1090">
        <f>0.7608/C101</f>
        <v>6.9163636363636369</v>
      </c>
      <c r="D107" s="1090">
        <f>0.7608/D101</f>
        <v>6.9163636363636369</v>
      </c>
      <c r="E107" s="1090">
        <f>0.6482/E101</f>
        <v>5.8927272727272726</v>
      </c>
      <c r="F107" s="1090">
        <f>0.6482/F101</f>
        <v>5.8927272727272726</v>
      </c>
      <c r="G107" s="1090">
        <f>0.6482/G101</f>
        <v>5.8927272727272726</v>
      </c>
      <c r="H107" s="1090">
        <f>0.6482/H101</f>
        <v>5.8927272727272726</v>
      </c>
      <c r="I107" s="1090">
        <f>0.6482/I101</f>
        <v>5.8927272727272726</v>
      </c>
      <c r="J107" s="1090">
        <f>0.4525/J101</f>
        <v>4.1136363636363633</v>
      </c>
      <c r="K107" s="1090">
        <f>0.4525/K101</f>
        <v>4.1136363636363633</v>
      </c>
      <c r="L107" s="1090">
        <f>0.4525/L101</f>
        <v>4.1136363636363633</v>
      </c>
      <c r="M107" s="1090">
        <f>0.4525/M101</f>
        <v>4.1136363636363633</v>
      </c>
      <c r="N107" s="1090">
        <f>0.4525/N101</f>
        <v>4.1136363636363633</v>
      </c>
    </row>
    <row r="108" spans="1:14">
      <c r="A108" s="3720"/>
      <c r="B108" s="3722"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1"/>
      <c r="B109" s="3723"/>
      <c r="C109" s="1092">
        <f>(-0.163*(C108^2)-0.59*C108+7617)*(10^(-4))/C101</f>
        <v>6.9107709090909086</v>
      </c>
      <c r="D109" s="1092">
        <f>(-0.163*(D108^2)-0.59*D108+7617)*(10^(-4))/D101</f>
        <v>6.9107709090909086</v>
      </c>
      <c r="E109" s="1092">
        <f>(-0.161*(E108^2)-7.509*E108+6533)*(10^(-4))/E101</f>
        <v>5.875112727272727</v>
      </c>
      <c r="F109" s="1092">
        <f>(-0.161*(F108^2)-7.509*F108+6533)*(10^(-4))/F101</f>
        <v>5.875112727272727</v>
      </c>
      <c r="G109" s="1092">
        <f>(-0.161*(G108^2)-7.509*G108+6533)*(10^(-4))/G101</f>
        <v>5.875112727272727</v>
      </c>
      <c r="H109" s="1092">
        <f>(-0.161*(H108^2)-7.509*H108+6533)*(10^(-4))/H101</f>
        <v>5.875112727272727</v>
      </c>
      <c r="I109" s="1092">
        <f>(-0.161*(I108^2)-7.509*I108+6533)*(10^(-4))/I101</f>
        <v>5.875112727272727</v>
      </c>
      <c r="J109" s="1092">
        <f>(-0.214*(J108^2)-21.991*J108+4665)*(10^(-4))/J101</f>
        <v>4.0685236363636363</v>
      </c>
      <c r="K109" s="1092">
        <f>(-0.214*(K108^2)-21.991*K108+4665)*(10^(-4))/K101</f>
        <v>4.0685236363636363</v>
      </c>
      <c r="L109" s="1092">
        <f>(-0.214*(L108^2)-21.991*L108+4665)*(10^(-4))/L101</f>
        <v>4.0685236363636363</v>
      </c>
      <c r="M109" s="1092">
        <f>(-0.214*(M108^2)-21.991*M108+4665)*(10^(-4))/M101</f>
        <v>4.0685236363636363</v>
      </c>
      <c r="N109" s="1092">
        <f>(-0.214*(N108^2)-21.991*N108+4665)*(10^(-4))/N101</f>
        <v>4.0685236363636363</v>
      </c>
    </row>
    <row r="110" spans="1:14">
      <c r="A110" s="3705" t="s">
        <v>1440</v>
      </c>
      <c r="B110" s="3705"/>
      <c r="C110" s="3705"/>
      <c r="D110" s="3705"/>
      <c r="E110" s="3705"/>
      <c r="F110" s="3705"/>
      <c r="G110" s="3705"/>
      <c r="H110" s="3705"/>
      <c r="I110" s="3705"/>
      <c r="J110" s="3705"/>
      <c r="K110" s="2257"/>
      <c r="L110" s="2257"/>
      <c r="M110" s="2257"/>
      <c r="N110" s="2257"/>
    </row>
    <row r="112" spans="1:14" ht="12.75" thickBot="1"/>
    <row r="113" spans="1:13" ht="25.5" thickBot="1">
      <c r="A113" s="985" t="s">
        <v>875</v>
      </c>
      <c r="B113" s="2260">
        <f>G3</f>
        <v>0.11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0.9325</v>
      </c>
      <c r="C115" s="999">
        <f>B115</f>
        <v>0.9325</v>
      </c>
      <c r="D115" s="999">
        <f>ROUND(0.8331-0.0109*B113,4)</f>
        <v>0.83189999999999997</v>
      </c>
      <c r="E115" s="999">
        <f>D115</f>
        <v>0.83189999999999997</v>
      </c>
      <c r="F115" s="999">
        <f>E115</f>
        <v>0.83189999999999997</v>
      </c>
      <c r="G115" s="999">
        <f>F115</f>
        <v>0.83189999999999997</v>
      </c>
      <c r="H115" s="999">
        <f>G115</f>
        <v>0.83189999999999997</v>
      </c>
      <c r="I115" s="999">
        <f>ROUND(0.689-0.0155*B113,4)</f>
        <v>0.68730000000000002</v>
      </c>
      <c r="J115" s="999">
        <f t="shared" ref="J115:M118" si="33">I115</f>
        <v>0.68730000000000002</v>
      </c>
      <c r="K115" s="999">
        <f t="shared" si="33"/>
        <v>0.68730000000000002</v>
      </c>
      <c r="L115" s="999">
        <f t="shared" si="33"/>
        <v>0.68730000000000002</v>
      </c>
      <c r="M115" s="1000">
        <f t="shared" si="33"/>
        <v>0.68730000000000002</v>
      </c>
    </row>
    <row r="116" spans="1:13" ht="12.75">
      <c r="A116" s="998" t="s">
        <v>880</v>
      </c>
      <c r="B116" s="999">
        <f>ROUND(0.949-0.012*B113,4)</f>
        <v>0.94769999999999999</v>
      </c>
      <c r="C116" s="999">
        <f>B116</f>
        <v>0.94769999999999999</v>
      </c>
      <c r="D116" s="999">
        <f>ROUND(0.8567-0.013*B113,4)</f>
        <v>0.85529999999999995</v>
      </c>
      <c r="E116" s="999">
        <f t="shared" ref="E116:H117" si="34">D116</f>
        <v>0.85529999999999995</v>
      </c>
      <c r="F116" s="999">
        <f t="shared" si="34"/>
        <v>0.85529999999999995</v>
      </c>
      <c r="G116" s="999">
        <f t="shared" si="34"/>
        <v>0.85529999999999995</v>
      </c>
      <c r="H116" s="999">
        <f t="shared" si="34"/>
        <v>0.85529999999999995</v>
      </c>
      <c r="I116" s="999">
        <f>ROUND(0.7694-0.014*B113,4)</f>
        <v>0.76790000000000003</v>
      </c>
      <c r="J116" s="999">
        <f t="shared" si="33"/>
        <v>0.76790000000000003</v>
      </c>
      <c r="K116" s="999">
        <f t="shared" si="33"/>
        <v>0.76790000000000003</v>
      </c>
      <c r="L116" s="999">
        <f t="shared" si="33"/>
        <v>0.76790000000000003</v>
      </c>
      <c r="M116" s="1000">
        <f t="shared" si="33"/>
        <v>0.76790000000000003</v>
      </c>
    </row>
    <row r="117" spans="1:13" ht="12.75">
      <c r="A117" s="1001" t="s">
        <v>881</v>
      </c>
      <c r="B117" s="999">
        <f>ROUND(0.8808-0.006*B113,4)</f>
        <v>0.88009999999999999</v>
      </c>
      <c r="C117" s="999">
        <f>B117</f>
        <v>0.88009999999999999</v>
      </c>
      <c r="D117" s="999">
        <f>ROUND(0.8748-0.008*B113,4)</f>
        <v>0.87390000000000001</v>
      </c>
      <c r="E117" s="999">
        <f t="shared" si="34"/>
        <v>0.87390000000000001</v>
      </c>
      <c r="F117" s="999">
        <f t="shared" si="34"/>
        <v>0.87390000000000001</v>
      </c>
      <c r="G117" s="999">
        <f t="shared" si="34"/>
        <v>0.87390000000000001</v>
      </c>
      <c r="H117" s="999">
        <f t="shared" si="34"/>
        <v>0.87390000000000001</v>
      </c>
      <c r="I117" s="999">
        <f>ROUND(0.7412-0.0095*B113,4)</f>
        <v>0.74019999999999997</v>
      </c>
      <c r="J117" s="999">
        <f t="shared" si="33"/>
        <v>0.74019999999999997</v>
      </c>
      <c r="K117" s="999">
        <f t="shared" si="33"/>
        <v>0.74019999999999997</v>
      </c>
      <c r="L117" s="999">
        <f t="shared" si="33"/>
        <v>0.74019999999999997</v>
      </c>
      <c r="M117" s="1000">
        <f t="shared" si="33"/>
        <v>0.74019999999999997</v>
      </c>
    </row>
    <row r="118" spans="1:13" ht="13.5" thickBot="1">
      <c r="A118" s="1002" t="s">
        <v>882</v>
      </c>
      <c r="B118" s="1003">
        <f>ROUND(0.7275-0.01*B113,4)</f>
        <v>0.72640000000000005</v>
      </c>
      <c r="C118" s="1003">
        <f>B118</f>
        <v>0.72640000000000005</v>
      </c>
      <c r="D118" s="1003">
        <f>ROUND(0.7043-0.012*B113,4)</f>
        <v>0.70299999999999996</v>
      </c>
      <c r="E118" s="1003">
        <f>D118</f>
        <v>0.70299999999999996</v>
      </c>
      <c r="F118" s="1003">
        <f>E118</f>
        <v>0.70299999999999996</v>
      </c>
      <c r="G118" s="1003">
        <f>ROUND(0.6299-0.0122*B113,4)</f>
        <v>0.62860000000000005</v>
      </c>
      <c r="H118" s="1003">
        <f>G118</f>
        <v>0.62860000000000005</v>
      </c>
      <c r="I118" s="1003">
        <f>ROUND(0.5667-0.0136*B113,4)</f>
        <v>0.56520000000000004</v>
      </c>
      <c r="J118" s="1003">
        <f t="shared" si="33"/>
        <v>0.56520000000000004</v>
      </c>
      <c r="K118" s="1003">
        <f t="shared" si="33"/>
        <v>0.56520000000000004</v>
      </c>
      <c r="L118" s="1003">
        <f t="shared" si="33"/>
        <v>0.56520000000000004</v>
      </c>
      <c r="M118" s="1004">
        <f t="shared" si="33"/>
        <v>0.56520000000000004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29" t="s">
        <v>2894</v>
      </c>
      <c r="B20" s="3732" t="s">
        <v>2904</v>
      </c>
      <c r="C20" s="3426" t="s">
        <v>2905</v>
      </c>
      <c r="D20" s="3427"/>
      <c r="E20" s="3428">
        <v>1</v>
      </c>
      <c r="F20" s="3429" t="s">
        <v>2906</v>
      </c>
      <c r="G20" s="1080"/>
      <c r="H20" s="1070"/>
      <c r="I20" s="1070"/>
    </row>
    <row r="21" spans="1:13" s="1485" customFormat="1">
      <c r="A21" s="3730"/>
      <c r="B21" s="3733"/>
      <c r="C21" s="3430" t="s">
        <v>2907</v>
      </c>
      <c r="D21" s="3431"/>
      <c r="E21" s="3432">
        <v>1</v>
      </c>
      <c r="F21" s="3429" t="s">
        <v>2908</v>
      </c>
      <c r="G21" s="1080"/>
      <c r="H21" s="1070"/>
      <c r="I21" s="1070"/>
    </row>
    <row r="22" spans="1:13" s="1485" customFormat="1">
      <c r="A22" s="3730"/>
      <c r="B22" s="3733"/>
      <c r="C22" s="3430" t="s">
        <v>2909</v>
      </c>
      <c r="D22" s="3431"/>
      <c r="E22" s="3432">
        <v>0.9</v>
      </c>
      <c r="F22" s="3429" t="s">
        <v>2910</v>
      </c>
      <c r="G22" s="1080"/>
      <c r="H22" s="1070"/>
      <c r="I22" s="1070"/>
    </row>
    <row r="23" spans="1:13" s="1485" customFormat="1">
      <c r="A23" s="3730"/>
      <c r="B23" s="3733"/>
      <c r="C23" s="3430" t="s">
        <v>2911</v>
      </c>
      <c r="D23" s="3431"/>
      <c r="E23" s="3432">
        <v>0.9</v>
      </c>
      <c r="F23" s="3429" t="s">
        <v>2912</v>
      </c>
      <c r="G23" s="1080"/>
      <c r="H23" s="1070"/>
      <c r="I23" s="1070"/>
    </row>
    <row r="24" spans="1:13" s="1485" customFormat="1">
      <c r="A24" s="3730"/>
      <c r="B24" s="3733"/>
      <c r="C24" s="3430" t="s">
        <v>2913</v>
      </c>
      <c r="D24" s="3431"/>
      <c r="E24" s="3432">
        <v>0.8</v>
      </c>
      <c r="F24" s="3429" t="s">
        <v>2914</v>
      </c>
      <c r="G24" s="1080"/>
      <c r="H24" s="1070"/>
      <c r="I24" s="1070"/>
    </row>
    <row r="25" spans="1:13" s="1485" customFormat="1" ht="14.25" thickBot="1">
      <c r="A25" s="3731"/>
      <c r="B25" s="3734"/>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35" t="s">
        <v>2899</v>
      </c>
      <c r="B27" s="3732" t="s">
        <v>2899</v>
      </c>
      <c r="C27" s="3426" t="s">
        <v>2919</v>
      </c>
      <c r="D27" s="3427"/>
      <c r="E27" s="3428">
        <v>1</v>
      </c>
      <c r="F27" s="3429" t="s">
        <v>2920</v>
      </c>
      <c r="G27" s="1080"/>
      <c r="H27" s="1070"/>
      <c r="I27" s="1070"/>
    </row>
    <row r="28" spans="1:13" s="1485" customFormat="1">
      <c r="A28" s="3736"/>
      <c r="B28" s="3733"/>
      <c r="C28" s="3430" t="s">
        <v>2921</v>
      </c>
      <c r="D28" s="3431"/>
      <c r="E28" s="3432">
        <v>1</v>
      </c>
      <c r="F28" s="3429" t="s">
        <v>2922</v>
      </c>
      <c r="G28" s="1080"/>
      <c r="H28" s="1070"/>
      <c r="I28" s="1070"/>
    </row>
    <row r="29" spans="1:13" s="1485" customFormat="1">
      <c r="A29" s="3736"/>
      <c r="B29" s="3733"/>
      <c r="C29" s="3430" t="s">
        <v>2923</v>
      </c>
      <c r="D29" s="3431"/>
      <c r="E29" s="3432">
        <v>0.8</v>
      </c>
      <c r="F29" s="3429" t="s">
        <v>2924</v>
      </c>
      <c r="G29" s="1080"/>
      <c r="H29" s="1070"/>
      <c r="I29" s="1070"/>
    </row>
    <row r="30" spans="1:13" s="1485" customFormat="1">
      <c r="A30" s="3736"/>
      <c r="B30" s="3733"/>
      <c r="C30" s="3430" t="s">
        <v>2925</v>
      </c>
      <c r="D30" s="3431"/>
      <c r="E30" s="3432">
        <v>0.8</v>
      </c>
      <c r="F30" s="3429" t="s">
        <v>2926</v>
      </c>
      <c r="G30" s="1080"/>
      <c r="H30" s="1070"/>
      <c r="I30" s="1070"/>
    </row>
    <row r="31" spans="1:13" s="1485" customFormat="1">
      <c r="A31" s="3736"/>
      <c r="B31" s="3733"/>
      <c r="C31" s="3430" t="s">
        <v>2927</v>
      </c>
      <c r="D31" s="3431"/>
      <c r="E31" s="3432">
        <v>0.8</v>
      </c>
      <c r="F31" s="3429" t="s">
        <v>2928</v>
      </c>
      <c r="G31" s="1080"/>
      <c r="H31" s="1070"/>
      <c r="I31" s="1070"/>
    </row>
    <row r="32" spans="1:13" s="1485" customFormat="1">
      <c r="A32" s="3736"/>
      <c r="B32" s="3733"/>
      <c r="C32" s="3430" t="s">
        <v>2929</v>
      </c>
      <c r="D32" s="3431"/>
      <c r="E32" s="3432">
        <v>0.7</v>
      </c>
      <c r="F32" s="3429" t="s">
        <v>2930</v>
      </c>
      <c r="G32" s="1080"/>
      <c r="H32" s="1070"/>
      <c r="I32" s="1070"/>
    </row>
    <row r="33" spans="1:9" s="1485" customFormat="1">
      <c r="A33" s="3736"/>
      <c r="B33" s="3733"/>
      <c r="C33" s="3430" t="s">
        <v>2931</v>
      </c>
      <c r="D33" s="3431"/>
      <c r="E33" s="3432">
        <v>0.8</v>
      </c>
      <c r="F33" s="3429" t="s">
        <v>2932</v>
      </c>
      <c r="G33" s="1080"/>
      <c r="H33" s="1070"/>
      <c r="I33" s="1070"/>
    </row>
    <row r="34" spans="1:9" s="1485" customFormat="1">
      <c r="A34" s="3736"/>
      <c r="B34" s="3733"/>
      <c r="C34" s="3430" t="s">
        <v>2933</v>
      </c>
      <c r="D34" s="3431"/>
      <c r="E34" s="3432">
        <v>0.6</v>
      </c>
      <c r="F34" s="3429" t="s">
        <v>2934</v>
      </c>
      <c r="G34" s="1080"/>
      <c r="H34" s="1070"/>
      <c r="I34" s="1070"/>
    </row>
    <row r="35" spans="1:9" s="1485" customFormat="1">
      <c r="A35" s="3736"/>
      <c r="B35" s="3733"/>
      <c r="C35" s="3430" t="s">
        <v>2935</v>
      </c>
      <c r="D35" s="3431"/>
      <c r="E35" s="3432">
        <v>0.2</v>
      </c>
      <c r="F35" s="3429" t="s">
        <v>2936</v>
      </c>
      <c r="G35" s="1080"/>
      <c r="H35" s="1070"/>
      <c r="I35" s="1070"/>
    </row>
    <row r="36" spans="1:9" s="1485" customFormat="1">
      <c r="A36" s="3736"/>
      <c r="B36" s="3733"/>
      <c r="C36" s="3430" t="s">
        <v>2937</v>
      </c>
      <c r="D36" s="3431"/>
      <c r="E36" s="3432">
        <v>0.2</v>
      </c>
      <c r="F36" s="3429" t="s">
        <v>2938</v>
      </c>
      <c r="G36" s="1080"/>
      <c r="H36" s="1070"/>
      <c r="I36" s="1070"/>
    </row>
    <row r="37" spans="1:9" s="1485" customFormat="1">
      <c r="A37" s="3736"/>
      <c r="B37" s="3727" t="s">
        <v>2939</v>
      </c>
      <c r="C37" s="3430" t="s">
        <v>2940</v>
      </c>
      <c r="D37" s="3431"/>
      <c r="E37" s="3432">
        <v>0.6</v>
      </c>
      <c r="F37" s="3429" t="s">
        <v>2941</v>
      </c>
      <c r="G37" s="1080"/>
      <c r="H37" s="1070"/>
      <c r="I37" s="1070"/>
    </row>
    <row r="38" spans="1:9" s="1485" customFormat="1">
      <c r="A38" s="3736"/>
      <c r="B38" s="3733"/>
      <c r="C38" s="3430" t="s">
        <v>2942</v>
      </c>
      <c r="D38" s="3431"/>
      <c r="E38" s="3432">
        <v>0.6</v>
      </c>
      <c r="F38" s="3429" t="s">
        <v>2943</v>
      </c>
      <c r="G38" s="1080"/>
      <c r="H38" s="1070"/>
      <c r="I38" s="1070"/>
    </row>
    <row r="39" spans="1:9" s="1485" customFormat="1" ht="14.25" thickBot="1">
      <c r="A39" s="3737"/>
      <c r="B39" s="3734"/>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29" t="s">
        <v>2897</v>
      </c>
      <c r="B41" s="3732" t="s">
        <v>2948</v>
      </c>
      <c r="C41" s="3426" t="s">
        <v>2949</v>
      </c>
      <c r="D41" s="3427"/>
      <c r="E41" s="3428">
        <v>1</v>
      </c>
      <c r="F41" s="3429" t="s">
        <v>2950</v>
      </c>
      <c r="G41" s="1080"/>
      <c r="H41" s="1070"/>
      <c r="I41" s="1070"/>
    </row>
    <row r="42" spans="1:9" s="1485" customFormat="1">
      <c r="A42" s="3730"/>
      <c r="B42" s="3733"/>
      <c r="C42" s="3430" t="s">
        <v>2951</v>
      </c>
      <c r="D42" s="3431"/>
      <c r="E42" s="3432">
        <v>1</v>
      </c>
      <c r="F42" s="3429" t="s">
        <v>2952</v>
      </c>
      <c r="G42" s="1080"/>
      <c r="H42" s="1070"/>
      <c r="I42" s="1070"/>
    </row>
    <row r="43" spans="1:9" s="1485" customFormat="1">
      <c r="A43" s="3730"/>
      <c r="B43" s="3728"/>
      <c r="C43" s="3430" t="s">
        <v>2953</v>
      </c>
      <c r="D43" s="3431"/>
      <c r="E43" s="3432">
        <v>1.5</v>
      </c>
      <c r="F43" s="3429" t="s">
        <v>2954</v>
      </c>
      <c r="G43" s="1080"/>
      <c r="H43" s="1070"/>
      <c r="I43" s="1070"/>
    </row>
    <row r="44" spans="1:9" s="1485" customFormat="1">
      <c r="A44" s="3730"/>
      <c r="B44" s="3441" t="s">
        <v>2899</v>
      </c>
      <c r="C44" s="3430" t="s">
        <v>2898</v>
      </c>
      <c r="D44" s="3431"/>
      <c r="E44" s="3432">
        <v>2</v>
      </c>
      <c r="F44" s="3429" t="s">
        <v>2955</v>
      </c>
      <c r="G44" s="1080"/>
      <c r="H44" s="1070"/>
      <c r="I44" s="1070"/>
    </row>
    <row r="45" spans="1:9" s="1485" customFormat="1">
      <c r="A45" s="3730"/>
      <c r="B45" s="3727" t="s">
        <v>2956</v>
      </c>
      <c r="C45" s="3430" t="s">
        <v>2957</v>
      </c>
      <c r="D45" s="3431"/>
      <c r="E45" s="3432">
        <v>1</v>
      </c>
      <c r="F45" s="3429" t="s">
        <v>2958</v>
      </c>
      <c r="G45" s="1080"/>
      <c r="H45" s="1070"/>
      <c r="I45" s="1070"/>
    </row>
    <row r="46" spans="1:9" s="1485" customFormat="1">
      <c r="A46" s="3730"/>
      <c r="B46" s="3733"/>
      <c r="C46" s="3430" t="s">
        <v>2959</v>
      </c>
      <c r="D46" s="3431"/>
      <c r="E46" s="3432">
        <v>1</v>
      </c>
      <c r="F46" s="3429" t="s">
        <v>2960</v>
      </c>
      <c r="G46" s="1080"/>
      <c r="H46" s="1070"/>
      <c r="I46" s="1070"/>
    </row>
    <row r="47" spans="1:9" s="1485" customFormat="1">
      <c r="A47" s="3730"/>
      <c r="B47" s="3733"/>
      <c r="C47" s="3430" t="s">
        <v>2961</v>
      </c>
      <c r="D47" s="3431"/>
      <c r="E47" s="3432">
        <v>1</v>
      </c>
      <c r="F47" s="3429" t="s">
        <v>2962</v>
      </c>
      <c r="G47" s="1080"/>
      <c r="H47" s="1070"/>
      <c r="I47" s="1070"/>
    </row>
    <row r="48" spans="1:9" s="1485" customFormat="1">
      <c r="A48" s="3730"/>
      <c r="B48" s="3733"/>
      <c r="C48" s="3430" t="s">
        <v>2963</v>
      </c>
      <c r="D48" s="3431"/>
      <c r="E48" s="3432">
        <v>1</v>
      </c>
      <c r="F48" s="3429" t="s">
        <v>2964</v>
      </c>
      <c r="G48" s="1080"/>
      <c r="H48" s="1070"/>
      <c r="I48" s="1070"/>
    </row>
    <row r="49" spans="1:9" s="1485" customFormat="1">
      <c r="A49" s="3730"/>
      <c r="B49" s="3733"/>
      <c r="C49" s="3430" t="s">
        <v>2965</v>
      </c>
      <c r="D49" s="3431"/>
      <c r="E49" s="3432">
        <v>1</v>
      </c>
      <c r="F49" s="3429" t="s">
        <v>2966</v>
      </c>
      <c r="G49" s="1080"/>
      <c r="H49" s="1070"/>
      <c r="I49" s="1070"/>
    </row>
    <row r="50" spans="1:9" s="1485" customFormat="1">
      <c r="A50" s="3730"/>
      <c r="B50" s="3733"/>
      <c r="C50" s="3430" t="s">
        <v>2967</v>
      </c>
      <c r="D50" s="3431"/>
      <c r="E50" s="3432">
        <v>1</v>
      </c>
      <c r="F50" s="3429" t="s">
        <v>2968</v>
      </c>
      <c r="G50" s="1080"/>
      <c r="H50" s="1070"/>
      <c r="I50" s="1070"/>
    </row>
    <row r="51" spans="1:9" s="1485" customFormat="1" ht="14.25" thickBot="1">
      <c r="A51" s="3731"/>
      <c r="B51" s="3734"/>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27" t="s">
        <v>2972</v>
      </c>
      <c r="C73" s="3419" t="s">
        <v>2973</v>
      </c>
      <c r="D73" s="3419" t="s">
        <v>2974</v>
      </c>
      <c r="E73" s="3442">
        <v>0.2</v>
      </c>
      <c r="F73" s="3441">
        <v>25</v>
      </c>
      <c r="H73" s="1070">
        <f>SUMIF(C71:C139,基准地价!C8,E71:E139)</f>
        <v>0</v>
      </c>
    </row>
    <row r="74" spans="1:8" s="1070" customFormat="1" ht="24">
      <c r="A74" s="3441">
        <v>2</v>
      </c>
      <c r="B74" s="3733"/>
      <c r="C74" s="3419" t="s">
        <v>2975</v>
      </c>
      <c r="D74" s="3419" t="s">
        <v>2976</v>
      </c>
      <c r="E74" s="3442">
        <v>0.2</v>
      </c>
      <c r="F74" s="3441">
        <v>25</v>
      </c>
    </row>
    <row r="75" spans="1:8" s="1070" customFormat="1" ht="24">
      <c r="A75" s="3441">
        <v>3</v>
      </c>
      <c r="B75" s="3733"/>
      <c r="C75" s="3419" t="s">
        <v>2977</v>
      </c>
      <c r="D75" s="3419" t="s">
        <v>2978</v>
      </c>
      <c r="E75" s="3442">
        <v>0.2</v>
      </c>
      <c r="F75" s="3441">
        <v>25</v>
      </c>
    </row>
    <row r="76" spans="1:8" s="1070" customFormat="1">
      <c r="A76" s="3441">
        <v>4</v>
      </c>
      <c r="B76" s="3733"/>
      <c r="C76" s="3419" t="s">
        <v>2979</v>
      </c>
      <c r="D76" s="3419" t="s">
        <v>2980</v>
      </c>
      <c r="E76" s="3442">
        <v>0.15</v>
      </c>
      <c r="F76" s="3441">
        <v>20</v>
      </c>
    </row>
    <row r="77" spans="1:8" s="1070" customFormat="1" ht="24">
      <c r="A77" s="3441">
        <v>5</v>
      </c>
      <c r="B77" s="3733"/>
      <c r="C77" s="3419" t="s">
        <v>2981</v>
      </c>
      <c r="D77" s="3419" t="s">
        <v>2982</v>
      </c>
      <c r="E77" s="3442">
        <v>0.15</v>
      </c>
      <c r="F77" s="3441">
        <v>20</v>
      </c>
    </row>
    <row r="78" spans="1:8" s="1070" customFormat="1" ht="24">
      <c r="A78" s="3441">
        <v>6</v>
      </c>
      <c r="B78" s="3733"/>
      <c r="C78" s="3419" t="s">
        <v>2983</v>
      </c>
      <c r="D78" s="3419" t="s">
        <v>2984</v>
      </c>
      <c r="E78" s="3442">
        <v>0.15</v>
      </c>
      <c r="F78" s="3441">
        <v>20</v>
      </c>
    </row>
    <row r="79" spans="1:8" s="1070" customFormat="1" ht="24">
      <c r="A79" s="3441">
        <v>7</v>
      </c>
      <c r="B79" s="3733"/>
      <c r="C79" s="3419" t="s">
        <v>2985</v>
      </c>
      <c r="D79" s="3419" t="s">
        <v>2986</v>
      </c>
      <c r="E79" s="3442">
        <v>0.15</v>
      </c>
      <c r="F79" s="3441">
        <v>20</v>
      </c>
    </row>
    <row r="80" spans="1:8" s="1070" customFormat="1" ht="24">
      <c r="A80" s="3441">
        <v>8</v>
      </c>
      <c r="B80" s="3733"/>
      <c r="C80" s="3419" t="s">
        <v>2987</v>
      </c>
      <c r="D80" s="3419" t="s">
        <v>2988</v>
      </c>
      <c r="E80" s="3442">
        <v>0.1</v>
      </c>
      <c r="F80" s="3441">
        <v>15</v>
      </c>
    </row>
    <row r="81" spans="1:6" s="1070" customFormat="1" ht="24">
      <c r="A81" s="3441">
        <v>9</v>
      </c>
      <c r="B81" s="3733"/>
      <c r="C81" s="3419" t="s">
        <v>2989</v>
      </c>
      <c r="D81" s="3419" t="s">
        <v>2990</v>
      </c>
      <c r="E81" s="3442">
        <v>0.1</v>
      </c>
      <c r="F81" s="3441">
        <v>15</v>
      </c>
    </row>
    <row r="82" spans="1:6" s="1070" customFormat="1" ht="24">
      <c r="A82" s="3441">
        <v>10</v>
      </c>
      <c r="B82" s="3733"/>
      <c r="C82" s="3419" t="s">
        <v>2991</v>
      </c>
      <c r="D82" s="3419" t="s">
        <v>2992</v>
      </c>
      <c r="E82" s="3442">
        <v>0.1</v>
      </c>
      <c r="F82" s="3441">
        <v>15</v>
      </c>
    </row>
    <row r="83" spans="1:6" s="1070" customFormat="1" ht="24">
      <c r="A83" s="3441">
        <v>11</v>
      </c>
      <c r="B83" s="3733"/>
      <c r="C83" s="3419" t="s">
        <v>2993</v>
      </c>
      <c r="D83" s="3419" t="s">
        <v>2994</v>
      </c>
      <c r="E83" s="3442">
        <v>0.1</v>
      </c>
      <c r="F83" s="3441">
        <v>15</v>
      </c>
    </row>
    <row r="84" spans="1:6" s="1070" customFormat="1" ht="24">
      <c r="A84" s="3441">
        <v>12</v>
      </c>
      <c r="B84" s="3733"/>
      <c r="C84" s="3419" t="s">
        <v>2995</v>
      </c>
      <c r="D84" s="3419" t="s">
        <v>2996</v>
      </c>
      <c r="E84" s="3442">
        <v>0.1</v>
      </c>
      <c r="F84" s="3441">
        <v>15</v>
      </c>
    </row>
    <row r="85" spans="1:6" s="1070" customFormat="1">
      <c r="A85" s="3441">
        <v>13</v>
      </c>
      <c r="B85" s="3733"/>
      <c r="C85" s="3419" t="s">
        <v>2997</v>
      </c>
      <c r="D85" s="3419" t="s">
        <v>2998</v>
      </c>
      <c r="E85" s="3442">
        <v>0.1</v>
      </c>
      <c r="F85" s="3441">
        <v>15</v>
      </c>
    </row>
    <row r="86" spans="1:6" s="1070" customFormat="1">
      <c r="A86" s="3441">
        <v>14</v>
      </c>
      <c r="B86" s="3733"/>
      <c r="C86" s="3419" t="s">
        <v>2999</v>
      </c>
      <c r="D86" s="3419" t="s">
        <v>3000</v>
      </c>
      <c r="E86" s="3442">
        <v>0.1</v>
      </c>
      <c r="F86" s="3441">
        <v>15</v>
      </c>
    </row>
    <row r="87" spans="1:6" s="1070" customFormat="1">
      <c r="A87" s="3441">
        <v>15</v>
      </c>
      <c r="B87" s="3733"/>
      <c r="C87" s="3419" t="s">
        <v>3001</v>
      </c>
      <c r="D87" s="3419" t="s">
        <v>3002</v>
      </c>
      <c r="E87" s="3442">
        <v>0.1</v>
      </c>
      <c r="F87" s="3441">
        <v>15</v>
      </c>
    </row>
    <row r="88" spans="1:6" s="1070" customFormat="1" ht="24">
      <c r="A88" s="3441">
        <v>16</v>
      </c>
      <c r="B88" s="3733"/>
      <c r="C88" s="3419" t="s">
        <v>3003</v>
      </c>
      <c r="D88" s="3419" t="s">
        <v>3004</v>
      </c>
      <c r="E88" s="3442">
        <v>0.1</v>
      </c>
      <c r="F88" s="3441">
        <v>15</v>
      </c>
    </row>
    <row r="89" spans="1:6" s="1070" customFormat="1" ht="24">
      <c r="A89" s="3441">
        <v>17</v>
      </c>
      <c r="B89" s="3728"/>
      <c r="C89" s="3419" t="s">
        <v>3005</v>
      </c>
      <c r="D89" s="3419" t="s">
        <v>3006</v>
      </c>
      <c r="E89" s="3442">
        <v>0.1</v>
      </c>
      <c r="F89" s="3441">
        <v>15</v>
      </c>
    </row>
    <row r="90" spans="1:6" s="1070" customFormat="1">
      <c r="A90" s="3441">
        <v>18</v>
      </c>
      <c r="B90" s="3727" t="s">
        <v>3007</v>
      </c>
      <c r="C90" s="3419" t="s">
        <v>3008</v>
      </c>
      <c r="D90" s="3419" t="s">
        <v>3009</v>
      </c>
      <c r="E90" s="3442">
        <v>0.2</v>
      </c>
      <c r="F90" s="3441">
        <v>25</v>
      </c>
    </row>
    <row r="91" spans="1:6" s="1070" customFormat="1" ht="24">
      <c r="A91" s="3441">
        <v>19</v>
      </c>
      <c r="B91" s="3733"/>
      <c r="C91" s="3419" t="s">
        <v>3010</v>
      </c>
      <c r="D91" s="3419" t="s">
        <v>3011</v>
      </c>
      <c r="E91" s="3442">
        <v>0.2</v>
      </c>
      <c r="F91" s="3441">
        <v>25</v>
      </c>
    </row>
    <row r="92" spans="1:6" s="1070" customFormat="1">
      <c r="A92" s="3441">
        <v>20</v>
      </c>
      <c r="B92" s="3733"/>
      <c r="C92" s="3419" t="s">
        <v>3012</v>
      </c>
      <c r="D92" s="3419" t="s">
        <v>3013</v>
      </c>
      <c r="E92" s="3442">
        <v>0.15</v>
      </c>
      <c r="F92" s="3441">
        <v>20</v>
      </c>
    </row>
    <row r="93" spans="1:6" s="1070" customFormat="1" ht="24">
      <c r="A93" s="3441">
        <v>21</v>
      </c>
      <c r="B93" s="3733"/>
      <c r="C93" s="3419" t="s">
        <v>3014</v>
      </c>
      <c r="D93" s="3419" t="s">
        <v>3015</v>
      </c>
      <c r="E93" s="3442">
        <v>0.15</v>
      </c>
      <c r="F93" s="3441">
        <v>20</v>
      </c>
    </row>
    <row r="94" spans="1:6" s="1070" customFormat="1" ht="24">
      <c r="A94" s="3441">
        <v>22</v>
      </c>
      <c r="B94" s="3733"/>
      <c r="C94" s="3419" t="s">
        <v>3016</v>
      </c>
      <c r="D94" s="3419" t="s">
        <v>3017</v>
      </c>
      <c r="E94" s="3442">
        <v>0.15</v>
      </c>
      <c r="F94" s="3441">
        <v>20</v>
      </c>
    </row>
    <row r="95" spans="1:6" s="1070" customFormat="1" ht="36">
      <c r="A95" s="3441">
        <v>23</v>
      </c>
      <c r="B95" s="3733"/>
      <c r="C95" s="3419" t="s">
        <v>3018</v>
      </c>
      <c r="D95" s="3419" t="s">
        <v>3019</v>
      </c>
      <c r="E95" s="3442">
        <v>0.15</v>
      </c>
      <c r="F95" s="3441">
        <v>20</v>
      </c>
    </row>
    <row r="96" spans="1:6" s="1070" customFormat="1">
      <c r="A96" s="3441">
        <v>24</v>
      </c>
      <c r="B96" s="3733"/>
      <c r="C96" s="3419" t="s">
        <v>3020</v>
      </c>
      <c r="D96" s="3419" t="s">
        <v>3021</v>
      </c>
      <c r="E96" s="3442">
        <v>0.1</v>
      </c>
      <c r="F96" s="3441">
        <v>15</v>
      </c>
    </row>
    <row r="97" spans="1:6" s="1070" customFormat="1" ht="24">
      <c r="A97" s="3441">
        <v>25</v>
      </c>
      <c r="B97" s="3733"/>
      <c r="C97" s="3419" t="s">
        <v>3022</v>
      </c>
      <c r="D97" s="3419" t="s">
        <v>3023</v>
      </c>
      <c r="E97" s="3442">
        <v>0.1</v>
      </c>
      <c r="F97" s="3441">
        <v>15</v>
      </c>
    </row>
    <row r="98" spans="1:6" s="1070" customFormat="1" ht="24">
      <c r="A98" s="3441">
        <v>26</v>
      </c>
      <c r="B98" s="3733"/>
      <c r="C98" s="3419" t="s">
        <v>3024</v>
      </c>
      <c r="D98" s="3419" t="s">
        <v>3025</v>
      </c>
      <c r="E98" s="3442">
        <v>0.1</v>
      </c>
      <c r="F98" s="3441">
        <v>15</v>
      </c>
    </row>
    <row r="99" spans="1:6" s="1070" customFormat="1" ht="24">
      <c r="A99" s="3441">
        <v>27</v>
      </c>
      <c r="B99" s="3733"/>
      <c r="C99" s="3419" t="s">
        <v>3026</v>
      </c>
      <c r="D99" s="3419" t="s">
        <v>3027</v>
      </c>
      <c r="E99" s="3442">
        <v>0.1</v>
      </c>
      <c r="F99" s="3441">
        <v>15</v>
      </c>
    </row>
    <row r="100" spans="1:6" s="1070" customFormat="1" ht="24">
      <c r="A100" s="3441">
        <v>28</v>
      </c>
      <c r="B100" s="3733"/>
      <c r="C100" s="3419" t="s">
        <v>3028</v>
      </c>
      <c r="D100" s="3419" t="s">
        <v>3029</v>
      </c>
      <c r="E100" s="3442">
        <v>0.1</v>
      </c>
      <c r="F100" s="3441">
        <v>15</v>
      </c>
    </row>
    <row r="101" spans="1:6" s="1070" customFormat="1" ht="24">
      <c r="A101" s="3441">
        <v>29</v>
      </c>
      <c r="B101" s="3733"/>
      <c r="C101" s="3419" t="s">
        <v>3030</v>
      </c>
      <c r="D101" s="3419" t="s">
        <v>3031</v>
      </c>
      <c r="E101" s="3442">
        <v>0.1</v>
      </c>
      <c r="F101" s="3441">
        <v>15</v>
      </c>
    </row>
    <row r="102" spans="1:6" s="1070" customFormat="1" ht="24">
      <c r="A102" s="3441">
        <v>30</v>
      </c>
      <c r="B102" s="3733"/>
      <c r="C102" s="3419" t="s">
        <v>3032</v>
      </c>
      <c r="D102" s="3419" t="s">
        <v>3033</v>
      </c>
      <c r="E102" s="3442">
        <v>0.1</v>
      </c>
      <c r="F102" s="3441">
        <v>15</v>
      </c>
    </row>
    <row r="103" spans="1:6" s="1070" customFormat="1" ht="24">
      <c r="A103" s="3441">
        <v>31</v>
      </c>
      <c r="B103" s="3733"/>
      <c r="C103" s="3419" t="s">
        <v>3034</v>
      </c>
      <c r="D103" s="3419" t="s">
        <v>3035</v>
      </c>
      <c r="E103" s="3442">
        <v>0.1</v>
      </c>
      <c r="F103" s="3441">
        <v>15</v>
      </c>
    </row>
    <row r="104" spans="1:6" s="1070" customFormat="1" ht="24">
      <c r="A104" s="3441">
        <v>32</v>
      </c>
      <c r="B104" s="3733"/>
      <c r="C104" s="3419" t="s">
        <v>3036</v>
      </c>
      <c r="D104" s="3419" t="s">
        <v>3037</v>
      </c>
      <c r="E104" s="3442">
        <v>0.1</v>
      </c>
      <c r="F104" s="3441">
        <v>15</v>
      </c>
    </row>
    <row r="105" spans="1:6" s="1070" customFormat="1" ht="24">
      <c r="A105" s="3441">
        <v>33</v>
      </c>
      <c r="B105" s="3733"/>
      <c r="C105" s="3419" t="s">
        <v>3038</v>
      </c>
      <c r="D105" s="3419" t="s">
        <v>3039</v>
      </c>
      <c r="E105" s="3442">
        <v>0.1</v>
      </c>
      <c r="F105" s="3441">
        <v>15</v>
      </c>
    </row>
    <row r="106" spans="1:6" s="1070" customFormat="1" ht="24">
      <c r="A106" s="3441">
        <v>34</v>
      </c>
      <c r="B106" s="3728"/>
      <c r="C106" s="3419" t="s">
        <v>3040</v>
      </c>
      <c r="D106" s="3419" t="s">
        <v>3041</v>
      </c>
      <c r="E106" s="3442">
        <v>0.1</v>
      </c>
      <c r="F106" s="3441">
        <v>15</v>
      </c>
    </row>
    <row r="107" spans="1:6" s="1070" customFormat="1" ht="24">
      <c r="A107" s="3441">
        <v>35</v>
      </c>
      <c r="B107" s="3727" t="s">
        <v>3042</v>
      </c>
      <c r="C107" s="3441" t="s">
        <v>3043</v>
      </c>
      <c r="D107" s="3419" t="s">
        <v>3044</v>
      </c>
      <c r="E107" s="3442">
        <v>0.15</v>
      </c>
      <c r="F107" s="3441">
        <v>20</v>
      </c>
    </row>
    <row r="108" spans="1:6" s="1070" customFormat="1" ht="24">
      <c r="A108" s="3441">
        <v>36</v>
      </c>
      <c r="B108" s="3733"/>
      <c r="C108" s="3441" t="s">
        <v>3045</v>
      </c>
      <c r="D108" s="3419" t="s">
        <v>3046</v>
      </c>
      <c r="E108" s="3442">
        <v>0.15</v>
      </c>
      <c r="F108" s="3441">
        <v>20</v>
      </c>
    </row>
    <row r="109" spans="1:6" s="1070" customFormat="1" ht="24">
      <c r="A109" s="3441">
        <v>37</v>
      </c>
      <c r="B109" s="3733"/>
      <c r="C109" s="3441" t="s">
        <v>3047</v>
      </c>
      <c r="D109" s="3419" t="s">
        <v>3048</v>
      </c>
      <c r="E109" s="3442">
        <v>0.15</v>
      </c>
      <c r="F109" s="3441">
        <v>20</v>
      </c>
    </row>
    <row r="110" spans="1:6" s="1070" customFormat="1">
      <c r="A110" s="3441">
        <v>38</v>
      </c>
      <c r="B110" s="3733"/>
      <c r="C110" s="3441" t="s">
        <v>3049</v>
      </c>
      <c r="D110" s="3419" t="s">
        <v>3050</v>
      </c>
      <c r="E110" s="3442">
        <v>0.1</v>
      </c>
      <c r="F110" s="3441">
        <v>15</v>
      </c>
    </row>
    <row r="111" spans="1:6" s="1070" customFormat="1" ht="24">
      <c r="A111" s="3441">
        <v>39</v>
      </c>
      <c r="B111" s="3733"/>
      <c r="C111" s="3441" t="s">
        <v>3051</v>
      </c>
      <c r="D111" s="3419" t="s">
        <v>3052</v>
      </c>
      <c r="E111" s="3442">
        <v>0.1</v>
      </c>
      <c r="F111" s="3441">
        <v>15</v>
      </c>
    </row>
    <row r="112" spans="1:6" s="1070" customFormat="1" ht="24">
      <c r="A112" s="3441">
        <v>40</v>
      </c>
      <c r="B112" s="3728"/>
      <c r="C112" s="3441" t="s">
        <v>3053</v>
      </c>
      <c r="D112" s="3419" t="s">
        <v>3054</v>
      </c>
      <c r="E112" s="3442">
        <v>0.1</v>
      </c>
      <c r="F112" s="3441">
        <v>15</v>
      </c>
    </row>
    <row r="113" spans="1:6" s="1070" customFormat="1" ht="24">
      <c r="A113" s="3441">
        <v>41</v>
      </c>
      <c r="B113" s="3726" t="s">
        <v>3055</v>
      </c>
      <c r="C113" s="3441" t="s">
        <v>3056</v>
      </c>
      <c r="D113" s="3419" t="s">
        <v>3057</v>
      </c>
      <c r="E113" s="3442">
        <v>0.1</v>
      </c>
      <c r="F113" s="3441">
        <v>15</v>
      </c>
    </row>
    <row r="114" spans="1:6" s="1070" customFormat="1">
      <c r="A114" s="3441">
        <v>42</v>
      </c>
      <c r="B114" s="3726"/>
      <c r="C114" s="3441" t="s">
        <v>3058</v>
      </c>
      <c r="D114" s="3419" t="s">
        <v>3059</v>
      </c>
      <c r="E114" s="3442">
        <v>0.1</v>
      </c>
      <c r="F114" s="3441">
        <v>15</v>
      </c>
    </row>
    <row r="115" spans="1:6" s="1070" customFormat="1" ht="24">
      <c r="A115" s="3441">
        <v>43</v>
      </c>
      <c r="B115" s="3726"/>
      <c r="C115" s="3441" t="s">
        <v>3060</v>
      </c>
      <c r="D115" s="3419" t="s">
        <v>3061</v>
      </c>
      <c r="E115" s="3442">
        <v>0.1</v>
      </c>
      <c r="F115" s="3441">
        <v>15</v>
      </c>
    </row>
    <row r="116" spans="1:6" s="1070" customFormat="1" ht="24">
      <c r="A116" s="3441">
        <v>44</v>
      </c>
      <c r="B116" s="3727" t="s">
        <v>3062</v>
      </c>
      <c r="C116" s="3441" t="s">
        <v>3063</v>
      </c>
      <c r="D116" s="3419" t="s">
        <v>3064</v>
      </c>
      <c r="E116" s="3442">
        <v>0.1</v>
      </c>
      <c r="F116" s="3441">
        <v>15</v>
      </c>
    </row>
    <row r="117" spans="1:6" s="1070" customFormat="1" ht="24">
      <c r="A117" s="3441">
        <v>45</v>
      </c>
      <c r="B117" s="3728"/>
      <c r="C117" s="3419" t="s">
        <v>3065</v>
      </c>
      <c r="D117" s="3419" t="s">
        <v>3066</v>
      </c>
      <c r="E117" s="3442">
        <v>0.1</v>
      </c>
      <c r="F117" s="3441">
        <v>15</v>
      </c>
    </row>
    <row r="118" spans="1:6" s="1070" customFormat="1" ht="24">
      <c r="A118" s="3441">
        <v>46</v>
      </c>
      <c r="B118" s="3727" t="s">
        <v>3067</v>
      </c>
      <c r="C118" s="3441" t="s">
        <v>3068</v>
      </c>
      <c r="D118" s="3419" t="s">
        <v>3069</v>
      </c>
      <c r="E118" s="3442">
        <v>0.1</v>
      </c>
      <c r="F118" s="3441">
        <v>15</v>
      </c>
    </row>
    <row r="119" spans="1:6" s="1070" customFormat="1" ht="24">
      <c r="A119" s="3441">
        <v>47</v>
      </c>
      <c r="B119" s="3728"/>
      <c r="C119" s="3441" t="s">
        <v>3070</v>
      </c>
      <c r="D119" s="3419" t="s">
        <v>3071</v>
      </c>
      <c r="E119" s="3442">
        <v>0.1</v>
      </c>
      <c r="F119" s="3441">
        <v>15</v>
      </c>
    </row>
    <row r="120" spans="1:6" s="1070" customFormat="1" ht="24">
      <c r="A120" s="3441">
        <v>48</v>
      </c>
      <c r="B120" s="3727" t="s">
        <v>3072</v>
      </c>
      <c r="C120" s="3441" t="s">
        <v>3073</v>
      </c>
      <c r="D120" s="3419" t="s">
        <v>3074</v>
      </c>
      <c r="E120" s="3442">
        <v>0.1</v>
      </c>
      <c r="F120" s="3441">
        <v>15</v>
      </c>
    </row>
    <row r="121" spans="1:6" s="1070" customFormat="1">
      <c r="A121" s="3441">
        <v>49</v>
      </c>
      <c r="B121" s="3728"/>
      <c r="C121" s="3441" t="s">
        <v>3075</v>
      </c>
      <c r="D121" s="3419" t="s">
        <v>3076</v>
      </c>
      <c r="E121" s="3442">
        <v>0.1</v>
      </c>
      <c r="F121" s="3441">
        <v>15</v>
      </c>
    </row>
    <row r="122" spans="1:6" s="1070" customFormat="1" ht="24">
      <c r="A122" s="3441">
        <v>50</v>
      </c>
      <c r="B122" s="3726" t="s">
        <v>3077</v>
      </c>
      <c r="C122" s="3441" t="s">
        <v>3078</v>
      </c>
      <c r="D122" s="3419" t="s">
        <v>3079</v>
      </c>
      <c r="E122" s="3442">
        <v>0.1</v>
      </c>
      <c r="F122" s="3441">
        <v>15</v>
      </c>
    </row>
    <row r="123" spans="1:6" s="1070" customFormat="1" ht="24">
      <c r="A123" s="3441">
        <v>51</v>
      </c>
      <c r="B123" s="3726"/>
      <c r="C123" s="3441" t="s">
        <v>3080</v>
      </c>
      <c r="D123" s="3419" t="s">
        <v>3081</v>
      </c>
      <c r="E123" s="3442">
        <v>0.1</v>
      </c>
      <c r="F123" s="3441">
        <v>15</v>
      </c>
    </row>
    <row r="124" spans="1:6" s="1070" customFormat="1" ht="24">
      <c r="A124" s="3441">
        <v>52</v>
      </c>
      <c r="B124" s="3726" t="s">
        <v>3082</v>
      </c>
      <c r="C124" s="3441" t="s">
        <v>3083</v>
      </c>
      <c r="D124" s="3419" t="s">
        <v>3084</v>
      </c>
      <c r="E124" s="3442">
        <v>0.1</v>
      </c>
      <c r="F124" s="3441">
        <v>15</v>
      </c>
    </row>
    <row r="125" spans="1:6" s="1070" customFormat="1" ht="24">
      <c r="A125" s="3441">
        <v>53</v>
      </c>
      <c r="B125" s="3726"/>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26" t="s">
        <v>3090</v>
      </c>
      <c r="C127" s="3441" t="s">
        <v>3091</v>
      </c>
      <c r="D127" s="3419" t="s">
        <v>3092</v>
      </c>
      <c r="E127" s="3442">
        <v>0.1</v>
      </c>
      <c r="F127" s="3441">
        <v>15</v>
      </c>
    </row>
    <row r="128" spans="1:6">
      <c r="A128" s="3441">
        <v>56</v>
      </c>
      <c r="B128" s="3726"/>
      <c r="C128" s="3441" t="s">
        <v>3093</v>
      </c>
      <c r="D128" s="3419" t="s">
        <v>3094</v>
      </c>
      <c r="E128" s="3442">
        <v>0.1</v>
      </c>
      <c r="F128" s="3441">
        <v>15</v>
      </c>
    </row>
    <row r="129" spans="1:14" ht="24">
      <c r="A129" s="3441">
        <v>57</v>
      </c>
      <c r="B129" s="3726"/>
      <c r="C129" s="3441" t="s">
        <v>3095</v>
      </c>
      <c r="D129" s="3419" t="s">
        <v>3096</v>
      </c>
      <c r="E129" s="3442">
        <v>0.1</v>
      </c>
      <c r="F129" s="3441">
        <v>15</v>
      </c>
    </row>
    <row r="130" spans="1:14" ht="24">
      <c r="A130" s="3441">
        <v>58</v>
      </c>
      <c r="B130" s="3726" t="s">
        <v>3097</v>
      </c>
      <c r="C130" s="3441" t="s">
        <v>3098</v>
      </c>
      <c r="D130" s="3419" t="s">
        <v>3099</v>
      </c>
      <c r="E130" s="3442">
        <v>0.1</v>
      </c>
      <c r="F130" s="3441">
        <v>15</v>
      </c>
    </row>
    <row r="131" spans="1:14" ht="24">
      <c r="A131" s="3441">
        <v>59</v>
      </c>
      <c r="B131" s="3726"/>
      <c r="C131" s="3441" t="s">
        <v>3100</v>
      </c>
      <c r="D131" s="3419" t="s">
        <v>3101</v>
      </c>
      <c r="E131" s="3442">
        <v>0.1</v>
      </c>
      <c r="F131" s="3441">
        <v>15</v>
      </c>
    </row>
    <row r="132" spans="1:14" ht="24">
      <c r="A132" s="3441">
        <v>60</v>
      </c>
      <c r="B132" s="3727" t="s">
        <v>3102</v>
      </c>
      <c r="C132" s="3441" t="s">
        <v>3103</v>
      </c>
      <c r="D132" s="3419" t="s">
        <v>3104</v>
      </c>
      <c r="E132" s="3442">
        <v>0.1</v>
      </c>
      <c r="F132" s="3441">
        <v>15</v>
      </c>
    </row>
    <row r="133" spans="1:14" ht="24">
      <c r="A133" s="3441">
        <v>61</v>
      </c>
      <c r="B133" s="3728"/>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26" t="s">
        <v>3110</v>
      </c>
      <c r="C135" s="3441" t="s">
        <v>3111</v>
      </c>
      <c r="D135" s="3419" t="s">
        <v>3112</v>
      </c>
      <c r="E135" s="3442">
        <v>0.1</v>
      </c>
      <c r="F135" s="3441">
        <v>15</v>
      </c>
    </row>
    <row r="136" spans="1:14">
      <c r="A136" s="3441">
        <v>64</v>
      </c>
      <c r="B136" s="3726"/>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11" t="s">
        <v>1434</v>
      </c>
      <c r="B141" s="3711"/>
      <c r="C141" s="3711"/>
      <c r="D141" s="3711"/>
      <c r="E141" s="3711"/>
      <c r="F141" s="3711"/>
      <c r="G141" s="3711"/>
      <c r="H141" s="3711"/>
      <c r="I141" s="3711"/>
      <c r="J141" s="3711"/>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8" t="s">
        <v>1018</v>
      </c>
      <c r="B1" s="3738"/>
      <c r="C1" s="3738"/>
      <c r="D1" s="3738"/>
      <c r="E1" s="3738"/>
      <c r="F1" s="3738"/>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9" t="s">
        <v>1031</v>
      </c>
      <c r="B2" s="3739"/>
      <c r="C2" s="3739"/>
      <c r="D2" s="3739"/>
      <c r="E2" s="3739"/>
      <c r="F2" s="3739"/>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40"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41"/>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42" t="s">
        <v>1871</v>
      </c>
      <c r="B1" s="374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45" t="s">
        <v>2293</v>
      </c>
      <c r="C1" s="3745"/>
      <c r="D1" s="3745"/>
      <c r="E1" s="3745"/>
      <c r="F1" s="3745"/>
      <c r="G1" s="3744" t="s">
        <v>2294</v>
      </c>
      <c r="H1" s="3744"/>
      <c r="I1" s="3744"/>
      <c r="J1" s="3744"/>
      <c r="K1" s="3744"/>
      <c r="L1" s="3744"/>
      <c r="N1" s="3744" t="s">
        <v>2295</v>
      </c>
      <c r="O1" s="3744"/>
      <c r="P1" s="3744"/>
      <c r="Q1" s="3744"/>
      <c r="S1" s="3744" t="s">
        <v>2296</v>
      </c>
      <c r="T1" s="3744"/>
      <c r="U1" s="3744"/>
      <c r="V1" s="3744"/>
      <c r="X1" s="3743" t="s">
        <v>2356</v>
      </c>
      <c r="Y1" s="3744"/>
      <c r="Z1" s="3744"/>
      <c r="AA1" s="3744"/>
      <c r="AB1" s="3744"/>
      <c r="AD1" s="3743" t="s">
        <v>2360</v>
      </c>
      <c r="AE1" s="3744"/>
      <c r="AF1" s="3744"/>
      <c r="AG1" s="3744"/>
      <c r="AH1" s="3744"/>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47">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47"/>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47"/>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53"/>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52">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47"/>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47"/>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53"/>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52">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47"/>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47"/>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48"/>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46">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47"/>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47"/>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48"/>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46">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47"/>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47"/>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48"/>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49">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50"/>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50"/>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51"/>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46">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47"/>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47"/>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48"/>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46">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47">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47">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48">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46">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47">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47">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48">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46">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47">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47">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48">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46">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47">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47">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48">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46">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47">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47">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48">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46">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47">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47">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48">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46">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47">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47">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48">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46">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47">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47">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48">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46">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47">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47">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48">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46">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47">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47">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48">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4" t="s">
        <v>610</v>
      </c>
      <c r="B1" s="712"/>
      <c r="C1" s="745"/>
      <c r="D1" s="1887"/>
      <c r="E1" s="2196" t="s">
        <v>2161</v>
      </c>
      <c r="F1" s="2197">
        <f ca="1">J54</f>
        <v>-2</v>
      </c>
      <c r="G1" s="746">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7">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8" t="s">
        <v>677</v>
      </c>
      <c r="I3" s="1894"/>
      <c r="J3" s="1894"/>
      <c r="K3" s="1895"/>
      <c r="L3" s="1894"/>
      <c r="M3" s="1894"/>
    </row>
    <row r="4" spans="1:25" ht="18" customHeight="1">
      <c r="A4" s="1529" t="s">
        <v>678</v>
      </c>
      <c r="B4" s="1260">
        <f ca="1">ROUND(B2*10000/'数据-汇总表'!D3,0)</f>
        <v>0</v>
      </c>
      <c r="C4" s="421"/>
      <c r="D4" s="1892"/>
      <c r="E4" s="1893"/>
      <c r="F4" s="1893"/>
      <c r="G4" s="1480"/>
      <c r="H4" s="748"/>
      <c r="I4" s="1894"/>
      <c r="J4" s="1894"/>
      <c r="K4" s="1895"/>
      <c r="L4" s="1894"/>
      <c r="M4" s="1894"/>
    </row>
    <row r="5" spans="1:25" ht="18" customHeight="1" thickBot="1">
      <c r="A5" s="1530"/>
      <c r="B5" s="423">
        <f ca="1">ROUND(B2/('数据-汇总表'!D3/666.67),0)</f>
        <v>0</v>
      </c>
      <c r="C5" s="424" t="s">
        <v>679</v>
      </c>
      <c r="D5" s="1892"/>
      <c r="E5" s="1893"/>
      <c r="F5" s="1893"/>
      <c r="G5" s="1480"/>
      <c r="H5" s="748"/>
      <c r="I5" s="1894"/>
      <c r="J5" s="1894"/>
      <c r="K5" s="1895"/>
      <c r="L5" s="1894"/>
      <c r="M5" s="1894"/>
    </row>
    <row r="6" spans="1:25" ht="18" customHeight="1">
      <c r="A6" s="1698" t="s">
        <v>680</v>
      </c>
      <c r="B6" s="1690" t="s">
        <v>681</v>
      </c>
      <c r="C6" s="1690" t="s">
        <v>614</v>
      </c>
      <c r="D6" s="1690" t="s">
        <v>615</v>
      </c>
      <c r="E6" s="751" t="s">
        <v>616</v>
      </c>
      <c r="F6" s="752"/>
      <c r="G6" s="1482"/>
      <c r="H6" s="1698" t="s">
        <v>612</v>
      </c>
      <c r="I6" s="1690" t="s">
        <v>613</v>
      </c>
      <c r="J6" s="1690" t="s">
        <v>614</v>
      </c>
      <c r="K6" s="1690" t="s">
        <v>615</v>
      </c>
      <c r="L6" s="751" t="s">
        <v>616</v>
      </c>
      <c r="M6" s="752"/>
    </row>
    <row r="7" spans="1:25" ht="18" customHeight="1">
      <c r="A7" s="753">
        <v>1</v>
      </c>
      <c r="B7" s="754" t="s">
        <v>2237</v>
      </c>
      <c r="C7" s="53">
        <f ca="1">C8+C12+C14</f>
        <v>0</v>
      </c>
      <c r="D7" s="2301" t="s">
        <v>2240</v>
      </c>
      <c r="E7" s="2295"/>
      <c r="F7" s="2296"/>
      <c r="G7" s="1482"/>
      <c r="H7" s="753">
        <v>1</v>
      </c>
      <c r="I7" s="754" t="s">
        <v>2237</v>
      </c>
      <c r="J7" s="53">
        <f ca="1">J8+J12+J14</f>
        <v>0</v>
      </c>
      <c r="K7" s="2301" t="s">
        <v>2240</v>
      </c>
      <c r="L7" s="2295"/>
      <c r="M7" s="2296"/>
    </row>
    <row r="8" spans="1:25" ht="18" customHeight="1">
      <c r="A8" s="1700" t="s">
        <v>1624</v>
      </c>
      <c r="B8" s="3755" t="s">
        <v>2242</v>
      </c>
      <c r="C8" s="1695">
        <f ca="1">ROUND(F8*F10*F9*(1-F11)/10000,0)</f>
        <v>0</v>
      </c>
      <c r="D8" s="1692" t="s">
        <v>2252</v>
      </c>
      <c r="E8" s="61" t="s">
        <v>619</v>
      </c>
      <c r="F8" s="757">
        <f ca="1">INDIRECT("'数据-取费表'!u"&amp;$G$1)</f>
        <v>0</v>
      </c>
      <c r="G8" s="1482"/>
      <c r="H8" s="2309" t="s">
        <v>1624</v>
      </c>
      <c r="I8" s="3755" t="s">
        <v>2242</v>
      </c>
      <c r="J8" s="755">
        <f ca="1">ROUND(M8*M10*M9*(1-M11)/10000,0)</f>
        <v>0</v>
      </c>
      <c r="K8" s="338" t="s">
        <v>2252</v>
      </c>
      <c r="L8" s="756" t="s">
        <v>1538</v>
      </c>
      <c r="M8" s="757">
        <f ca="1">INDIRECT("'数据-取费表'!z"&amp;$G$1)</f>
        <v>0</v>
      </c>
    </row>
    <row r="9" spans="1:25" ht="18" customHeight="1">
      <c r="A9" s="2305"/>
      <c r="B9" s="3756"/>
      <c r="C9" s="1696"/>
      <c r="D9" s="1693"/>
      <c r="E9" s="61" t="s">
        <v>620</v>
      </c>
      <c r="F9" s="757">
        <f ca="1">IF(INDIRECT("'数据-取费表'!ah"&amp;$G$1)="",INDIRECT("'数据-取费表'!k"&amp;$G$1),INDIRECT("'数据-取费表'!ah"&amp;$G$1))</f>
        <v>0</v>
      </c>
      <c r="G9" s="1482"/>
      <c r="H9" s="2294"/>
      <c r="I9" s="3756"/>
      <c r="J9" s="760"/>
      <c r="K9" s="761"/>
      <c r="L9" s="756" t="s">
        <v>1539</v>
      </c>
      <c r="M9" s="757">
        <f ca="1">F9</f>
        <v>0</v>
      </c>
    </row>
    <row r="10" spans="1:25" ht="18" customHeight="1">
      <c r="A10" s="2298"/>
      <c r="B10" s="3757"/>
      <c r="C10" s="1696"/>
      <c r="D10" s="1693"/>
      <c r="E10" s="61" t="s">
        <v>621</v>
      </c>
      <c r="F10" s="757">
        <f ca="1">INDIRECT("'数据-取费表'!ai"&amp;$G$1)</f>
        <v>0</v>
      </c>
      <c r="G10" s="1482"/>
      <c r="H10" s="2294"/>
      <c r="I10" s="3757"/>
      <c r="J10" s="760"/>
      <c r="K10" s="761"/>
      <c r="L10" s="756" t="s">
        <v>1540</v>
      </c>
      <c r="M10" s="757">
        <f ca="1">INDIRECT("'数据-取费表'!ai"&amp;$G$1)</f>
        <v>0</v>
      </c>
    </row>
    <row r="11" spans="1:25" ht="18" customHeight="1">
      <c r="A11" s="758"/>
      <c r="B11" s="3758"/>
      <c r="C11" s="1696"/>
      <c r="D11" s="1693"/>
      <c r="E11" s="61" t="s">
        <v>622</v>
      </c>
      <c r="F11" s="766">
        <f ca="1">INDIRECT("'数据-取费表'!w"&amp;$G$1)</f>
        <v>0</v>
      </c>
      <c r="G11" s="1482"/>
      <c r="H11" s="2310"/>
      <c r="I11" s="3757"/>
      <c r="J11" s="760"/>
      <c r="K11" s="761"/>
      <c r="L11" s="767" t="s">
        <v>1541</v>
      </c>
      <c r="M11" s="768">
        <f ca="1">INDIRECT("'数据-取费表'!ab"&amp;$G$1)</f>
        <v>0</v>
      </c>
    </row>
    <row r="12" spans="1:25" ht="18" customHeight="1">
      <c r="A12" s="1700" t="s">
        <v>1625</v>
      </c>
      <c r="B12" s="2299" t="s">
        <v>2238</v>
      </c>
      <c r="C12" s="771">
        <f ca="1">ROUND(IF(F12="押一",C8/12*F13,IF(F12="押二",C8/12*2*F13,IF(F12="押三",C8/12*3*F13,C13*F13))),0)</f>
        <v>0</v>
      </c>
      <c r="D12" s="2306" t="s">
        <v>2671</v>
      </c>
      <c r="E12" s="2303" t="s">
        <v>2243</v>
      </c>
      <c r="F12" s="2387"/>
      <c r="G12" s="1482"/>
      <c r="H12" s="2337" t="s">
        <v>1625</v>
      </c>
      <c r="I12" s="2342" t="s">
        <v>2238</v>
      </c>
      <c r="J12" s="755">
        <f ca="1">ROUND(IF(M12="押一",J8/12*M13,IF(M12="押二",J8/12*2*M13,IF(M12="押三",J8/12*3*M13,J13*M13))),0)</f>
        <v>0</v>
      </c>
      <c r="K12" s="2306" t="s">
        <v>2671</v>
      </c>
      <c r="L12" s="2303" t="s">
        <v>2243</v>
      </c>
      <c r="M12" s="2387"/>
    </row>
    <row r="13" spans="1:25" ht="18" customHeight="1">
      <c r="A13" s="762"/>
      <c r="B13" s="2300" t="s">
        <v>2291</v>
      </c>
      <c r="C13" s="2304"/>
      <c r="D13" s="761"/>
      <c r="E13" s="2303" t="s">
        <v>2236</v>
      </c>
      <c r="F13" s="768">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4">
        <f ca="1">ROUND(C31*F15,0)</f>
        <v>0</v>
      </c>
      <c r="D15" s="1704" t="s">
        <v>624</v>
      </c>
      <c r="E15" s="767" t="s">
        <v>625</v>
      </c>
      <c r="F15" s="772">
        <f ca="1">INDIRECT("'数据-取费表'!y"&amp;$G$1)</f>
        <v>0</v>
      </c>
      <c r="G15" s="1482"/>
      <c r="H15" s="1699" t="s">
        <v>1626</v>
      </c>
      <c r="I15" s="1697" t="s">
        <v>626</v>
      </c>
      <c r="J15" s="1689">
        <f ca="1">ROUND(J16*J17,0)</f>
        <v>0</v>
      </c>
      <c r="K15" s="1691" t="s">
        <v>624</v>
      </c>
      <c r="L15" s="773"/>
      <c r="M15" s="774"/>
    </row>
    <row r="16" spans="1:25" ht="18" customHeight="1">
      <c r="A16" s="775" t="s">
        <v>1671</v>
      </c>
      <c r="B16" s="756" t="s">
        <v>627</v>
      </c>
      <c r="C16" s="776">
        <f ca="1">INDIRECT("'数据-取费表'!m"&amp;$G$1)+INDIRECT("'数据-取费表'!t"&amp;$G$1)</f>
        <v>0</v>
      </c>
      <c r="D16" s="1847" t="s">
        <v>628</v>
      </c>
      <c r="E16" s="1848"/>
      <c r="F16" s="777"/>
      <c r="G16" s="1482"/>
      <c r="H16" s="775" t="s">
        <v>1861</v>
      </c>
      <c r="I16" s="2065" t="s">
        <v>2541</v>
      </c>
      <c r="J16" s="53">
        <f ca="1">C31</f>
        <v>0</v>
      </c>
      <c r="K16" s="26"/>
      <c r="L16" s="773"/>
      <c r="M16" s="774"/>
    </row>
    <row r="17" spans="1:25" s="1901" customFormat="1" ht="18" customHeight="1">
      <c r="A17" s="775" t="s">
        <v>1649</v>
      </c>
      <c r="B17" s="756" t="s">
        <v>629</v>
      </c>
      <c r="C17" s="53">
        <f ca="1">ROUND(C16*F17,0)</f>
        <v>0</v>
      </c>
      <c r="D17" s="778" t="s">
        <v>630</v>
      </c>
      <c r="E17" s="778" t="s">
        <v>631</v>
      </c>
      <c r="F17" s="779">
        <f>'数据-取费表'!B33</f>
        <v>0.03</v>
      </c>
      <c r="G17" s="1483"/>
      <c r="H17" s="775" t="s">
        <v>1862</v>
      </c>
      <c r="I17" s="756" t="s">
        <v>625</v>
      </c>
      <c r="J17" s="780">
        <f ca="1">INDIRECT("'数据-取费表'!ad"&amp;$G$1)</f>
        <v>0</v>
      </c>
      <c r="K17" s="26"/>
      <c r="L17" s="773"/>
      <c r="M17" s="774"/>
      <c r="N17" s="1900"/>
      <c r="O17" s="1900"/>
      <c r="P17" s="1900"/>
      <c r="Q17" s="1900"/>
      <c r="R17" s="1900"/>
      <c r="S17" s="1900"/>
      <c r="T17" s="1900"/>
      <c r="U17" s="1900"/>
      <c r="V17" s="1900"/>
      <c r="W17" s="1900"/>
      <c r="X17" s="1900"/>
      <c r="Y17" s="1900"/>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2"/>
      <c r="H18" s="769" t="s">
        <v>1627</v>
      </c>
      <c r="I18" s="770" t="s">
        <v>633</v>
      </c>
      <c r="J18" s="771">
        <f ca="1">ROUND(J19+J24+J25+J26,0)</f>
        <v>0</v>
      </c>
      <c r="K18" s="26" t="s">
        <v>634</v>
      </c>
      <c r="L18" s="1850"/>
      <c r="M18" s="56"/>
    </row>
    <row r="19" spans="1:25" s="1901" customFormat="1" ht="18" customHeight="1">
      <c r="A19" s="775" t="s">
        <v>1651</v>
      </c>
      <c r="B19" s="756" t="s">
        <v>635</v>
      </c>
      <c r="C19" s="53">
        <f ca="1">ROUND(F19*(INDIRECT("'数据-取费表'!k"&amp;$G$1)+INDIRECT("'数据-取费表'!S"&amp;$G$1))/10000,0)</f>
        <v>0</v>
      </c>
      <c r="D19" s="756" t="s">
        <v>636</v>
      </c>
      <c r="E19" s="756" t="s">
        <v>637</v>
      </c>
      <c r="F19" s="56">
        <f>'数据-取费表'!B35</f>
        <v>200</v>
      </c>
      <c r="G19" s="1483"/>
      <c r="H19" s="775" t="s">
        <v>1861</v>
      </c>
      <c r="I19" s="756"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5" t="s">
        <v>1652</v>
      </c>
      <c r="B20" s="756" t="s">
        <v>641</v>
      </c>
      <c r="C20" s="53">
        <f ca="1">ROUND(C16*F20,0)</f>
        <v>0</v>
      </c>
      <c r="D20" s="756" t="s">
        <v>630</v>
      </c>
      <c r="E20" s="756" t="s">
        <v>631</v>
      </c>
      <c r="F20" s="781">
        <f>'数据-取费表'!B36</f>
        <v>1.4999999999999999E-2</v>
      </c>
      <c r="G20" s="1483"/>
      <c r="H20" s="775" t="s">
        <v>1631</v>
      </c>
      <c r="I20" s="756" t="s">
        <v>642</v>
      </c>
      <c r="J20" s="53">
        <f ca="1">ROUND(J8*M20/(1+'数据-取费表'!C42),1)</f>
        <v>0</v>
      </c>
      <c r="K20" s="1845" t="s">
        <v>643</v>
      </c>
      <c r="L20" s="756" t="s">
        <v>631</v>
      </c>
      <c r="M20" s="781">
        <f>'数据-取费表'!B41</f>
        <v>5.5000000000000007E-2</v>
      </c>
      <c r="N20" s="1900"/>
      <c r="O20" s="1900"/>
      <c r="P20" s="1900"/>
      <c r="Q20" s="1900"/>
      <c r="R20" s="1900"/>
      <c r="S20" s="1900"/>
      <c r="T20" s="1900"/>
      <c r="U20" s="1900"/>
      <c r="V20" s="1900"/>
      <c r="W20" s="1900"/>
      <c r="X20" s="1900"/>
      <c r="Y20" s="1900"/>
    </row>
    <row r="21" spans="1:25" ht="18" customHeight="1">
      <c r="A21" s="775" t="s">
        <v>1672</v>
      </c>
      <c r="B21" s="756" t="s">
        <v>644</v>
      </c>
      <c r="C21" s="53">
        <f ca="1">SUM(C16:C20)</f>
        <v>0</v>
      </c>
      <c r="D21" s="258" t="s">
        <v>645</v>
      </c>
      <c r="E21" s="1850"/>
      <c r="F21" s="56"/>
      <c r="G21" s="1482"/>
      <c r="H21" s="1700"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1" customFormat="1" ht="18" customHeight="1">
      <c r="A22" s="775" t="s">
        <v>1673</v>
      </c>
      <c r="B22" s="756" t="s">
        <v>648</v>
      </c>
      <c r="C22" s="53">
        <f ca="1">ROUND(C21*F22,0)</f>
        <v>0</v>
      </c>
      <c r="D22" s="783" t="s">
        <v>649</v>
      </c>
      <c r="E22" s="756" t="s">
        <v>631</v>
      </c>
      <c r="F22" s="781">
        <f>'数据-取费表'!B37</f>
        <v>0.02</v>
      </c>
      <c r="G22" s="1483"/>
      <c r="H22" s="1702" t="s">
        <v>1650</v>
      </c>
      <c r="I22" s="1692" t="s">
        <v>650</v>
      </c>
      <c r="J22" s="54">
        <f ca="1">ROUND(M22*M23/10000,0)</f>
        <v>0</v>
      </c>
      <c r="K22" s="785" t="s">
        <v>651</v>
      </c>
      <c r="L22" s="756" t="s">
        <v>652</v>
      </c>
      <c r="M22" s="614">
        <f>'数据-取费表'!B52</f>
        <v>24</v>
      </c>
      <c r="N22" s="1900"/>
      <c r="O22" s="1900"/>
      <c r="P22" s="1900"/>
      <c r="Q22" s="1900"/>
      <c r="R22" s="1900"/>
      <c r="S22" s="1900"/>
      <c r="T22" s="1900"/>
      <c r="U22" s="1900"/>
      <c r="V22" s="1900"/>
      <c r="W22" s="1900"/>
      <c r="X22" s="1900"/>
      <c r="Y22" s="1900"/>
    </row>
    <row r="23" spans="1:25" s="1901" customFormat="1" ht="18" customHeight="1">
      <c r="A23" s="775" t="s">
        <v>1674</v>
      </c>
      <c r="B23" s="756" t="s">
        <v>653</v>
      </c>
      <c r="C23" s="53" t="s">
        <v>1</v>
      </c>
      <c r="D23" s="783" t="s">
        <v>654</v>
      </c>
      <c r="E23" s="756" t="s">
        <v>655</v>
      </c>
      <c r="F23" s="781">
        <f>'数据-取费表'!B38</f>
        <v>0.02</v>
      </c>
      <c r="G23" s="1483"/>
      <c r="H23" s="1703"/>
      <c r="I23" s="1694"/>
      <c r="J23" s="69"/>
      <c r="K23" s="787"/>
      <c r="L23" s="756" t="s">
        <v>656</v>
      </c>
      <c r="M23" s="757">
        <f ca="1">INDIRECT("'数据-取费表'!r"&amp;$G$1)</f>
        <v>0</v>
      </c>
      <c r="N23" s="1900"/>
      <c r="O23" s="1900"/>
      <c r="P23" s="1900"/>
      <c r="Q23" s="1900"/>
      <c r="R23" s="1900"/>
      <c r="S23" s="1900"/>
      <c r="T23" s="1900"/>
      <c r="U23" s="1900"/>
      <c r="V23" s="1900"/>
      <c r="W23" s="1900"/>
      <c r="X23" s="1900"/>
      <c r="Y23" s="1900"/>
    </row>
    <row r="24" spans="1:25" ht="18" customHeight="1">
      <c r="A24" s="775" t="s">
        <v>1675</v>
      </c>
      <c r="B24" s="756" t="s">
        <v>657</v>
      </c>
      <c r="C24" s="53"/>
      <c r="D24" s="2346" t="str">
        <f>IF(F25&lt;=1,"单利计息。","复利计息。")&amp;"建造成本、管理费用、销售费用产生的利息。"</f>
        <v>复利计息。建造成本、管理费用、销售费用产生的利息。</v>
      </c>
      <c r="E24" s="1850"/>
      <c r="F24" s="56"/>
      <c r="G24" s="1482"/>
      <c r="H24" s="1701" t="s">
        <v>1862</v>
      </c>
      <c r="I24" s="756" t="s">
        <v>658</v>
      </c>
      <c r="J24" s="53">
        <f ca="1">ROUND(J16*M24,0)</f>
        <v>0</v>
      </c>
      <c r="K24" s="1845" t="s">
        <v>659</v>
      </c>
      <c r="L24" s="756" t="s">
        <v>631</v>
      </c>
      <c r="M24" s="788">
        <f ca="1">INDIRECT("'数据-取费表'!Ak"&amp;$G$1)</f>
        <v>0</v>
      </c>
    </row>
    <row r="25" spans="1:25" s="1901" customFormat="1" ht="18" customHeight="1">
      <c r="A25" s="775" t="s">
        <v>1671</v>
      </c>
      <c r="B25" s="756" t="s">
        <v>2219</v>
      </c>
      <c r="C25" s="53">
        <f ca="1">ROUND(IF('数据-取费表'!B22&lt;=1,(C21+C22)*F26*F25/2,(C21+C22)*(POWER((1+F26),F25/2)-1)),0)</f>
        <v>0</v>
      </c>
      <c r="D25" s="2345" t="str">
        <f>IF(F25&lt;=1,"(建造成本+管理费用)×利率×(建设周期÷2)","(建造成本+管理费用)×((1+利率)^(建设周期÷2)-1)")</f>
        <v>(建造成本+管理费用)×((1+利率)^(建设周期÷2)-1)</v>
      </c>
      <c r="E25" s="756" t="s">
        <v>660</v>
      </c>
      <c r="F25" s="614">
        <f>'数据-取费表'!B20</f>
        <v>2</v>
      </c>
      <c r="G25" s="1483"/>
      <c r="H25" s="775" t="s">
        <v>1674</v>
      </c>
      <c r="I25" s="756" t="s">
        <v>661</v>
      </c>
      <c r="J25" s="53">
        <f ca="1">ROUND(J15*M25,0)</f>
        <v>0</v>
      </c>
      <c r="K25" s="1845" t="s">
        <v>662</v>
      </c>
      <c r="L25" s="756" t="s">
        <v>631</v>
      </c>
      <c r="M25" s="789">
        <f ca="1">INDIRECT("'数据-取费表'!Al"&amp;$G$1)</f>
        <v>0</v>
      </c>
      <c r="N25" s="1900"/>
      <c r="O25" s="1900"/>
      <c r="P25" s="1900"/>
      <c r="Q25" s="1900"/>
      <c r="R25" s="1900"/>
      <c r="S25" s="1900"/>
      <c r="T25" s="1900"/>
      <c r="U25" s="1900"/>
      <c r="V25" s="1900"/>
      <c r="W25" s="1900"/>
      <c r="X25" s="1900"/>
      <c r="Y25" s="1900"/>
    </row>
    <row r="26" spans="1:25" s="1901" customFormat="1" ht="18" customHeight="1">
      <c r="A26" s="775" t="s">
        <v>1649</v>
      </c>
      <c r="B26" s="756" t="s">
        <v>663</v>
      </c>
      <c r="C26" s="53">
        <f ca="1">ROUND(IF('数据-取费表'!B22&lt;=1,F23*F26*F25/2,F23*(POWER((1+F26),F25/2)-1)),4)</f>
        <v>8.0000000000000004E-4</v>
      </c>
      <c r="D26" s="2345" t="str">
        <f>IF(F25&lt;=1,"销售费用×利率×(建设周期÷2)","销售费用×((1+利率)^(建设周期÷2)-1)")</f>
        <v>销售费用×((1+利率)^(建设周期÷2)-1)</v>
      </c>
      <c r="E26" s="756" t="s">
        <v>664</v>
      </c>
      <c r="F26" s="790">
        <f ca="1">'数据-取费表'!B40</f>
        <v>4.1499999999999995E-2</v>
      </c>
      <c r="G26" s="1483"/>
      <c r="H26" s="775" t="s">
        <v>1675</v>
      </c>
      <c r="I26" s="756" t="s">
        <v>648</v>
      </c>
      <c r="J26" s="53">
        <f ca="1">ROUND(J7*M26,0)</f>
        <v>0</v>
      </c>
      <c r="K26" s="1845" t="s">
        <v>665</v>
      </c>
      <c r="L26" s="756" t="s">
        <v>631</v>
      </c>
      <c r="M26" s="766">
        <f ca="1">INDIRECT("'数据-取费表'!Am"&amp;$G$1)</f>
        <v>0</v>
      </c>
      <c r="N26" s="1900"/>
      <c r="O26" s="1900"/>
      <c r="P26" s="1900"/>
      <c r="Q26" s="1900"/>
      <c r="R26" s="1900"/>
      <c r="S26" s="1900"/>
      <c r="T26" s="1900"/>
      <c r="U26" s="1900"/>
      <c r="V26" s="1900"/>
      <c r="W26" s="1900"/>
      <c r="X26" s="1900"/>
      <c r="Y26" s="1900"/>
    </row>
    <row r="27" spans="1:25" ht="18" customHeight="1">
      <c r="A27" s="775" t="s">
        <v>1677</v>
      </c>
      <c r="B27" s="756" t="s">
        <v>666</v>
      </c>
      <c r="C27" s="53"/>
      <c r="D27" s="258" t="s">
        <v>667</v>
      </c>
      <c r="E27" s="1850"/>
      <c r="F27" s="56"/>
      <c r="G27" s="1482"/>
      <c r="H27" s="769" t="s">
        <v>1628</v>
      </c>
      <c r="I27" s="2645" t="s">
        <v>2538</v>
      </c>
      <c r="J27" s="771">
        <f ca="1">J7-J18</f>
        <v>0</v>
      </c>
      <c r="K27" s="1847" t="s">
        <v>682</v>
      </c>
      <c r="L27" s="1849"/>
      <c r="M27" s="791"/>
    </row>
    <row r="28" spans="1:25" ht="18" customHeight="1">
      <c r="A28" s="775" t="s">
        <v>1671</v>
      </c>
      <c r="B28" s="756" t="s">
        <v>2220</v>
      </c>
      <c r="C28" s="53">
        <f ca="1">ROUND((C21+C22)*F28,0)</f>
        <v>0</v>
      </c>
      <c r="D28" s="783" t="s">
        <v>683</v>
      </c>
      <c r="E28" s="767" t="s">
        <v>684</v>
      </c>
      <c r="F28" s="766">
        <f ca="1">INDIRECT("'数据-取费表'!q"&amp;$G$1)</f>
        <v>0</v>
      </c>
      <c r="G28" s="1482"/>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2"/>
      <c r="H29" s="758"/>
      <c r="I29" s="759"/>
      <c r="J29" s="760"/>
      <c r="K29" s="792" t="s">
        <v>689</v>
      </c>
      <c r="L29" s="756" t="s">
        <v>690</v>
      </c>
      <c r="M29" s="793">
        <f ca="1">INDIRECT("'数据-取费表'!ag"&amp;$G$1)</f>
        <v>0</v>
      </c>
    </row>
    <row r="30" spans="1:25" s="1901" customFormat="1" ht="18" customHeight="1">
      <c r="A30" s="775" t="s">
        <v>1678</v>
      </c>
      <c r="B30" s="756" t="s">
        <v>669</v>
      </c>
      <c r="C30" s="53">
        <f>ROUND(F30/(1+'数据-取费表'!C42),4)</f>
        <v>5.2400000000000002E-2</v>
      </c>
      <c r="D30" s="783" t="s">
        <v>691</v>
      </c>
      <c r="E30" s="756" t="s">
        <v>631</v>
      </c>
      <c r="F30" s="781">
        <f>'数据-取费表'!B41</f>
        <v>5.5000000000000007E-2</v>
      </c>
      <c r="G30" s="1483"/>
      <c r="H30" s="762"/>
      <c r="I30" s="763"/>
      <c r="J30" s="764"/>
      <c r="K30" s="787"/>
      <c r="L30" s="756" t="s">
        <v>692</v>
      </c>
      <c r="M30" s="766">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4" t="s">
        <v>1668</v>
      </c>
      <c r="I31" s="2646" t="s">
        <v>2540</v>
      </c>
      <c r="J31" s="796">
        <f ca="1">ROUND(J28/(1+F45)^F46,0)</f>
        <v>0</v>
      </c>
      <c r="K31" s="797" t="s">
        <v>670</v>
      </c>
      <c r="L31" s="798"/>
      <c r="M31" s="799">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4">
        <f ca="1">ROUND(C33+C38+C39+C40,0)</f>
        <v>0</v>
      </c>
      <c r="D32" s="1691" t="s">
        <v>634</v>
      </c>
      <c r="E32" s="2292"/>
      <c r="F32" s="2296"/>
      <c r="G32" s="1899"/>
      <c r="H32" s="1902"/>
      <c r="I32" s="1903"/>
      <c r="J32" s="1904"/>
      <c r="K32" s="1905"/>
      <c r="L32" s="1906"/>
      <c r="M32" s="1907"/>
    </row>
    <row r="33" spans="1:18" ht="18" customHeight="1">
      <c r="A33" s="775" t="s">
        <v>1672</v>
      </c>
      <c r="B33" s="756"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5" t="s">
        <v>1671</v>
      </c>
      <c r="B34" s="756" t="s">
        <v>642</v>
      </c>
      <c r="C34" s="53">
        <f ca="1">ROUND(C8*F34/(1+'数据-取费表'!C42),1)</f>
        <v>0</v>
      </c>
      <c r="D34" s="1845" t="s">
        <v>643</v>
      </c>
      <c r="E34" s="756" t="s">
        <v>631</v>
      </c>
      <c r="F34" s="781">
        <f>'数据-取费表'!B41</f>
        <v>5.5000000000000007E-2</v>
      </c>
      <c r="G34" s="1899"/>
      <c r="H34" s="1908"/>
      <c r="I34" s="1909"/>
      <c r="J34" s="1910"/>
      <c r="K34" s="1911"/>
      <c r="L34" s="1912"/>
      <c r="M34" s="1913"/>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9"/>
      <c r="H35" s="1914"/>
      <c r="I35" s="1914"/>
      <c r="J35" s="1914"/>
      <c r="K35" s="1915"/>
      <c r="L35" s="1914"/>
      <c r="M35" s="1914"/>
    </row>
    <row r="36" spans="1:18" ht="18" customHeight="1">
      <c r="A36" s="784" t="s">
        <v>1676</v>
      </c>
      <c r="B36" s="338" t="s">
        <v>650</v>
      </c>
      <c r="C36" s="54">
        <f ca="1">ROUND(F36*F37/10000,1)</f>
        <v>0</v>
      </c>
      <c r="D36" s="785" t="s">
        <v>651</v>
      </c>
      <c r="E36" s="756" t="s">
        <v>652</v>
      </c>
      <c r="F36" s="614">
        <f>'数据-取费表'!B52</f>
        <v>24</v>
      </c>
      <c r="G36" s="1899"/>
      <c r="H36" s="1902"/>
      <c r="I36" s="3754"/>
      <c r="J36" s="1916"/>
      <c r="K36" s="1917"/>
      <c r="L36" s="1916"/>
      <c r="M36" s="1916"/>
    </row>
    <row r="37" spans="1:18" ht="18" customHeight="1">
      <c r="A37" s="786"/>
      <c r="B37" s="765"/>
      <c r="C37" s="69"/>
      <c r="D37" s="787"/>
      <c r="E37" s="756" t="s">
        <v>656</v>
      </c>
      <c r="F37" s="757">
        <f ca="1">INDIRECT("'数据-取费表'!r"&amp;$G$1)</f>
        <v>0</v>
      </c>
      <c r="G37" s="1899"/>
      <c r="H37" s="1902"/>
      <c r="I37" s="3754"/>
      <c r="J37" s="1914"/>
      <c r="K37" s="1915"/>
      <c r="L37" s="1914"/>
      <c r="M37" s="1914"/>
    </row>
    <row r="38" spans="1:18" ht="18" customHeight="1">
      <c r="A38" s="775" t="s">
        <v>1673</v>
      </c>
      <c r="B38" s="756" t="s">
        <v>658</v>
      </c>
      <c r="C38" s="53">
        <f ca="1">ROUND(C31*F38,1)</f>
        <v>0</v>
      </c>
      <c r="D38" s="1845" t="s">
        <v>673</v>
      </c>
      <c r="E38" s="756" t="s">
        <v>631</v>
      </c>
      <c r="F38" s="788">
        <f ca="1">INDIRECT("'数据-取费表'!Ak"&amp;$G$1)</f>
        <v>0</v>
      </c>
      <c r="G38" s="1899"/>
      <c r="H38" s="1914"/>
      <c r="I38" s="2930"/>
      <c r="J38" s="1854"/>
      <c r="K38" s="1918"/>
      <c r="L38" s="1914"/>
      <c r="M38" s="1914"/>
    </row>
    <row r="39" spans="1:18" ht="18" customHeight="1">
      <c r="A39" s="775" t="s">
        <v>1674</v>
      </c>
      <c r="B39" s="756" t="s">
        <v>661</v>
      </c>
      <c r="C39" s="53">
        <f ca="1">ROUND(C15*F39,1)</f>
        <v>0</v>
      </c>
      <c r="D39" s="1845" t="s">
        <v>662</v>
      </c>
      <c r="E39" s="756" t="s">
        <v>631</v>
      </c>
      <c r="F39" s="789">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5" t="s">
        <v>1672</v>
      </c>
      <c r="B42" s="806" t="s">
        <v>675</v>
      </c>
      <c r="C42" s="800">
        <f ca="1">C7-C32</f>
        <v>0</v>
      </c>
      <c r="D42" s="1847" t="s">
        <v>676</v>
      </c>
      <c r="E42" s="1849"/>
      <c r="F42" s="791"/>
      <c r="G42" s="1899"/>
      <c r="H42" s="1899"/>
      <c r="I42" s="1899"/>
      <c r="J42" s="1899"/>
      <c r="K42" s="1919"/>
      <c r="L42" s="1899"/>
      <c r="M42" s="1899"/>
    </row>
    <row r="43" spans="1:18" ht="18" customHeight="1">
      <c r="A43" s="775" t="s">
        <v>1673</v>
      </c>
      <c r="B43" s="806" t="s">
        <v>693</v>
      </c>
      <c r="C43" s="807">
        <f ca="1">ROUND(C15*F43,0)</f>
        <v>0</v>
      </c>
      <c r="D43" s="1264" t="s">
        <v>694</v>
      </c>
      <c r="E43" s="2713" t="s">
        <v>2661</v>
      </c>
      <c r="F43" s="2714">
        <f ca="1">INDIRECT("'数据-取费表'!j"&amp;$G$1)</f>
        <v>0</v>
      </c>
      <c r="G43" s="1899"/>
      <c r="H43" s="1899"/>
      <c r="I43" s="1899"/>
      <c r="J43" s="1899"/>
      <c r="K43" s="1919"/>
      <c r="L43" s="1899"/>
      <c r="M43" s="1899"/>
    </row>
    <row r="44" spans="1:18" ht="18" customHeight="1">
      <c r="A44" s="775" t="s">
        <v>1674</v>
      </c>
      <c r="B44" s="806" t="s">
        <v>695</v>
      </c>
      <c r="C44" s="1265">
        <f ca="1">C42-C43</f>
        <v>0</v>
      </c>
      <c r="D44" s="455" t="s">
        <v>696</v>
      </c>
      <c r="E44" s="456"/>
      <c r="F44" s="457"/>
      <c r="G44" s="1899"/>
      <c r="H44" s="1899"/>
      <c r="I44" s="1899"/>
      <c r="J44" s="1899"/>
      <c r="K44" s="1919"/>
      <c r="L44" s="1899"/>
      <c r="M44" s="1899"/>
    </row>
    <row r="45" spans="1:18" ht="18" customHeight="1">
      <c r="A45" s="775" t="s">
        <v>1675</v>
      </c>
      <c r="B45" s="1264" t="s">
        <v>697</v>
      </c>
      <c r="C45" s="2670">
        <f ca="1">ROUND(-PV(F45,F46,C44,0),0)</f>
        <v>0</v>
      </c>
      <c r="D45" s="1266" t="s">
        <v>698</v>
      </c>
      <c r="E45" s="778" t="s">
        <v>699</v>
      </c>
      <c r="F45" s="801">
        <f ca="1">INDIRECT("'数据-取费表'!h"&amp;$G$1)</f>
        <v>0</v>
      </c>
      <c r="G45" s="1899"/>
      <c r="H45" s="1899"/>
      <c r="I45" s="1899"/>
      <c r="J45" s="1899"/>
      <c r="K45" s="1919"/>
      <c r="L45" s="1899"/>
      <c r="M45" s="1899"/>
    </row>
    <row r="46" spans="1:18" ht="18" customHeight="1" thickBot="1">
      <c r="A46" s="802"/>
      <c r="B46" s="1267"/>
      <c r="C46" s="1268"/>
      <c r="D46" s="1269"/>
      <c r="E46" s="2715" t="s">
        <v>2664</v>
      </c>
      <c r="F46" s="799">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59"/>
      <c r="L54" s="3760"/>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7">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9" workbookViewId="0">
      <selection activeCell="R38" sqref="R38"/>
    </sheetView>
  </sheetViews>
  <sheetFormatPr defaultRowHeight="13.5"/>
  <cols>
    <col min="1" max="1" width="18.875" customWidth="1"/>
    <col min="6" max="6" width="26.75" customWidth="1"/>
  </cols>
  <sheetData>
    <row r="1" spans="1:18">
      <c r="A1" s="3447" t="s">
        <v>3118</v>
      </c>
      <c r="B1" s="3447" t="s">
        <v>3119</v>
      </c>
      <c r="C1" s="3447" t="s">
        <v>3120</v>
      </c>
      <c r="D1" s="3447" t="s">
        <v>3121</v>
      </c>
      <c r="E1" s="3447" t="s">
        <v>3122</v>
      </c>
      <c r="F1" s="3447" t="s">
        <v>1824</v>
      </c>
      <c r="G1" s="3447" t="s">
        <v>3123</v>
      </c>
      <c r="H1" s="3447" t="s">
        <v>3124</v>
      </c>
      <c r="I1" s="3447" t="s">
        <v>3125</v>
      </c>
      <c r="J1" s="3447" t="s">
        <v>3126</v>
      </c>
      <c r="K1" s="3447" t="s">
        <v>3127</v>
      </c>
      <c r="L1" s="3447" t="s">
        <v>3128</v>
      </c>
      <c r="M1" s="3447" t="s">
        <v>3129</v>
      </c>
      <c r="N1" s="3447" t="s">
        <v>3130</v>
      </c>
      <c r="O1" s="3447" t="s">
        <v>3131</v>
      </c>
      <c r="P1" s="3447" t="s">
        <v>3132</v>
      </c>
      <c r="Q1" s="3447" t="s">
        <v>3133</v>
      </c>
    </row>
    <row r="2" spans="1:18">
      <c r="A2" s="3447" t="s">
        <v>3134</v>
      </c>
      <c r="B2" s="3447" t="s">
        <v>3135</v>
      </c>
      <c r="C2" s="3447" t="s">
        <v>3136</v>
      </c>
      <c r="D2" s="3447">
        <v>3476</v>
      </c>
      <c r="E2" s="3447">
        <v>5214</v>
      </c>
      <c r="F2" s="3447" t="s">
        <v>3137</v>
      </c>
      <c r="G2" s="3447" t="s">
        <v>3138</v>
      </c>
      <c r="H2" s="3447" t="s">
        <v>3139</v>
      </c>
      <c r="I2" s="3447">
        <v>0</v>
      </c>
      <c r="J2" s="3447" t="s">
        <v>3140</v>
      </c>
      <c r="K2" s="3447" t="s">
        <v>3140</v>
      </c>
      <c r="L2" s="3447">
        <v>373</v>
      </c>
      <c r="M2" s="3447">
        <v>373</v>
      </c>
      <c r="N2" s="3447">
        <v>715.38</v>
      </c>
      <c r="O2" s="3447">
        <v>0</v>
      </c>
      <c r="P2" s="3447" t="s">
        <v>3141</v>
      </c>
      <c r="Q2" s="3447" t="s">
        <v>3142</v>
      </c>
      <c r="R2" s="3449">
        <f t="shared" ref="R2:R4" si="0">ROUND(M2/D2*10000,0)</f>
        <v>1073</v>
      </c>
    </row>
    <row r="3" spans="1:18">
      <c r="A3" s="3447" t="s">
        <v>3143</v>
      </c>
      <c r="B3" s="3447" t="s">
        <v>3135</v>
      </c>
      <c r="C3" s="3447" t="s">
        <v>3136</v>
      </c>
      <c r="D3" s="3447">
        <v>4957</v>
      </c>
      <c r="E3" s="3447">
        <v>9914</v>
      </c>
      <c r="F3" s="3447" t="s">
        <v>3144</v>
      </c>
      <c r="G3" s="3447" t="s">
        <v>3138</v>
      </c>
      <c r="H3" s="3447" t="s">
        <v>3139</v>
      </c>
      <c r="I3" s="3447">
        <v>0</v>
      </c>
      <c r="J3" s="3447" t="s">
        <v>3140</v>
      </c>
      <c r="K3" s="3447" t="s">
        <v>3140</v>
      </c>
      <c r="L3" s="3447">
        <v>610</v>
      </c>
      <c r="M3" s="3447">
        <v>610</v>
      </c>
      <c r="N3" s="3447">
        <v>615.29</v>
      </c>
      <c r="O3" s="3447">
        <v>0</v>
      </c>
      <c r="P3" s="3447" t="s">
        <v>3141</v>
      </c>
      <c r="Q3" s="3447" t="s">
        <v>3142</v>
      </c>
      <c r="R3" s="3449">
        <f t="shared" si="0"/>
        <v>1231</v>
      </c>
    </row>
    <row r="4" spans="1:18">
      <c r="A4" s="3447" t="s">
        <v>3145</v>
      </c>
      <c r="B4" s="3447" t="s">
        <v>3135</v>
      </c>
      <c r="C4" s="3447" t="s">
        <v>3136</v>
      </c>
      <c r="D4" s="3447">
        <v>7522</v>
      </c>
      <c r="E4" s="3447">
        <v>15044</v>
      </c>
      <c r="F4" s="3447" t="s">
        <v>3146</v>
      </c>
      <c r="G4" s="3447" t="s">
        <v>3138</v>
      </c>
      <c r="H4" s="3447" t="s">
        <v>2905</v>
      </c>
      <c r="I4" s="3447">
        <v>0</v>
      </c>
      <c r="J4" s="3447" t="s">
        <v>3140</v>
      </c>
      <c r="K4" s="3447" t="s">
        <v>3140</v>
      </c>
      <c r="L4" s="3447">
        <v>996</v>
      </c>
      <c r="M4" s="3447">
        <v>996</v>
      </c>
      <c r="N4" s="3447">
        <v>662.06</v>
      </c>
      <c r="O4" s="3447">
        <v>0</v>
      </c>
      <c r="P4" s="3447" t="s">
        <v>3147</v>
      </c>
      <c r="Q4" s="3447" t="s">
        <v>3142</v>
      </c>
      <c r="R4" s="3449">
        <f t="shared" si="0"/>
        <v>1324</v>
      </c>
    </row>
    <row r="5" spans="1:18" s="3451" customFormat="1">
      <c r="A5" s="3450" t="s">
        <v>3148</v>
      </c>
      <c r="B5" s="3450" t="s">
        <v>3135</v>
      </c>
      <c r="C5" s="3450" t="s">
        <v>3136</v>
      </c>
      <c r="D5" s="3450">
        <v>3546.74</v>
      </c>
      <c r="E5" s="3450">
        <v>4965.4399999999996</v>
      </c>
      <c r="F5" s="3450" t="s">
        <v>3149</v>
      </c>
      <c r="G5" s="3450" t="s">
        <v>3138</v>
      </c>
      <c r="H5" s="3450" t="s">
        <v>3139</v>
      </c>
      <c r="I5" s="3450">
        <v>0</v>
      </c>
      <c r="J5" s="3450" t="s">
        <v>3140</v>
      </c>
      <c r="K5" s="3450" t="s">
        <v>3140</v>
      </c>
      <c r="L5" s="3450">
        <v>597</v>
      </c>
      <c r="M5" s="3450">
        <v>597</v>
      </c>
      <c r="N5" s="3450">
        <v>1202.31</v>
      </c>
      <c r="O5" s="3450">
        <v>0</v>
      </c>
      <c r="P5" s="3450" t="s">
        <v>3150</v>
      </c>
      <c r="Q5" s="3450" t="s">
        <v>3142</v>
      </c>
      <c r="R5" s="3451">
        <f>ROUND(M5/D5*10000,0)</f>
        <v>1683</v>
      </c>
    </row>
    <row r="6" spans="1:18">
      <c r="A6" s="3447" t="s">
        <v>3151</v>
      </c>
      <c r="B6" s="3447" t="s">
        <v>3135</v>
      </c>
      <c r="C6" s="3447" t="s">
        <v>3136</v>
      </c>
      <c r="D6" s="3447">
        <v>37944</v>
      </c>
      <c r="E6" s="3447">
        <v>75888</v>
      </c>
      <c r="F6" s="3447" t="s">
        <v>3152</v>
      </c>
      <c r="G6" s="3447" t="s">
        <v>3138</v>
      </c>
      <c r="H6" s="3447" t="s">
        <v>3139</v>
      </c>
      <c r="I6" s="3447">
        <v>0</v>
      </c>
      <c r="J6" s="3447" t="s">
        <v>3153</v>
      </c>
      <c r="K6" s="3447" t="s">
        <v>3153</v>
      </c>
      <c r="L6" s="3447">
        <v>11385</v>
      </c>
      <c r="M6" s="3447">
        <v>11385</v>
      </c>
      <c r="N6" s="3447">
        <v>1500.24</v>
      </c>
      <c r="O6" s="3447">
        <v>0</v>
      </c>
      <c r="P6" s="3447" t="s">
        <v>3154</v>
      </c>
      <c r="Q6" s="3447" t="s">
        <v>3155</v>
      </c>
      <c r="R6" s="3449">
        <f t="shared" ref="R6:R48" si="1">ROUND(M6/D6*10000,0)</f>
        <v>3000</v>
      </c>
    </row>
    <row r="7" spans="1:18">
      <c r="A7" s="3447" t="s">
        <v>3156</v>
      </c>
      <c r="B7" s="3447" t="s">
        <v>3135</v>
      </c>
      <c r="C7" s="3447" t="s">
        <v>3136</v>
      </c>
      <c r="D7" s="3447">
        <v>9780</v>
      </c>
      <c r="E7" s="3447">
        <v>25428</v>
      </c>
      <c r="F7" s="3447" t="s">
        <v>3157</v>
      </c>
      <c r="G7" s="3447" t="s">
        <v>3138</v>
      </c>
      <c r="H7" s="3447" t="s">
        <v>2905</v>
      </c>
      <c r="I7" s="3447">
        <v>0</v>
      </c>
      <c r="J7" s="3447" t="s">
        <v>3158</v>
      </c>
      <c r="K7" s="3447" t="s">
        <v>3158</v>
      </c>
      <c r="L7" s="3447">
        <v>1533</v>
      </c>
      <c r="M7" s="3447">
        <v>1533</v>
      </c>
      <c r="N7" s="3447">
        <v>602.88</v>
      </c>
      <c r="O7" s="3447">
        <v>0</v>
      </c>
      <c r="P7" s="3447" t="s">
        <v>3159</v>
      </c>
      <c r="Q7" s="3447" t="s">
        <v>3142</v>
      </c>
      <c r="R7" s="3449">
        <f t="shared" si="1"/>
        <v>1567</v>
      </c>
    </row>
    <row r="8" spans="1:18">
      <c r="A8" s="3447" t="s">
        <v>3160</v>
      </c>
      <c r="B8" s="3447" t="s">
        <v>3135</v>
      </c>
      <c r="C8" s="3447" t="s">
        <v>3136</v>
      </c>
      <c r="D8" s="3447">
        <v>2251</v>
      </c>
      <c r="E8" s="3447">
        <v>3601.6</v>
      </c>
      <c r="F8" s="3447" t="s">
        <v>3161</v>
      </c>
      <c r="G8" s="3447" t="s">
        <v>3138</v>
      </c>
      <c r="H8" s="3447" t="s">
        <v>2905</v>
      </c>
      <c r="I8" s="3447">
        <v>0</v>
      </c>
      <c r="J8" s="3447" t="s">
        <v>3162</v>
      </c>
      <c r="K8" s="3447" t="s">
        <v>3162</v>
      </c>
      <c r="L8" s="3447">
        <v>663</v>
      </c>
      <c r="M8" s="3447">
        <v>1313</v>
      </c>
      <c r="N8" s="3447">
        <v>3645.6</v>
      </c>
      <c r="O8" s="3447">
        <v>98.04</v>
      </c>
      <c r="P8" s="3447" t="s">
        <v>3163</v>
      </c>
      <c r="Q8" s="3447" t="s">
        <v>3155</v>
      </c>
      <c r="R8" s="3449">
        <f t="shared" si="1"/>
        <v>5833</v>
      </c>
    </row>
    <row r="9" spans="1:18" s="3449" customFormat="1">
      <c r="A9" s="3448" t="s">
        <v>3164</v>
      </c>
      <c r="B9" s="3448" t="s">
        <v>3135</v>
      </c>
      <c r="C9" s="3448" t="s">
        <v>3136</v>
      </c>
      <c r="D9" s="3448">
        <v>2388</v>
      </c>
      <c r="E9" s="3448">
        <v>5731.2</v>
      </c>
      <c r="F9" s="3448" t="s">
        <v>3165</v>
      </c>
      <c r="G9" s="3448" t="s">
        <v>3138</v>
      </c>
      <c r="H9" s="3448" t="s">
        <v>2911</v>
      </c>
      <c r="I9" s="3448">
        <v>0</v>
      </c>
      <c r="J9" s="3448" t="s">
        <v>3162</v>
      </c>
      <c r="K9" s="3448" t="s">
        <v>3162</v>
      </c>
      <c r="L9" s="3448">
        <v>855</v>
      </c>
      <c r="M9" s="3448">
        <v>855</v>
      </c>
      <c r="N9" s="3448">
        <v>1491.83</v>
      </c>
      <c r="O9" s="3448">
        <v>0</v>
      </c>
      <c r="P9" s="3448" t="s">
        <v>3166</v>
      </c>
      <c r="Q9" s="3448" t="s">
        <v>3142</v>
      </c>
      <c r="R9" s="3449">
        <f t="shared" si="1"/>
        <v>3580</v>
      </c>
    </row>
    <row r="10" spans="1:18">
      <c r="A10" s="3447" t="s">
        <v>3167</v>
      </c>
      <c r="B10" s="3447" t="s">
        <v>3135</v>
      </c>
      <c r="C10" s="3447" t="s">
        <v>3136</v>
      </c>
      <c r="D10" s="3447">
        <v>13250</v>
      </c>
      <c r="E10" s="3447">
        <v>19875</v>
      </c>
      <c r="F10" s="3447" t="s">
        <v>3168</v>
      </c>
      <c r="G10" s="3447" t="s">
        <v>3138</v>
      </c>
      <c r="H10" s="3447" t="s">
        <v>3139</v>
      </c>
      <c r="I10" s="3447" t="s">
        <v>3169</v>
      </c>
      <c r="J10" s="3447" t="s">
        <v>3170</v>
      </c>
      <c r="K10" s="3447" t="s">
        <v>3170</v>
      </c>
      <c r="L10" s="3447">
        <v>1590</v>
      </c>
      <c r="M10" s="3447">
        <v>1590</v>
      </c>
      <c r="N10" s="3447">
        <v>800</v>
      </c>
      <c r="O10" s="3447">
        <v>0</v>
      </c>
      <c r="P10" s="3447" t="s">
        <v>3171</v>
      </c>
      <c r="Q10" s="3447" t="s">
        <v>3142</v>
      </c>
      <c r="R10" s="3449">
        <f t="shared" si="1"/>
        <v>1200</v>
      </c>
    </row>
    <row r="11" spans="1:18">
      <c r="A11" s="3447" t="s">
        <v>3167</v>
      </c>
      <c r="B11" s="3447" t="s">
        <v>3135</v>
      </c>
      <c r="C11" s="3447" t="s">
        <v>3136</v>
      </c>
      <c r="D11" s="3447">
        <v>19094</v>
      </c>
      <c r="E11" s="3447">
        <v>28641</v>
      </c>
      <c r="F11" s="3447" t="s">
        <v>3168</v>
      </c>
      <c r="G11" s="3447" t="s">
        <v>3138</v>
      </c>
      <c r="H11" s="3447" t="s">
        <v>3139</v>
      </c>
      <c r="I11" s="3447" t="s">
        <v>3169</v>
      </c>
      <c r="J11" s="3447" t="s">
        <v>3170</v>
      </c>
      <c r="K11" s="3447" t="s">
        <v>3170</v>
      </c>
      <c r="L11" s="3447">
        <v>2292</v>
      </c>
      <c r="M11" s="3447">
        <v>2292</v>
      </c>
      <c r="N11" s="3447">
        <v>800.25</v>
      </c>
      <c r="O11" s="3447">
        <v>0</v>
      </c>
      <c r="P11" s="3447" t="s">
        <v>3171</v>
      </c>
      <c r="Q11" s="3447" t="s">
        <v>3142</v>
      </c>
      <c r="R11" s="3449">
        <f t="shared" si="1"/>
        <v>1200</v>
      </c>
    </row>
    <row r="12" spans="1:18">
      <c r="A12" s="3447" t="s">
        <v>3172</v>
      </c>
      <c r="B12" s="3447" t="s">
        <v>3135</v>
      </c>
      <c r="C12" s="3447" t="s">
        <v>3136</v>
      </c>
      <c r="D12" s="3447">
        <v>324.61</v>
      </c>
      <c r="E12" s="3447">
        <v>973.83</v>
      </c>
      <c r="F12" s="3447" t="s">
        <v>3173</v>
      </c>
      <c r="G12" s="3447" t="s">
        <v>3138</v>
      </c>
      <c r="H12" s="3447" t="s">
        <v>3139</v>
      </c>
      <c r="I12" s="3447">
        <v>0</v>
      </c>
      <c r="J12" s="3447" t="s">
        <v>3174</v>
      </c>
      <c r="K12" s="3447" t="s">
        <v>3174</v>
      </c>
      <c r="L12" s="3447">
        <v>86</v>
      </c>
      <c r="M12" s="3447">
        <v>86</v>
      </c>
      <c r="N12" s="3447">
        <v>883.11</v>
      </c>
      <c r="O12" s="3447">
        <v>0</v>
      </c>
      <c r="P12" s="3447" t="s">
        <v>3175</v>
      </c>
      <c r="Q12" s="3447" t="s">
        <v>3142</v>
      </c>
      <c r="R12" s="3449">
        <f t="shared" si="1"/>
        <v>2649</v>
      </c>
    </row>
    <row r="13" spans="1:18">
      <c r="A13" s="3447" t="s">
        <v>3176</v>
      </c>
      <c r="B13" s="3447" t="s">
        <v>3135</v>
      </c>
      <c r="C13" s="3447" t="s">
        <v>3136</v>
      </c>
      <c r="D13" s="3447">
        <v>18284</v>
      </c>
      <c r="E13" s="3447">
        <v>47538.400000000001</v>
      </c>
      <c r="F13" s="3447" t="s">
        <v>3177</v>
      </c>
      <c r="G13" s="3447" t="s">
        <v>3138</v>
      </c>
      <c r="H13" s="3447" t="s">
        <v>3139</v>
      </c>
      <c r="I13" s="3447">
        <v>0</v>
      </c>
      <c r="J13" s="3447" t="s">
        <v>3178</v>
      </c>
      <c r="K13" s="3447" t="s">
        <v>3178</v>
      </c>
      <c r="L13" s="3447">
        <v>3182</v>
      </c>
      <c r="M13" s="3447">
        <v>4982</v>
      </c>
      <c r="N13" s="3447">
        <v>1047.99</v>
      </c>
      <c r="O13" s="3447">
        <v>56.57</v>
      </c>
      <c r="P13" s="3447" t="s">
        <v>3179</v>
      </c>
      <c r="Q13" s="3447" t="s">
        <v>3142</v>
      </c>
      <c r="R13" s="3449">
        <f t="shared" si="1"/>
        <v>2725</v>
      </c>
    </row>
    <row r="14" spans="1:18">
      <c r="A14" s="3447" t="s">
        <v>3180</v>
      </c>
      <c r="B14" s="3447" t="s">
        <v>3135</v>
      </c>
      <c r="C14" s="3447" t="s">
        <v>3136</v>
      </c>
      <c r="D14" s="3447">
        <v>19729</v>
      </c>
      <c r="E14" s="3447">
        <v>35512.199999999997</v>
      </c>
      <c r="F14" s="3447" t="s">
        <v>3181</v>
      </c>
      <c r="G14" s="3447" t="s">
        <v>3138</v>
      </c>
      <c r="H14" s="3447" t="s">
        <v>3139</v>
      </c>
      <c r="I14" s="3447">
        <v>0</v>
      </c>
      <c r="J14" s="3447" t="s">
        <v>3182</v>
      </c>
      <c r="K14" s="3447" t="s">
        <v>3182</v>
      </c>
      <c r="L14" s="3447">
        <v>5920</v>
      </c>
      <c r="M14" s="3447">
        <v>5920</v>
      </c>
      <c r="N14" s="3447">
        <v>1667.03</v>
      </c>
      <c r="O14" s="3447">
        <v>0</v>
      </c>
      <c r="P14" s="3447" t="s">
        <v>3154</v>
      </c>
      <c r="Q14" s="3447" t="s">
        <v>3155</v>
      </c>
      <c r="R14" s="3449">
        <f t="shared" si="1"/>
        <v>3001</v>
      </c>
    </row>
    <row r="15" spans="1:18">
      <c r="A15" s="3447" t="s">
        <v>3183</v>
      </c>
      <c r="B15" s="3447" t="s">
        <v>3135</v>
      </c>
      <c r="C15" s="3447" t="s">
        <v>3136</v>
      </c>
      <c r="D15" s="3447">
        <v>16054</v>
      </c>
      <c r="E15" s="3447">
        <v>28897.200000000001</v>
      </c>
      <c r="F15" s="3447" t="s">
        <v>3184</v>
      </c>
      <c r="G15" s="3447" t="s">
        <v>3138</v>
      </c>
      <c r="H15" s="3447" t="s">
        <v>3139</v>
      </c>
      <c r="I15" s="3447">
        <v>0</v>
      </c>
      <c r="J15" s="3447" t="s">
        <v>3182</v>
      </c>
      <c r="K15" s="3447" t="s">
        <v>3182</v>
      </c>
      <c r="L15" s="3447">
        <v>4820</v>
      </c>
      <c r="M15" s="3447">
        <v>4820</v>
      </c>
      <c r="N15" s="3447">
        <v>1667.98</v>
      </c>
      <c r="O15" s="3447">
        <v>0</v>
      </c>
      <c r="P15" s="3447" t="s">
        <v>3154</v>
      </c>
      <c r="Q15" s="3447" t="s">
        <v>3155</v>
      </c>
      <c r="R15" s="3449">
        <f t="shared" si="1"/>
        <v>3002</v>
      </c>
    </row>
    <row r="16" spans="1:18">
      <c r="A16" s="3447" t="s">
        <v>3185</v>
      </c>
      <c r="B16" s="3447" t="s">
        <v>3135</v>
      </c>
      <c r="C16" s="3447" t="s">
        <v>3136</v>
      </c>
      <c r="D16" s="3447">
        <v>32171.67</v>
      </c>
      <c r="E16" s="3447">
        <v>51474.67</v>
      </c>
      <c r="F16" s="3447" t="s">
        <v>3161</v>
      </c>
      <c r="G16" s="3447" t="s">
        <v>3138</v>
      </c>
      <c r="H16" s="3447" t="s">
        <v>3139</v>
      </c>
      <c r="I16" s="3447">
        <v>0</v>
      </c>
      <c r="J16" s="3447" t="s">
        <v>3186</v>
      </c>
      <c r="K16" s="3447" t="s">
        <v>3186</v>
      </c>
      <c r="L16" s="3447">
        <v>4765</v>
      </c>
      <c r="M16" s="3447">
        <v>4765</v>
      </c>
      <c r="N16" s="3447">
        <v>925.7</v>
      </c>
      <c r="O16" s="3447">
        <v>0</v>
      </c>
      <c r="P16" s="3447" t="s">
        <v>3187</v>
      </c>
      <c r="Q16" s="3447" t="s">
        <v>3142</v>
      </c>
      <c r="R16" s="3449">
        <f t="shared" si="1"/>
        <v>1481</v>
      </c>
    </row>
    <row r="17" spans="1:18">
      <c r="A17" s="3447" t="s">
        <v>3188</v>
      </c>
      <c r="B17" s="3447" t="s">
        <v>3135</v>
      </c>
      <c r="C17" s="3447" t="s">
        <v>3136</v>
      </c>
      <c r="D17" s="3447">
        <v>1685.6</v>
      </c>
      <c r="E17" s="3447">
        <v>3371.2</v>
      </c>
      <c r="F17" s="3447" t="s">
        <v>3146</v>
      </c>
      <c r="G17" s="3447" t="s">
        <v>3138</v>
      </c>
      <c r="H17" s="3447" t="s">
        <v>2905</v>
      </c>
      <c r="I17" s="3447">
        <v>0</v>
      </c>
      <c r="J17" s="3447" t="s">
        <v>3189</v>
      </c>
      <c r="K17" s="3447" t="s">
        <v>3189</v>
      </c>
      <c r="L17" s="3447">
        <v>317</v>
      </c>
      <c r="M17" s="3447">
        <v>317</v>
      </c>
      <c r="N17" s="3447">
        <v>940.32</v>
      </c>
      <c r="O17" s="3447">
        <v>0</v>
      </c>
      <c r="P17" s="3447" t="s">
        <v>3190</v>
      </c>
      <c r="Q17" s="3447" t="s">
        <v>3142</v>
      </c>
      <c r="R17" s="3449">
        <f t="shared" si="1"/>
        <v>1881</v>
      </c>
    </row>
    <row r="18" spans="1:18">
      <c r="A18" s="3447" t="s">
        <v>3191</v>
      </c>
      <c r="B18" s="3447" t="s">
        <v>3135</v>
      </c>
      <c r="C18" s="3447" t="s">
        <v>3136</v>
      </c>
      <c r="D18" s="3447">
        <v>881</v>
      </c>
      <c r="E18" s="3447">
        <v>881</v>
      </c>
      <c r="F18" s="3447" t="s">
        <v>3192</v>
      </c>
      <c r="G18" s="3447" t="s">
        <v>3138</v>
      </c>
      <c r="H18" s="3447" t="s">
        <v>2905</v>
      </c>
      <c r="I18" s="3447">
        <v>0</v>
      </c>
      <c r="J18" s="3447" t="s">
        <v>3193</v>
      </c>
      <c r="K18" s="3447" t="s">
        <v>3193</v>
      </c>
      <c r="L18" s="3447">
        <v>176</v>
      </c>
      <c r="M18" s="3447">
        <v>176</v>
      </c>
      <c r="N18" s="3447">
        <v>1997.73</v>
      </c>
      <c r="O18" s="3447">
        <v>0</v>
      </c>
      <c r="P18" s="3447" t="s">
        <v>3194</v>
      </c>
      <c r="Q18" s="3447" t="s">
        <v>3142</v>
      </c>
      <c r="R18" s="3449">
        <f t="shared" si="1"/>
        <v>1998</v>
      </c>
    </row>
    <row r="19" spans="1:18">
      <c r="A19" s="3447" t="s">
        <v>3195</v>
      </c>
      <c r="B19" s="3447" t="s">
        <v>3135</v>
      </c>
      <c r="C19" s="3447" t="s">
        <v>3136</v>
      </c>
      <c r="D19" s="3447">
        <v>3364</v>
      </c>
      <c r="E19" s="3447">
        <v>5046</v>
      </c>
      <c r="F19" s="3447" t="s">
        <v>3137</v>
      </c>
      <c r="G19" s="3447" t="s">
        <v>3138</v>
      </c>
      <c r="H19" s="3447" t="s">
        <v>2905</v>
      </c>
      <c r="I19" s="3447">
        <v>0</v>
      </c>
      <c r="J19" s="3447" t="s">
        <v>3196</v>
      </c>
      <c r="K19" s="3447" t="s">
        <v>3196</v>
      </c>
      <c r="L19" s="3447">
        <v>203</v>
      </c>
      <c r="M19" s="3447">
        <v>203</v>
      </c>
      <c r="N19" s="3447">
        <v>402.3</v>
      </c>
      <c r="O19" s="3447">
        <v>0</v>
      </c>
      <c r="P19" s="3447" t="s">
        <v>3197</v>
      </c>
      <c r="Q19" s="3447" t="s">
        <v>3155</v>
      </c>
      <c r="R19" s="3449">
        <f t="shared" si="1"/>
        <v>603</v>
      </c>
    </row>
    <row r="20" spans="1:18">
      <c r="A20" s="3447" t="s">
        <v>3198</v>
      </c>
      <c r="B20" s="3447" t="s">
        <v>3135</v>
      </c>
      <c r="C20" s="3447" t="s">
        <v>3136</v>
      </c>
      <c r="D20" s="3447">
        <v>51360</v>
      </c>
      <c r="E20" s="3447">
        <v>179760</v>
      </c>
      <c r="F20" s="3447" t="s">
        <v>3199</v>
      </c>
      <c r="G20" s="3447" t="s">
        <v>3138</v>
      </c>
      <c r="H20" s="3447" t="s">
        <v>3139</v>
      </c>
      <c r="I20" s="3447">
        <v>0</v>
      </c>
      <c r="J20" s="3447" t="s">
        <v>3200</v>
      </c>
      <c r="K20" s="3447" t="s">
        <v>3200</v>
      </c>
      <c r="L20" s="3447">
        <v>13868</v>
      </c>
      <c r="M20" s="3447">
        <v>13868</v>
      </c>
      <c r="N20" s="3447">
        <v>771.47</v>
      </c>
      <c r="O20" s="3447">
        <v>0</v>
      </c>
      <c r="P20" s="3447" t="s">
        <v>3201</v>
      </c>
      <c r="Q20" s="3447" t="s">
        <v>3142</v>
      </c>
      <c r="R20" s="3449">
        <f t="shared" si="1"/>
        <v>2700</v>
      </c>
    </row>
    <row r="21" spans="1:18">
      <c r="A21" s="3447" t="s">
        <v>3202</v>
      </c>
      <c r="B21" s="3447" t="s">
        <v>3135</v>
      </c>
      <c r="C21" s="3447" t="s">
        <v>3136</v>
      </c>
      <c r="D21" s="3447">
        <v>10734</v>
      </c>
      <c r="E21" s="3447">
        <v>37569</v>
      </c>
      <c r="F21" s="3447" t="s">
        <v>3199</v>
      </c>
      <c r="G21" s="3447" t="s">
        <v>3138</v>
      </c>
      <c r="H21" s="3447" t="s">
        <v>2911</v>
      </c>
      <c r="I21" s="3447">
        <v>0</v>
      </c>
      <c r="J21" s="3447" t="s">
        <v>3203</v>
      </c>
      <c r="K21" s="3447" t="s">
        <v>3203</v>
      </c>
      <c r="L21" s="3447">
        <v>2026</v>
      </c>
      <c r="M21" s="3447">
        <v>2026</v>
      </c>
      <c r="N21" s="3447">
        <v>539.27</v>
      </c>
      <c r="O21" s="3447">
        <v>0</v>
      </c>
      <c r="P21" s="3447" t="s">
        <v>3204</v>
      </c>
      <c r="Q21" s="3447" t="s">
        <v>3142</v>
      </c>
      <c r="R21" s="3449">
        <f t="shared" si="1"/>
        <v>1887</v>
      </c>
    </row>
    <row r="22" spans="1:18" s="3451" customFormat="1">
      <c r="A22" s="3450" t="s">
        <v>3205</v>
      </c>
      <c r="B22" s="3450" t="s">
        <v>3135</v>
      </c>
      <c r="C22" s="3450" t="s">
        <v>3136</v>
      </c>
      <c r="D22" s="3450">
        <v>6639</v>
      </c>
      <c r="E22" s="3450">
        <v>11286.3</v>
      </c>
      <c r="F22" s="3450" t="s">
        <v>3206</v>
      </c>
      <c r="G22" s="3450" t="s">
        <v>3138</v>
      </c>
      <c r="H22" s="3450" t="s">
        <v>3139</v>
      </c>
      <c r="I22" s="3450">
        <v>0</v>
      </c>
      <c r="J22" s="3450" t="s">
        <v>3207</v>
      </c>
      <c r="K22" s="3450" t="s">
        <v>3207</v>
      </c>
      <c r="L22" s="3450">
        <v>1175.2</v>
      </c>
      <c r="M22" s="3450">
        <v>1175.2</v>
      </c>
      <c r="N22" s="3450">
        <v>1041.26</v>
      </c>
      <c r="O22" s="3450">
        <v>0</v>
      </c>
      <c r="P22" s="3450" t="s">
        <v>3208</v>
      </c>
      <c r="Q22" s="3450" t="s">
        <v>3142</v>
      </c>
      <c r="R22" s="3451">
        <f t="shared" si="1"/>
        <v>1770</v>
      </c>
    </row>
    <row r="23" spans="1:18">
      <c r="A23" s="3447" t="s">
        <v>3209</v>
      </c>
      <c r="B23" s="3447" t="s">
        <v>3135</v>
      </c>
      <c r="C23" s="3447" t="s">
        <v>3136</v>
      </c>
      <c r="D23" s="3447">
        <v>31659</v>
      </c>
      <c r="E23" s="3447">
        <v>110806.5</v>
      </c>
      <c r="F23" s="3447" t="s">
        <v>3210</v>
      </c>
      <c r="G23" s="3447" t="s">
        <v>3138</v>
      </c>
      <c r="H23" s="3447" t="s">
        <v>3139</v>
      </c>
      <c r="I23" s="3447">
        <v>0</v>
      </c>
      <c r="J23" s="3447" t="s">
        <v>3211</v>
      </c>
      <c r="K23" s="3447" t="s">
        <v>3211</v>
      </c>
      <c r="L23" s="3447">
        <v>9500</v>
      </c>
      <c r="M23" s="3447">
        <v>9500</v>
      </c>
      <c r="N23" s="3447">
        <v>857.35</v>
      </c>
      <c r="O23" s="3447">
        <v>0</v>
      </c>
      <c r="P23" s="3447" t="s">
        <v>3212</v>
      </c>
      <c r="Q23" s="3447" t="s">
        <v>3155</v>
      </c>
      <c r="R23" s="3449">
        <f t="shared" si="1"/>
        <v>3001</v>
      </c>
    </row>
    <row r="24" spans="1:18">
      <c r="A24" s="3447" t="s">
        <v>3213</v>
      </c>
      <c r="B24" s="3447" t="s">
        <v>3135</v>
      </c>
      <c r="C24" s="3447" t="s">
        <v>3136</v>
      </c>
      <c r="D24" s="3447">
        <v>102</v>
      </c>
      <c r="E24" s="3447">
        <v>204</v>
      </c>
      <c r="F24" s="3447" t="s">
        <v>3144</v>
      </c>
      <c r="G24" s="3447" t="s">
        <v>3138</v>
      </c>
      <c r="H24" s="3447" t="s">
        <v>2905</v>
      </c>
      <c r="I24" s="3447">
        <v>0</v>
      </c>
      <c r="J24" s="3447" t="s">
        <v>3214</v>
      </c>
      <c r="K24" s="3447" t="s">
        <v>3214</v>
      </c>
      <c r="L24" s="3447">
        <v>5.6</v>
      </c>
      <c r="M24" s="3447">
        <v>5.6</v>
      </c>
      <c r="N24" s="3447">
        <v>274.51</v>
      </c>
      <c r="O24" s="3447">
        <v>0</v>
      </c>
      <c r="P24" s="3447" t="s">
        <v>3215</v>
      </c>
      <c r="Q24" s="3447" t="s">
        <v>3216</v>
      </c>
      <c r="R24" s="3449">
        <f t="shared" si="1"/>
        <v>549</v>
      </c>
    </row>
    <row r="25" spans="1:18">
      <c r="A25" s="3447" t="s">
        <v>3217</v>
      </c>
      <c r="B25" s="3447" t="s">
        <v>3135</v>
      </c>
      <c r="C25" s="3447" t="s">
        <v>3136</v>
      </c>
      <c r="D25" s="3447">
        <v>6178</v>
      </c>
      <c r="E25" s="3447">
        <v>9267</v>
      </c>
      <c r="F25" s="3447" t="s">
        <v>3218</v>
      </c>
      <c r="G25" s="3447" t="s">
        <v>3138</v>
      </c>
      <c r="H25" s="3447" t="s">
        <v>2915</v>
      </c>
      <c r="I25" s="3447">
        <v>0</v>
      </c>
      <c r="J25" s="3447" t="s">
        <v>3219</v>
      </c>
      <c r="K25" s="3447" t="s">
        <v>3219</v>
      </c>
      <c r="L25" s="3447">
        <v>881</v>
      </c>
      <c r="M25" s="3447">
        <v>881</v>
      </c>
      <c r="N25" s="3447">
        <v>950.69</v>
      </c>
      <c r="O25" s="3447">
        <v>0</v>
      </c>
      <c r="P25" s="3447" t="s">
        <v>3220</v>
      </c>
      <c r="Q25" s="3447" t="s">
        <v>3155</v>
      </c>
      <c r="R25" s="3449">
        <f t="shared" si="1"/>
        <v>1426</v>
      </c>
    </row>
    <row r="26" spans="1:18">
      <c r="A26" s="3447" t="s">
        <v>3221</v>
      </c>
      <c r="B26" s="3447" t="s">
        <v>3135</v>
      </c>
      <c r="C26" s="3447" t="s">
        <v>3136</v>
      </c>
      <c r="D26" s="3447">
        <v>28485</v>
      </c>
      <c r="E26" s="3447">
        <v>42727.5</v>
      </c>
      <c r="F26" s="3447" t="s">
        <v>3137</v>
      </c>
      <c r="G26" s="3447" t="s">
        <v>3138</v>
      </c>
      <c r="H26" s="3447" t="s">
        <v>2915</v>
      </c>
      <c r="I26" s="3447">
        <v>0</v>
      </c>
      <c r="J26" s="3447" t="s">
        <v>3222</v>
      </c>
      <c r="K26" s="3447" t="s">
        <v>3222</v>
      </c>
      <c r="L26" s="3447">
        <v>1795</v>
      </c>
      <c r="M26" s="3447">
        <v>1795</v>
      </c>
      <c r="N26" s="3447">
        <v>420.1</v>
      </c>
      <c r="O26" s="3447">
        <v>0</v>
      </c>
      <c r="P26" s="3447" t="s">
        <v>3223</v>
      </c>
      <c r="Q26" s="3447" t="s">
        <v>3155</v>
      </c>
      <c r="R26" s="3449">
        <f t="shared" si="1"/>
        <v>630</v>
      </c>
    </row>
    <row r="27" spans="1:18">
      <c r="A27" s="3447" t="s">
        <v>3224</v>
      </c>
      <c r="B27" s="3447" t="s">
        <v>3135</v>
      </c>
      <c r="C27" s="3447" t="s">
        <v>3136</v>
      </c>
      <c r="D27" s="3447">
        <v>8658</v>
      </c>
      <c r="E27" s="3447">
        <v>13852.8</v>
      </c>
      <c r="F27" s="3447" t="s">
        <v>3225</v>
      </c>
      <c r="G27" s="3447" t="s">
        <v>3138</v>
      </c>
      <c r="H27" s="3447" t="s">
        <v>2915</v>
      </c>
      <c r="I27" s="3447">
        <v>0</v>
      </c>
      <c r="J27" s="3447" t="s">
        <v>3226</v>
      </c>
      <c r="K27" s="3447" t="s">
        <v>3226</v>
      </c>
      <c r="L27" s="3447">
        <v>1294</v>
      </c>
      <c r="M27" s="3447">
        <v>1294</v>
      </c>
      <c r="N27" s="3447">
        <v>934.11</v>
      </c>
      <c r="O27" s="3447">
        <v>0</v>
      </c>
      <c r="P27" s="3447" t="s">
        <v>3227</v>
      </c>
      <c r="Q27" s="3447" t="s">
        <v>3142</v>
      </c>
      <c r="R27" s="3449">
        <f t="shared" si="1"/>
        <v>1495</v>
      </c>
    </row>
    <row r="28" spans="1:18">
      <c r="A28" s="3447" t="s">
        <v>3228</v>
      </c>
      <c r="B28" s="3447" t="s">
        <v>3135</v>
      </c>
      <c r="C28" s="3447" t="s">
        <v>3136</v>
      </c>
      <c r="D28" s="3447">
        <v>49592</v>
      </c>
      <c r="E28" s="3447">
        <v>59510.400000000001</v>
      </c>
      <c r="F28" s="3447" t="s">
        <v>3229</v>
      </c>
      <c r="G28" s="3447" t="s">
        <v>3138</v>
      </c>
      <c r="H28" s="3447" t="s">
        <v>2913</v>
      </c>
      <c r="I28" s="3447">
        <v>0</v>
      </c>
      <c r="J28" s="3447" t="s">
        <v>3226</v>
      </c>
      <c r="K28" s="3447" t="s">
        <v>3226</v>
      </c>
      <c r="L28" s="3447">
        <v>5852</v>
      </c>
      <c r="M28" s="3447">
        <v>5852</v>
      </c>
      <c r="N28" s="3447">
        <v>983.36</v>
      </c>
      <c r="O28" s="3447">
        <v>0</v>
      </c>
      <c r="P28" s="3447" t="s">
        <v>3227</v>
      </c>
      <c r="Q28" s="3447" t="s">
        <v>3142</v>
      </c>
      <c r="R28" s="3449">
        <f t="shared" si="1"/>
        <v>1180</v>
      </c>
    </row>
    <row r="29" spans="1:18">
      <c r="A29" s="3447" t="s">
        <v>3230</v>
      </c>
      <c r="B29" s="3447" t="s">
        <v>3135</v>
      </c>
      <c r="C29" s="3447" t="s">
        <v>3136</v>
      </c>
      <c r="D29" s="3447">
        <v>34</v>
      </c>
      <c r="E29" s="3447">
        <v>40.799999999999997</v>
      </c>
      <c r="F29" s="3447" t="s">
        <v>3231</v>
      </c>
      <c r="G29" s="3447" t="s">
        <v>3138</v>
      </c>
      <c r="H29" s="3447" t="s">
        <v>2915</v>
      </c>
      <c r="I29" s="3447">
        <v>0</v>
      </c>
      <c r="J29" s="3447" t="s">
        <v>3232</v>
      </c>
      <c r="K29" s="3447" t="s">
        <v>3232</v>
      </c>
      <c r="L29" s="3447">
        <v>7.5</v>
      </c>
      <c r="M29" s="3447">
        <v>7.5</v>
      </c>
      <c r="N29" s="3447">
        <v>1838.24</v>
      </c>
      <c r="O29" s="3447">
        <v>0</v>
      </c>
      <c r="P29" s="3447" t="s">
        <v>3233</v>
      </c>
      <c r="Q29" s="3447" t="s">
        <v>3142</v>
      </c>
      <c r="R29" s="3449">
        <f t="shared" si="1"/>
        <v>2206</v>
      </c>
    </row>
    <row r="30" spans="1:18">
      <c r="A30" s="3447" t="s">
        <v>3234</v>
      </c>
      <c r="B30" s="3447" t="s">
        <v>3135</v>
      </c>
      <c r="C30" s="3447" t="s">
        <v>3136</v>
      </c>
      <c r="D30" s="3447">
        <v>57.79</v>
      </c>
      <c r="E30" s="3447">
        <v>69.3</v>
      </c>
      <c r="F30" s="3447">
        <v>1.2</v>
      </c>
      <c r="G30" s="3447" t="s">
        <v>3138</v>
      </c>
      <c r="H30" s="3447" t="s">
        <v>3235</v>
      </c>
      <c r="I30" s="3447">
        <v>0</v>
      </c>
      <c r="J30" s="3447" t="s">
        <v>3236</v>
      </c>
      <c r="K30" s="3447" t="s">
        <v>3236</v>
      </c>
      <c r="L30" s="3447">
        <v>2.98</v>
      </c>
      <c r="M30" s="3447">
        <v>2.98</v>
      </c>
      <c r="N30" s="3447">
        <v>430.01</v>
      </c>
      <c r="O30" s="3447">
        <v>0</v>
      </c>
      <c r="P30" s="3447" t="s">
        <v>3237</v>
      </c>
      <c r="Q30" s="3447" t="s">
        <v>3142</v>
      </c>
      <c r="R30" s="3449">
        <f t="shared" si="1"/>
        <v>516</v>
      </c>
    </row>
    <row r="31" spans="1:18">
      <c r="A31" s="3447" t="s">
        <v>3238</v>
      </c>
      <c r="B31" s="3447" t="s">
        <v>3135</v>
      </c>
      <c r="C31" s="3447" t="s">
        <v>3136</v>
      </c>
      <c r="D31" s="3447">
        <v>13971</v>
      </c>
      <c r="E31" s="3447">
        <v>27942</v>
      </c>
      <c r="F31" s="3447" t="s">
        <v>3239</v>
      </c>
      <c r="G31" s="3447" t="s">
        <v>3138</v>
      </c>
      <c r="H31" s="3447" t="s">
        <v>2915</v>
      </c>
      <c r="I31" s="3447">
        <v>0</v>
      </c>
      <c r="J31" s="3447" t="s">
        <v>3240</v>
      </c>
      <c r="K31" s="3447" t="s">
        <v>3240</v>
      </c>
      <c r="L31" s="3447">
        <v>1891</v>
      </c>
      <c r="M31" s="3447">
        <v>1891</v>
      </c>
      <c r="N31" s="3447">
        <v>676.76</v>
      </c>
      <c r="O31" s="3447">
        <v>0</v>
      </c>
      <c r="P31" s="3447" t="s">
        <v>3241</v>
      </c>
      <c r="Q31" s="3447" t="s">
        <v>3155</v>
      </c>
      <c r="R31" s="3449">
        <f t="shared" si="1"/>
        <v>1354</v>
      </c>
    </row>
    <row r="32" spans="1:18">
      <c r="A32" s="3447" t="s">
        <v>3188</v>
      </c>
      <c r="B32" s="3447" t="s">
        <v>3135</v>
      </c>
      <c r="C32" s="3447" t="s">
        <v>3136</v>
      </c>
      <c r="D32" s="3447">
        <v>736.25</v>
      </c>
      <c r="E32" s="3447">
        <v>1472.5</v>
      </c>
      <c r="F32" s="3447" t="s">
        <v>3242</v>
      </c>
      <c r="G32" s="3447" t="s">
        <v>3138</v>
      </c>
      <c r="H32" s="3447" t="s">
        <v>2915</v>
      </c>
      <c r="I32" s="3447">
        <v>0</v>
      </c>
      <c r="J32" s="3447" t="s">
        <v>3243</v>
      </c>
      <c r="K32" s="3447" t="s">
        <v>3243</v>
      </c>
      <c r="L32" s="3447">
        <v>140.5</v>
      </c>
      <c r="M32" s="3447">
        <v>140.5</v>
      </c>
      <c r="N32" s="3447">
        <v>954.16</v>
      </c>
      <c r="O32" s="3447">
        <v>0</v>
      </c>
      <c r="P32" s="3447" t="s">
        <v>3190</v>
      </c>
      <c r="Q32" s="3447" t="s">
        <v>3142</v>
      </c>
      <c r="R32" s="3449">
        <f t="shared" si="1"/>
        <v>1908</v>
      </c>
    </row>
    <row r="33" spans="1:18">
      <c r="A33" s="3447" t="s">
        <v>3188</v>
      </c>
      <c r="B33" s="3447" t="s">
        <v>3135</v>
      </c>
      <c r="C33" s="3447" t="s">
        <v>3136</v>
      </c>
      <c r="D33" s="3447">
        <v>517.9</v>
      </c>
      <c r="E33" s="3447">
        <v>1035.8</v>
      </c>
      <c r="F33" s="3447" t="s">
        <v>3242</v>
      </c>
      <c r="G33" s="3447" t="s">
        <v>3138</v>
      </c>
      <c r="H33" s="3447" t="s">
        <v>2915</v>
      </c>
      <c r="I33" s="3447">
        <v>0</v>
      </c>
      <c r="J33" s="3447" t="s">
        <v>3243</v>
      </c>
      <c r="K33" s="3447" t="s">
        <v>3243</v>
      </c>
      <c r="L33" s="3447">
        <v>99</v>
      </c>
      <c r="M33" s="3447">
        <v>99</v>
      </c>
      <c r="N33" s="3447">
        <v>955.78</v>
      </c>
      <c r="O33" s="3447">
        <v>0</v>
      </c>
      <c r="P33" s="3447" t="s">
        <v>3190</v>
      </c>
      <c r="Q33" s="3447" t="s">
        <v>3142</v>
      </c>
      <c r="R33" s="3449">
        <f t="shared" si="1"/>
        <v>1912</v>
      </c>
    </row>
    <row r="34" spans="1:18">
      <c r="A34" s="3447" t="s">
        <v>3244</v>
      </c>
      <c r="B34" s="3447" t="s">
        <v>3135</v>
      </c>
      <c r="C34" s="3447" t="s">
        <v>3136</v>
      </c>
      <c r="D34" s="3447">
        <v>36878.400000000001</v>
      </c>
      <c r="E34" s="3447">
        <v>55317.599999999999</v>
      </c>
      <c r="F34" s="3447" t="s">
        <v>3245</v>
      </c>
      <c r="G34" s="3447" t="s">
        <v>3138</v>
      </c>
      <c r="H34" s="3447" t="s">
        <v>2915</v>
      </c>
      <c r="I34" s="3447">
        <v>0</v>
      </c>
      <c r="J34" s="3447" t="s">
        <v>3243</v>
      </c>
      <c r="K34" s="3447" t="s">
        <v>3243</v>
      </c>
      <c r="L34" s="3447">
        <v>4437</v>
      </c>
      <c r="M34" s="3447">
        <v>4437</v>
      </c>
      <c r="N34" s="3447">
        <v>802.1</v>
      </c>
      <c r="O34" s="3447">
        <v>0</v>
      </c>
      <c r="P34" s="3447" t="s">
        <v>3246</v>
      </c>
      <c r="Q34" s="3447" t="s">
        <v>3142</v>
      </c>
      <c r="R34" s="3449">
        <f t="shared" si="1"/>
        <v>1203</v>
      </c>
    </row>
    <row r="35" spans="1:18">
      <c r="A35" s="3447" t="s">
        <v>3188</v>
      </c>
      <c r="B35" s="3447" t="s">
        <v>3135</v>
      </c>
      <c r="C35" s="3447" t="s">
        <v>3136</v>
      </c>
      <c r="D35" s="3447">
        <v>78.959999999999994</v>
      </c>
      <c r="E35" s="3447">
        <v>157.9</v>
      </c>
      <c r="F35" s="3447" t="s">
        <v>3242</v>
      </c>
      <c r="G35" s="3447" t="s">
        <v>3138</v>
      </c>
      <c r="H35" s="3447" t="s">
        <v>2915</v>
      </c>
      <c r="I35" s="3447">
        <v>0</v>
      </c>
      <c r="J35" s="3447" t="s">
        <v>3243</v>
      </c>
      <c r="K35" s="3447" t="s">
        <v>3243</v>
      </c>
      <c r="L35" s="3447">
        <v>15.07</v>
      </c>
      <c r="M35" s="3447">
        <v>15.07</v>
      </c>
      <c r="N35" s="3447">
        <v>954.4</v>
      </c>
      <c r="O35" s="3447">
        <v>0</v>
      </c>
      <c r="P35" s="3447" t="s">
        <v>3190</v>
      </c>
      <c r="Q35" s="3447" t="s">
        <v>3142</v>
      </c>
      <c r="R35" s="3449">
        <f t="shared" si="1"/>
        <v>1909</v>
      </c>
    </row>
    <row r="36" spans="1:18">
      <c r="A36" s="3447" t="s">
        <v>3188</v>
      </c>
      <c r="B36" s="3447" t="s">
        <v>3135</v>
      </c>
      <c r="C36" s="3447" t="s">
        <v>3136</v>
      </c>
      <c r="D36" s="3447">
        <v>76.239999999999995</v>
      </c>
      <c r="E36" s="3447">
        <v>152.5</v>
      </c>
      <c r="F36" s="3447" t="s">
        <v>3242</v>
      </c>
      <c r="G36" s="3447" t="s">
        <v>3138</v>
      </c>
      <c r="H36" s="3447" t="s">
        <v>2915</v>
      </c>
      <c r="I36" s="3447">
        <v>0</v>
      </c>
      <c r="J36" s="3447" t="s">
        <v>3243</v>
      </c>
      <c r="K36" s="3447" t="s">
        <v>3243</v>
      </c>
      <c r="L36" s="3447">
        <v>14.6</v>
      </c>
      <c r="M36" s="3447">
        <v>14.6</v>
      </c>
      <c r="N36" s="3447">
        <v>957.38</v>
      </c>
      <c r="O36" s="3447">
        <v>0</v>
      </c>
      <c r="P36" s="3447" t="s">
        <v>3190</v>
      </c>
      <c r="Q36" s="3447" t="s">
        <v>3142</v>
      </c>
      <c r="R36" s="3449">
        <f t="shared" si="1"/>
        <v>1915</v>
      </c>
    </row>
    <row r="37" spans="1:18" s="3451" customFormat="1">
      <c r="A37" s="3450" t="s">
        <v>3247</v>
      </c>
      <c r="B37" s="3450" t="s">
        <v>3135</v>
      </c>
      <c r="C37" s="3450" t="s">
        <v>3136</v>
      </c>
      <c r="D37" s="3450">
        <v>39247.699999999997</v>
      </c>
      <c r="E37" s="3450">
        <v>86344.9</v>
      </c>
      <c r="F37" s="3450" t="s">
        <v>3248</v>
      </c>
      <c r="G37" s="3450" t="s">
        <v>3138</v>
      </c>
      <c r="H37" s="3450" t="s">
        <v>3235</v>
      </c>
      <c r="I37" s="3450">
        <v>0</v>
      </c>
      <c r="J37" s="3450" t="s">
        <v>3249</v>
      </c>
      <c r="K37" s="3450" t="s">
        <v>3249</v>
      </c>
      <c r="L37" s="3450">
        <v>7654</v>
      </c>
      <c r="M37" s="3450">
        <v>7654</v>
      </c>
      <c r="N37" s="3450">
        <v>886.44</v>
      </c>
      <c r="O37" s="3450">
        <v>0</v>
      </c>
      <c r="P37" s="3450" t="s">
        <v>3250</v>
      </c>
      <c r="Q37" s="3450" t="s">
        <v>3142</v>
      </c>
      <c r="R37" s="3451">
        <f>ROUND(M37/D37*10000,0)</f>
        <v>1950</v>
      </c>
    </row>
    <row r="38" spans="1:18">
      <c r="A38" s="3447" t="s">
        <v>3251</v>
      </c>
      <c r="B38" s="3447" t="s">
        <v>3135</v>
      </c>
      <c r="C38" s="3447" t="s">
        <v>3136</v>
      </c>
      <c r="D38" s="3447">
        <v>60.5</v>
      </c>
      <c r="E38" s="3447">
        <v>133.1</v>
      </c>
      <c r="F38" s="3447" t="s">
        <v>3252</v>
      </c>
      <c r="G38" s="3447" t="s">
        <v>3138</v>
      </c>
      <c r="H38" s="3447" t="s">
        <v>3139</v>
      </c>
      <c r="I38" s="3447">
        <v>0</v>
      </c>
      <c r="J38" s="3447" t="s">
        <v>3253</v>
      </c>
      <c r="K38" s="3447" t="s">
        <v>3253</v>
      </c>
      <c r="L38" s="3447">
        <v>12</v>
      </c>
      <c r="M38" s="3447">
        <v>12</v>
      </c>
      <c r="N38" s="3447">
        <v>901.58</v>
      </c>
      <c r="O38" s="3447">
        <v>0</v>
      </c>
      <c r="P38" s="3447" t="s">
        <v>3254</v>
      </c>
      <c r="Q38" s="3447" t="s">
        <v>3142</v>
      </c>
      <c r="R38" s="3449">
        <f t="shared" si="1"/>
        <v>1983</v>
      </c>
    </row>
    <row r="39" spans="1:18">
      <c r="A39" s="3447" t="s">
        <v>3251</v>
      </c>
      <c r="B39" s="3447" t="s">
        <v>3135</v>
      </c>
      <c r="C39" s="3447" t="s">
        <v>3136</v>
      </c>
      <c r="D39" s="3447">
        <v>1217.56</v>
      </c>
      <c r="E39" s="3447">
        <v>2678.6</v>
      </c>
      <c r="F39" s="3447" t="s">
        <v>3252</v>
      </c>
      <c r="G39" s="3447" t="s">
        <v>3138</v>
      </c>
      <c r="H39" s="3447" t="s">
        <v>3139</v>
      </c>
      <c r="I39" s="3447">
        <v>0</v>
      </c>
      <c r="J39" s="3447" t="s">
        <v>3253</v>
      </c>
      <c r="K39" s="3447" t="s">
        <v>3253</v>
      </c>
      <c r="L39" s="3447">
        <v>238</v>
      </c>
      <c r="M39" s="3447">
        <v>238</v>
      </c>
      <c r="N39" s="3447">
        <v>888.52</v>
      </c>
      <c r="O39" s="3447">
        <v>0</v>
      </c>
      <c r="P39" s="3447" t="s">
        <v>3254</v>
      </c>
      <c r="Q39" s="3447" t="s">
        <v>3142</v>
      </c>
      <c r="R39" s="3449">
        <f t="shared" si="1"/>
        <v>1955</v>
      </c>
    </row>
    <row r="40" spans="1:18">
      <c r="A40" s="3447" t="s">
        <v>3255</v>
      </c>
      <c r="B40" s="3447" t="s">
        <v>3135</v>
      </c>
      <c r="C40" s="3447" t="s">
        <v>3136</v>
      </c>
      <c r="D40" s="3447">
        <v>1258.25</v>
      </c>
      <c r="E40" s="3447">
        <v>2768.15</v>
      </c>
      <c r="F40" s="3447" t="s">
        <v>3256</v>
      </c>
      <c r="G40" s="3447" t="s">
        <v>3138</v>
      </c>
      <c r="H40" s="3447" t="s">
        <v>2905</v>
      </c>
      <c r="I40" s="3447">
        <v>0</v>
      </c>
      <c r="J40" s="3447" t="s">
        <v>3253</v>
      </c>
      <c r="K40" s="3447" t="s">
        <v>3253</v>
      </c>
      <c r="L40" s="3447">
        <v>297</v>
      </c>
      <c r="M40" s="3447">
        <v>297</v>
      </c>
      <c r="N40" s="3447">
        <v>1072.92</v>
      </c>
      <c r="O40" s="3447">
        <v>0</v>
      </c>
      <c r="P40" s="3447" t="s">
        <v>3257</v>
      </c>
      <c r="Q40" s="3447" t="s">
        <v>3142</v>
      </c>
      <c r="R40" s="3449">
        <f t="shared" si="1"/>
        <v>2360</v>
      </c>
    </row>
    <row r="41" spans="1:18">
      <c r="A41" s="3447" t="s">
        <v>3251</v>
      </c>
      <c r="B41" s="3447" t="s">
        <v>3135</v>
      </c>
      <c r="C41" s="3447" t="s">
        <v>3136</v>
      </c>
      <c r="D41" s="3447">
        <v>209.73</v>
      </c>
      <c r="E41" s="3447">
        <v>461.4</v>
      </c>
      <c r="F41" s="3447" t="s">
        <v>3252</v>
      </c>
      <c r="G41" s="3447" t="s">
        <v>3138</v>
      </c>
      <c r="H41" s="3447" t="s">
        <v>3139</v>
      </c>
      <c r="I41" s="3447">
        <v>0</v>
      </c>
      <c r="J41" s="3447" t="s">
        <v>3253</v>
      </c>
      <c r="K41" s="3447" t="s">
        <v>3253</v>
      </c>
      <c r="L41" s="3447">
        <v>41</v>
      </c>
      <c r="M41" s="3447">
        <v>41</v>
      </c>
      <c r="N41" s="3447">
        <v>888.6</v>
      </c>
      <c r="O41" s="3447">
        <v>0</v>
      </c>
      <c r="P41" s="3447" t="s">
        <v>3254</v>
      </c>
      <c r="Q41" s="3447" t="s">
        <v>3142</v>
      </c>
      <c r="R41" s="3449">
        <f t="shared" si="1"/>
        <v>1955</v>
      </c>
    </row>
    <row r="42" spans="1:18">
      <c r="A42" s="3447" t="s">
        <v>3255</v>
      </c>
      <c r="B42" s="3447" t="s">
        <v>3135</v>
      </c>
      <c r="C42" s="3447" t="s">
        <v>3136</v>
      </c>
      <c r="D42" s="3447">
        <v>85.11</v>
      </c>
      <c r="E42" s="3447">
        <v>187.24</v>
      </c>
      <c r="F42" s="3447" t="s">
        <v>3256</v>
      </c>
      <c r="G42" s="3447" t="s">
        <v>3138</v>
      </c>
      <c r="H42" s="3447" t="s">
        <v>2905</v>
      </c>
      <c r="I42" s="3447">
        <v>0</v>
      </c>
      <c r="J42" s="3447" t="s">
        <v>3253</v>
      </c>
      <c r="K42" s="3447" t="s">
        <v>3253</v>
      </c>
      <c r="L42" s="3447">
        <v>21</v>
      </c>
      <c r="M42" s="3447">
        <v>21</v>
      </c>
      <c r="N42" s="3447">
        <v>1121.56</v>
      </c>
      <c r="O42" s="3447">
        <v>0</v>
      </c>
      <c r="P42" s="3447" t="s">
        <v>3257</v>
      </c>
      <c r="Q42" s="3447" t="s">
        <v>3142</v>
      </c>
      <c r="R42" s="3449">
        <f t="shared" si="1"/>
        <v>2467</v>
      </c>
    </row>
    <row r="43" spans="1:18">
      <c r="A43" s="3447" t="s">
        <v>3251</v>
      </c>
      <c r="B43" s="3447" t="s">
        <v>3135</v>
      </c>
      <c r="C43" s="3447" t="s">
        <v>3136</v>
      </c>
      <c r="D43" s="3447">
        <v>140.12</v>
      </c>
      <c r="E43" s="3447">
        <v>308.3</v>
      </c>
      <c r="F43" s="3447" t="s">
        <v>3252</v>
      </c>
      <c r="G43" s="3447" t="s">
        <v>3138</v>
      </c>
      <c r="H43" s="3447" t="s">
        <v>3139</v>
      </c>
      <c r="I43" s="3447">
        <v>0</v>
      </c>
      <c r="J43" s="3447" t="s">
        <v>3253</v>
      </c>
      <c r="K43" s="3447" t="s">
        <v>3253</v>
      </c>
      <c r="L43" s="3447">
        <v>28</v>
      </c>
      <c r="M43" s="3447">
        <v>28</v>
      </c>
      <c r="N43" s="3447">
        <v>908.21</v>
      </c>
      <c r="O43" s="3447">
        <v>0</v>
      </c>
      <c r="P43" s="3447" t="s">
        <v>3254</v>
      </c>
      <c r="Q43" s="3447" t="s">
        <v>3142</v>
      </c>
      <c r="R43" s="3449">
        <f t="shared" si="1"/>
        <v>1998</v>
      </c>
    </row>
    <row r="44" spans="1:18">
      <c r="A44" s="3447" t="s">
        <v>3258</v>
      </c>
      <c r="B44" s="3447" t="s">
        <v>3135</v>
      </c>
      <c r="C44" s="3447" t="s">
        <v>3136</v>
      </c>
      <c r="D44" s="3447">
        <v>9808.86</v>
      </c>
      <c r="E44" s="3447">
        <v>24522.2</v>
      </c>
      <c r="F44" s="3447" t="s">
        <v>3259</v>
      </c>
      <c r="G44" s="3447" t="s">
        <v>3138</v>
      </c>
      <c r="H44" s="3447" t="s">
        <v>3235</v>
      </c>
      <c r="I44" s="3447">
        <v>0</v>
      </c>
      <c r="J44" s="3447" t="s">
        <v>3260</v>
      </c>
      <c r="K44" s="3447" t="s">
        <v>3260</v>
      </c>
      <c r="L44" s="3447">
        <v>3164</v>
      </c>
      <c r="M44" s="3447">
        <v>3164</v>
      </c>
      <c r="N44" s="3447">
        <v>1290.26</v>
      </c>
      <c r="O44" s="3447">
        <v>0</v>
      </c>
      <c r="P44" s="3447" t="s">
        <v>3261</v>
      </c>
      <c r="Q44" s="3447" t="s">
        <v>3142</v>
      </c>
      <c r="R44" s="3449">
        <f t="shared" si="1"/>
        <v>3226</v>
      </c>
    </row>
    <row r="45" spans="1:18">
      <c r="A45" s="3447" t="s">
        <v>3262</v>
      </c>
      <c r="B45" s="3447" t="s">
        <v>3135</v>
      </c>
      <c r="C45" s="3447" t="s">
        <v>3136</v>
      </c>
      <c r="D45" s="3447">
        <v>10572.03</v>
      </c>
      <c r="E45" s="3447">
        <v>26430.080000000002</v>
      </c>
      <c r="F45" s="3447" t="s">
        <v>3263</v>
      </c>
      <c r="G45" s="3447" t="s">
        <v>3138</v>
      </c>
      <c r="H45" s="3447" t="s">
        <v>2915</v>
      </c>
      <c r="I45" s="3447">
        <v>0</v>
      </c>
      <c r="J45" s="3447" t="s">
        <v>3260</v>
      </c>
      <c r="K45" s="3447" t="s">
        <v>3260</v>
      </c>
      <c r="L45" s="3447">
        <v>3331</v>
      </c>
      <c r="M45" s="3447">
        <v>3331</v>
      </c>
      <c r="N45" s="3447">
        <v>1260.31</v>
      </c>
      <c r="O45" s="3447">
        <v>0</v>
      </c>
      <c r="P45" s="3447" t="s">
        <v>3241</v>
      </c>
      <c r="Q45" s="3447" t="s">
        <v>3142</v>
      </c>
      <c r="R45" s="3449">
        <f t="shared" si="1"/>
        <v>3151</v>
      </c>
    </row>
    <row r="46" spans="1:18">
      <c r="A46" s="3447" t="s">
        <v>3264</v>
      </c>
      <c r="B46" s="3447" t="s">
        <v>3135</v>
      </c>
      <c r="C46" s="3447" t="s">
        <v>3136</v>
      </c>
      <c r="D46" s="3447">
        <v>4544.3999999999996</v>
      </c>
      <c r="E46" s="3447">
        <v>6816.6</v>
      </c>
      <c r="F46" s="3447" t="s">
        <v>3265</v>
      </c>
      <c r="G46" s="3447" t="s">
        <v>3138</v>
      </c>
      <c r="H46" s="3447" t="s">
        <v>2915</v>
      </c>
      <c r="I46" s="3447">
        <v>0</v>
      </c>
      <c r="J46" s="3447" t="s">
        <v>3266</v>
      </c>
      <c r="K46" s="3447" t="s">
        <v>3266</v>
      </c>
      <c r="L46" s="3447">
        <v>1091</v>
      </c>
      <c r="M46" s="3447">
        <v>1091</v>
      </c>
      <c r="N46" s="3447">
        <v>1600.5</v>
      </c>
      <c r="O46" s="3447">
        <v>0</v>
      </c>
      <c r="P46" s="3447" t="s">
        <v>3267</v>
      </c>
      <c r="Q46" s="3447" t="s">
        <v>3142</v>
      </c>
      <c r="R46" s="3449">
        <f t="shared" si="1"/>
        <v>2401</v>
      </c>
    </row>
    <row r="47" spans="1:18">
      <c r="A47" s="3447" t="s">
        <v>3268</v>
      </c>
      <c r="B47" s="3447" t="s">
        <v>3135</v>
      </c>
      <c r="C47" s="3447" t="s">
        <v>3136</v>
      </c>
      <c r="D47" s="3447">
        <v>1379</v>
      </c>
      <c r="E47" s="3447">
        <v>2482.1999999999998</v>
      </c>
      <c r="F47" s="3447" t="s">
        <v>3269</v>
      </c>
      <c r="G47" s="3447" t="s">
        <v>3138</v>
      </c>
      <c r="H47" s="3447" t="s">
        <v>3139</v>
      </c>
      <c r="I47" s="3447">
        <v>0</v>
      </c>
      <c r="J47" s="3447" t="s">
        <v>3270</v>
      </c>
      <c r="K47" s="3447" t="s">
        <v>3270</v>
      </c>
      <c r="L47" s="3447">
        <v>67</v>
      </c>
      <c r="M47" s="3447">
        <v>67</v>
      </c>
      <c r="N47" s="3447">
        <v>269.92</v>
      </c>
      <c r="O47" s="3447">
        <v>0</v>
      </c>
      <c r="P47" s="3447" t="s">
        <v>3271</v>
      </c>
      <c r="Q47" s="3447" t="s">
        <v>3216</v>
      </c>
      <c r="R47" s="3449">
        <f t="shared" si="1"/>
        <v>486</v>
      </c>
    </row>
    <row r="48" spans="1:18">
      <c r="A48" s="3447" t="s">
        <v>3272</v>
      </c>
      <c r="B48" s="3447" t="s">
        <v>3135</v>
      </c>
      <c r="C48" s="3447" t="s">
        <v>3136</v>
      </c>
      <c r="D48" s="3447">
        <v>2719</v>
      </c>
      <c r="E48" s="3447">
        <v>4894.2</v>
      </c>
      <c r="F48" s="3447" t="s">
        <v>3269</v>
      </c>
      <c r="G48" s="3447" t="s">
        <v>3138</v>
      </c>
      <c r="H48" s="3447" t="s">
        <v>3139</v>
      </c>
      <c r="I48" s="3447">
        <v>0</v>
      </c>
      <c r="J48" s="3447" t="s">
        <v>3270</v>
      </c>
      <c r="K48" s="3447" t="s">
        <v>3270</v>
      </c>
      <c r="L48" s="3447">
        <v>104</v>
      </c>
      <c r="M48" s="3447">
        <v>104</v>
      </c>
      <c r="N48" s="3447">
        <v>212.5</v>
      </c>
      <c r="O48" s="3447">
        <v>0</v>
      </c>
      <c r="P48" s="3447" t="s">
        <v>3271</v>
      </c>
      <c r="Q48" s="3447" t="s">
        <v>3216</v>
      </c>
      <c r="R48" s="3449">
        <f t="shared" si="1"/>
        <v>382</v>
      </c>
    </row>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18.75">
      <c r="A21" s="1661" t="s">
        <v>1866</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本次估价对象为出让国有建设用地使用权，《国有土地使用证》[]证载土地终止日期为商业2054年4月17日。截至估价期日，出让国有建设用地使用权剩余土地使用年限为。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H4:S47"/>
  <sheetViews>
    <sheetView topLeftCell="C1" workbookViewId="0">
      <selection activeCell="T22" sqref="T22"/>
    </sheetView>
  </sheetViews>
  <sheetFormatPr defaultRowHeight="13.5"/>
  <cols>
    <col min="11" max="11" width="17.25" bestFit="1" customWidth="1"/>
    <col min="12" max="12" width="9.5" bestFit="1" customWidth="1"/>
    <col min="13" max="13" width="11.125" customWidth="1"/>
    <col min="14" max="14" width="11" customWidth="1"/>
    <col min="15" max="15" width="10.125" customWidth="1"/>
  </cols>
  <sheetData>
    <row r="4" spans="10:19">
      <c r="O4" s="3156" t="s">
        <v>3303</v>
      </c>
      <c r="P4" s="3156" t="s">
        <v>3304</v>
      </c>
    </row>
    <row r="5" spans="10:19">
      <c r="J5">
        <v>1</v>
      </c>
      <c r="K5" s="3156" t="s">
        <v>3296</v>
      </c>
      <c r="L5" s="3475">
        <v>1200</v>
      </c>
      <c r="O5">
        <v>2019</v>
      </c>
      <c r="P5">
        <v>1</v>
      </c>
      <c r="Q5">
        <v>1.83E-2</v>
      </c>
      <c r="R5">
        <v>1</v>
      </c>
      <c r="S5">
        <f t="shared" ref="S5:S8" si="0">Q5+R5</f>
        <v>1.0183</v>
      </c>
    </row>
    <row r="6" spans="10:19">
      <c r="J6" s="3463">
        <v>2</v>
      </c>
      <c r="K6" s="3156" t="s">
        <v>3297</v>
      </c>
      <c r="L6">
        <v>1</v>
      </c>
      <c r="O6">
        <v>2019</v>
      </c>
      <c r="P6">
        <v>2</v>
      </c>
      <c r="Q6">
        <v>2.5700000000000001E-2</v>
      </c>
      <c r="R6">
        <v>1</v>
      </c>
      <c r="S6">
        <f t="shared" si="0"/>
        <v>1.0257000000000001</v>
      </c>
    </row>
    <row r="7" spans="10:19">
      <c r="J7">
        <v>3</v>
      </c>
      <c r="K7" s="3156" t="s">
        <v>3298</v>
      </c>
      <c r="L7" s="3475">
        <f>S19</f>
        <v>1.0896999999999999</v>
      </c>
      <c r="O7">
        <v>2019</v>
      </c>
      <c r="P7">
        <v>3</v>
      </c>
      <c r="Q7">
        <v>8.8000000000000005E-3</v>
      </c>
      <c r="R7">
        <v>1</v>
      </c>
      <c r="S7">
        <f t="shared" si="0"/>
        <v>1.0087999999999999</v>
      </c>
    </row>
    <row r="8" spans="10:19">
      <c r="J8">
        <v>4</v>
      </c>
      <c r="K8" s="3156" t="s">
        <v>3299</v>
      </c>
      <c r="L8" s="3475">
        <f>ROUND(POWER(1+K37,K38-K39)*(POWER(1+K37,K39)-1)/(POWER(1+K37,K38)-1),4)</f>
        <v>0.93200000000000005</v>
      </c>
      <c r="O8">
        <v>2019</v>
      </c>
      <c r="P8">
        <v>4</v>
      </c>
      <c r="Q8">
        <v>1.01E-2</v>
      </c>
      <c r="R8">
        <v>1</v>
      </c>
      <c r="S8">
        <f t="shared" si="0"/>
        <v>1.0101</v>
      </c>
    </row>
    <row r="9" spans="10:19">
      <c r="J9">
        <v>5</v>
      </c>
      <c r="K9" s="3156" t="s">
        <v>3300</v>
      </c>
      <c r="L9">
        <v>0.85</v>
      </c>
      <c r="O9">
        <v>2020</v>
      </c>
      <c r="P9">
        <v>1</v>
      </c>
      <c r="Q9">
        <v>5.4000000000000003E-3</v>
      </c>
      <c r="R9">
        <v>1</v>
      </c>
      <c r="S9">
        <f>Q9+R9</f>
        <v>1.0054000000000001</v>
      </c>
    </row>
    <row r="10" spans="10:19">
      <c r="J10">
        <v>6</v>
      </c>
      <c r="K10" s="3156" t="s">
        <v>3301</v>
      </c>
      <c r="L10" s="3476">
        <f>1+H47</f>
        <v>1.034</v>
      </c>
      <c r="O10">
        <v>2020</v>
      </c>
      <c r="P10">
        <v>2</v>
      </c>
      <c r="Q10">
        <v>7.4000000000000003E-3</v>
      </c>
      <c r="R10">
        <v>1</v>
      </c>
      <c r="S10">
        <f t="shared" ref="S10:S18" si="1">Q10+R10</f>
        <v>1.0074000000000001</v>
      </c>
    </row>
    <row r="11" spans="10:19">
      <c r="J11">
        <v>7</v>
      </c>
      <c r="K11" s="3156" t="s">
        <v>3302</v>
      </c>
      <c r="L11">
        <f>ROUND(L5*L6*L7*L8*L9*L10,0)</f>
        <v>1071</v>
      </c>
      <c r="O11">
        <v>2020</v>
      </c>
      <c r="P11">
        <v>3</v>
      </c>
      <c r="Q11">
        <v>-2.3999999999999998E-3</v>
      </c>
      <c r="R11">
        <v>1</v>
      </c>
      <c r="S11">
        <f t="shared" si="1"/>
        <v>0.99760000000000004</v>
      </c>
    </row>
    <row r="12" spans="10:19">
      <c r="K12" s="3156" t="s">
        <v>3307</v>
      </c>
      <c r="L12">
        <f>ROUND(L11*'数据-基础表'!A3/10000,0)</f>
        <v>1762</v>
      </c>
      <c r="O12">
        <v>2020</v>
      </c>
      <c r="P12">
        <v>4</v>
      </c>
      <c r="Q12">
        <v>2E-3</v>
      </c>
      <c r="R12">
        <v>1</v>
      </c>
      <c r="S12">
        <f t="shared" si="1"/>
        <v>1.002</v>
      </c>
    </row>
    <row r="13" spans="10:19">
      <c r="K13" s="3156" t="s">
        <v>3311</v>
      </c>
      <c r="L13">
        <f>ROUND(L12/'数据-汇总表'!F31*10000,0)</f>
        <v>9840</v>
      </c>
      <c r="O13">
        <v>2021</v>
      </c>
      <c r="P13">
        <v>1</v>
      </c>
      <c r="Q13">
        <v>2E-3</v>
      </c>
      <c r="R13">
        <v>1</v>
      </c>
      <c r="S13">
        <f t="shared" si="1"/>
        <v>1.002</v>
      </c>
    </row>
    <row r="14" spans="10:19">
      <c r="O14">
        <v>2021</v>
      </c>
      <c r="P14">
        <v>2</v>
      </c>
      <c r="Q14">
        <v>3.0999999999999999E-3</v>
      </c>
      <c r="R14">
        <v>1</v>
      </c>
      <c r="S14">
        <f t="shared" si="1"/>
        <v>1.0031000000000001</v>
      </c>
    </row>
    <row r="15" spans="10:19">
      <c r="O15">
        <v>2021</v>
      </c>
      <c r="P15">
        <v>3</v>
      </c>
      <c r="Q15">
        <v>6.1999999999999998E-3</v>
      </c>
      <c r="R15">
        <v>1</v>
      </c>
      <c r="S15">
        <f t="shared" si="1"/>
        <v>1.0062</v>
      </c>
    </row>
    <row r="16" spans="10:19">
      <c r="O16" s="3449">
        <v>2021</v>
      </c>
      <c r="P16" s="3449">
        <v>4</v>
      </c>
      <c r="Q16" s="3449"/>
      <c r="R16" s="3449">
        <v>1</v>
      </c>
      <c r="S16">
        <f t="shared" si="1"/>
        <v>1</v>
      </c>
    </row>
    <row r="17" spans="11:19">
      <c r="O17" s="3449">
        <v>2022</v>
      </c>
      <c r="P17" s="3449">
        <v>1</v>
      </c>
      <c r="Q17" s="3449"/>
      <c r="R17">
        <v>1</v>
      </c>
      <c r="S17">
        <f t="shared" si="1"/>
        <v>1</v>
      </c>
    </row>
    <row r="18" spans="11:19">
      <c r="O18" s="3449">
        <v>2022</v>
      </c>
      <c r="P18" s="3449">
        <v>2</v>
      </c>
      <c r="Q18" s="3449"/>
      <c r="R18" s="3449">
        <v>1</v>
      </c>
      <c r="S18">
        <f t="shared" si="1"/>
        <v>1</v>
      </c>
    </row>
    <row r="19" spans="11:19">
      <c r="S19">
        <f>ROUND(S5*S6*S7*S8*S9*S10*S11*S12*S13*S14*S15*S16*S17*S18,4)</f>
        <v>1.0896999999999999</v>
      </c>
    </row>
    <row r="24" spans="11:19">
      <c r="L24" s="3467"/>
      <c r="M24" s="3467" t="s">
        <v>3305</v>
      </c>
      <c r="N24" s="3467" t="s">
        <v>3306</v>
      </c>
      <c r="O24" s="3467" t="s">
        <v>3310</v>
      </c>
    </row>
    <row r="25" spans="11:19">
      <c r="L25" s="3467" t="s">
        <v>3307</v>
      </c>
      <c r="M25" s="3467">
        <f>'比较法-住宅、综合'!B2</f>
        <v>2456</v>
      </c>
      <c r="N25" s="3467">
        <f>L12</f>
        <v>1762</v>
      </c>
      <c r="O25" s="3467">
        <f>ROUND(M25*M27+N25*N27,0)</f>
        <v>2178</v>
      </c>
    </row>
    <row r="26" spans="11:19">
      <c r="L26" s="3467" t="s">
        <v>3308</v>
      </c>
      <c r="M26" s="3467">
        <f>'比较法-住宅、综合'!B3</f>
        <v>13716</v>
      </c>
      <c r="N26" s="3467">
        <f>L13</f>
        <v>9840</v>
      </c>
      <c r="O26" s="3467">
        <f>ROUND(O25/'数据-汇总表'!F27*10000,0)</f>
        <v>12163</v>
      </c>
    </row>
    <row r="27" spans="11:19">
      <c r="L27" s="3467" t="s">
        <v>3309</v>
      </c>
      <c r="M27" s="3467">
        <v>0.6</v>
      </c>
      <c r="N27" s="3467">
        <v>0.4</v>
      </c>
      <c r="O27" s="3467"/>
    </row>
    <row r="28" spans="11:19">
      <c r="P28" s="3156" t="s">
        <v>3312</v>
      </c>
      <c r="Q28">
        <f>ROUND(O25/'数据-汇总表'!D31*10000,0)</f>
        <v>1324</v>
      </c>
    </row>
    <row r="32" spans="11:19">
      <c r="K32" t="e">
        <f>ROUND(POWER(1+G20,J20-I20)*(POWER(1+G20,I20)-1)/(POWER(1+G20,J20)-1),4)</f>
        <v>#DIV/0!</v>
      </c>
    </row>
    <row r="33" spans="8:11">
      <c r="K33" s="3156" t="s">
        <v>3313</v>
      </c>
    </row>
    <row r="34" spans="8:11">
      <c r="K34" s="3156" t="s">
        <v>3314</v>
      </c>
    </row>
    <row r="35" spans="8:11">
      <c r="K35" s="3156" t="s">
        <v>3315</v>
      </c>
    </row>
    <row r="37" spans="8:11">
      <c r="J37" s="3156" t="s">
        <v>3316</v>
      </c>
      <c r="K37" s="3466">
        <v>0.06</v>
      </c>
    </row>
    <row r="38" spans="8:11">
      <c r="H38" s="3465">
        <v>0</v>
      </c>
      <c r="J38" s="3156" t="s">
        <v>3317</v>
      </c>
      <c r="K38">
        <v>40</v>
      </c>
    </row>
    <row r="39" spans="8:11">
      <c r="H39" s="3464">
        <v>1.4500000000000001E-2</v>
      </c>
      <c r="J39" s="3156" t="s">
        <v>3318</v>
      </c>
      <c r="K39">
        <f>项目基本情况!E19</f>
        <v>31.6</v>
      </c>
    </row>
    <row r="40" spans="8:11">
      <c r="H40" s="3466">
        <v>0</v>
      </c>
    </row>
    <row r="41" spans="8:11">
      <c r="H41" s="3464">
        <v>1.0999999999999999E-2</v>
      </c>
    </row>
    <row r="42" spans="8:11">
      <c r="H42" s="3464">
        <v>8.5000000000000006E-3</v>
      </c>
    </row>
    <row r="43" spans="8:11">
      <c r="H43" s="3466">
        <v>0</v>
      </c>
    </row>
    <row r="44" spans="8:11">
      <c r="H44" s="3466">
        <v>0</v>
      </c>
    </row>
    <row r="45" spans="8:11">
      <c r="H45" s="3466">
        <v>0</v>
      </c>
    </row>
    <row r="47" spans="8:11">
      <c r="H47" s="3464">
        <f>SUM(H38:H46)</f>
        <v>3.4000000000000002E-2</v>
      </c>
    </row>
  </sheetData>
  <phoneticPr fontId="225" type="noConversion"/>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45" sqref="L45"/>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31" s="1878" customFormat="1" ht="18" customHeight="1">
      <c r="A2" s="1937" t="s">
        <v>461</v>
      </c>
      <c r="B2" s="1941">
        <f ca="1">C36</f>
        <v>1762</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31" s="1878" customFormat="1" ht="18" customHeight="1">
      <c r="A3" s="1942" t="s">
        <v>1484</v>
      </c>
      <c r="B3" s="1943">
        <f ca="1">ROUND(B2*10000/IF(B1="",'数据-汇总表'!E3,INDIRECT("'数据-取费表'!K"&amp;$K$1)),0)</f>
        <v>9840</v>
      </c>
      <c r="C3" s="1940"/>
      <c r="D3" s="1940"/>
      <c r="E3" s="1940"/>
      <c r="F3" s="1940"/>
      <c r="G3" s="1940"/>
      <c r="H3" s="1940"/>
      <c r="I3" s="1940"/>
      <c r="J3" s="1940"/>
      <c r="K3" s="1940"/>
      <c r="L3" s="289">
        <f>基准地价系数修正法!L12</f>
        <v>1762</v>
      </c>
      <c r="M3" s="289"/>
      <c r="N3" s="289"/>
      <c r="O3" s="289"/>
      <c r="P3" s="289"/>
      <c r="Q3" s="289"/>
      <c r="R3" s="289"/>
      <c r="S3" s="289"/>
      <c r="T3" s="289"/>
      <c r="U3" s="289"/>
      <c r="V3" s="289"/>
      <c r="W3" s="289"/>
      <c r="X3" s="289"/>
      <c r="Y3" s="289"/>
      <c r="Z3" s="289"/>
    </row>
    <row r="4" spans="1:31" s="1878" customFormat="1" ht="18" customHeight="1">
      <c r="A4" s="419" t="s">
        <v>462</v>
      </c>
      <c r="B4" s="420">
        <f ca="1">ROUND(B2*10000/IF(B1="",'数据-汇总表'!D3,INDIRECT("'数据-取费表'!R"&amp;$K$1)),0)</f>
        <v>1071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8" customFormat="1" ht="18" customHeight="1" thickBot="1">
      <c r="A5" s="422"/>
      <c r="B5" s="423">
        <f ca="1">ROUND(B2/(IF(B1="",'数据-汇总表'!D3,INDIRECT("'数据-取费表'!R"&amp;$K$1))/666.67),0)</f>
        <v>71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7" customFormat="1" ht="16.5" customHeight="1">
      <c r="A6" s="2467" t="s">
        <v>1642</v>
      </c>
      <c r="B6" s="2468"/>
      <c r="C6" s="2469">
        <f>SUM(C10:K10)</f>
        <v>3533</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29" t="s">
        <v>3280</v>
      </c>
      <c r="D7" s="429"/>
      <c r="E7" s="429"/>
      <c r="F7" s="429"/>
      <c r="G7" s="429"/>
      <c r="H7" s="429"/>
      <c r="I7" s="429"/>
      <c r="J7" s="429"/>
      <c r="K7" s="430"/>
      <c r="AA7" s="1948"/>
      <c r="AB7" s="1948"/>
      <c r="AC7" s="1948"/>
      <c r="AD7" s="1948"/>
      <c r="AE7" s="1948"/>
    </row>
    <row r="8" spans="1:31" s="1951" customFormat="1" ht="13.5" customHeight="1">
      <c r="A8" s="775" t="s">
        <v>1645</v>
      </c>
      <c r="B8" s="258" t="s">
        <v>466</v>
      </c>
      <c r="C8" s="2473"/>
      <c r="D8" s="2473"/>
      <c r="E8" s="2473"/>
      <c r="F8" s="2473"/>
      <c r="G8" s="2473"/>
      <c r="H8" s="2473"/>
      <c r="I8" s="2473"/>
      <c r="J8" s="2473"/>
      <c r="K8" s="2474"/>
      <c r="AA8" s="1950"/>
      <c r="AB8" s="1950"/>
      <c r="AC8" s="1950"/>
      <c r="AD8" s="1950"/>
      <c r="AE8" s="1950"/>
    </row>
    <row r="9" spans="1:31" s="1951" customFormat="1" ht="13.5" customHeight="1">
      <c r="A9" s="775" t="s">
        <v>1646</v>
      </c>
      <c r="B9" s="258" t="s">
        <v>467</v>
      </c>
      <c r="C9" s="434">
        <f>SUMIF('数据-汇总表'!$C19:$C33,'剩余法-待开发'!C7,'数据-汇总表'!$E19:$E33)</f>
        <v>1790.62</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50"/>
      <c r="AB9" s="1950"/>
      <c r="AC9" s="1950"/>
      <c r="AD9" s="1950"/>
      <c r="AE9" s="1950"/>
    </row>
    <row r="10" spans="1:31" s="1951" customFormat="1" ht="13.5" customHeight="1" thickBot="1">
      <c r="A10" s="2475" t="s">
        <v>1647</v>
      </c>
      <c r="B10" s="2461" t="s">
        <v>468</v>
      </c>
      <c r="C10" s="3471">
        <v>3533</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2">
        <f ca="1">IF(B1="",'数据-取费表'!P16,INDIRECT("'数据-取费表'!p"&amp;$K$1)+INDIRECT("'数据-取费表'!t"&amp;$K$1))</f>
        <v>895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27</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36</v>
      </c>
      <c r="D16" s="2483">
        <f ca="1">IF(B1="",'数据-汇总表'!E3,INDIRECT("'数据-取费表'!K"&amp;$K$1)+INDIRECT("'数据-取费表'!S"&amp;$K$1))</f>
        <v>1790.62</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13</v>
      </c>
      <c r="D17" s="467"/>
      <c r="E17" s="2487"/>
      <c r="F17" s="2488">
        <f>'数据-取费表'!B36</f>
        <v>1.4999999999999999E-2</v>
      </c>
      <c r="G17" s="258" t="s">
        <v>480</v>
      </c>
      <c r="H17" s="2454"/>
      <c r="I17" s="2454"/>
      <c r="J17" s="2454"/>
      <c r="K17" s="276"/>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971</v>
      </c>
      <c r="D18" s="2492"/>
      <c r="E18" s="460"/>
      <c r="F18" s="460"/>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1790.62</v>
      </c>
      <c r="E19" s="2447">
        <f>'数据-取费表'!B32</f>
        <v>0</v>
      </c>
      <c r="F19" s="460"/>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36</v>
      </c>
      <c r="D22" s="2483">
        <f ca="1">IF(B1="",'数据-汇总表'!E6,IF(INDIRECT("'数据-取费表'!c"&amp;$K$1)="住宅",INDIRECT("'数据-取费表'!s"&amp;$K$1),INDIRECT("'数据-取费表'!k"&amp;$K$1)+INDIRECT("'数据-取费表'!s"&amp;$K$1)))</f>
        <v>1790.62</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20</v>
      </c>
      <c r="D23" s="460"/>
      <c r="E23" s="460"/>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71</v>
      </c>
      <c r="D24" s="467"/>
      <c r="E24" s="465"/>
      <c r="F24" s="2495">
        <f>'数据-取费表'!B38</f>
        <v>0.02</v>
      </c>
      <c r="G24" s="2460" t="s">
        <v>493</v>
      </c>
      <c r="H24" s="2454"/>
      <c r="I24" s="2454"/>
      <c r="J24" s="2454"/>
      <c r="K24" s="276"/>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59">
        <f>ROUND(F25/(1+'数据-取费表'!C42),4)</f>
        <v>2.9000000000000001E-2</v>
      </c>
      <c r="D25" s="454" t="s">
        <v>2544</v>
      </c>
      <c r="E25" s="461"/>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59">
        <f ca="1">C27</f>
        <v>0</v>
      </c>
      <c r="E26" s="461" t="s">
        <v>489</v>
      </c>
      <c r="F26" s="463">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5" t="s">
        <v>1656</v>
      </c>
      <c r="B27" s="2497" t="s">
        <v>490</v>
      </c>
      <c r="C27" s="2498">
        <f ca="1">ROUND(IF('数据-取费表'!B22&lt;=1,(1+C25)*F26*'数据-取费表'!B24,(1+C25)*(POWER((1+F26),'数据-取费表'!B24)-1)),4)</f>
        <v>0</v>
      </c>
      <c r="D27" s="464"/>
      <c r="E27" s="465"/>
      <c r="F27" s="466"/>
      <c r="G27" s="2346" t="str">
        <f>IF('数据-取费表'!B22&lt;=1,"（1+取得税费率/(1+5%)）×年利率×建设期","（1+取得税费率）/(1+5%)×((1+年利率)^建设期-1)")</f>
        <v>（1+取得税费率）/(1+5%)×((1+年利率)^建设期-1)</v>
      </c>
      <c r="H27" s="2454"/>
      <c r="I27" s="2454"/>
      <c r="J27" s="2454"/>
      <c r="K27" s="276"/>
      <c r="L27" s="3109"/>
      <c r="M27" s="3109"/>
      <c r="N27" s="3109"/>
      <c r="O27" s="3109"/>
      <c r="P27" s="3109"/>
      <c r="Q27" s="3109"/>
      <c r="R27" s="3109"/>
      <c r="S27" s="3109"/>
      <c r="T27" s="3109"/>
      <c r="U27" s="3109"/>
      <c r="V27" s="3109"/>
      <c r="W27" s="3109"/>
      <c r="X27" s="3109"/>
      <c r="Y27" s="3109"/>
      <c r="Z27" s="3109"/>
    </row>
    <row r="28" spans="1:26" s="1956" customFormat="1" ht="13.5" customHeight="1">
      <c r="A28" s="775" t="s">
        <v>1657</v>
      </c>
      <c r="B28" s="2497" t="s">
        <v>2552</v>
      </c>
      <c r="C28" s="2499">
        <f ca="1">ROUND(IF('数据-取费表'!B22&lt;=1,(C18+C19+C20+C23+C24)*F26*'数据-取费表'!B24/2,(C18+C19+C20+C23+C24)*(POWER((1+F26),'数据-取费表'!B24/2)-1)),0)</f>
        <v>0</v>
      </c>
      <c r="D28" s="464"/>
      <c r="E28" s="465"/>
      <c r="F28" s="466"/>
      <c r="G28" s="2346" t="str">
        <f>IF('数据-取费表'!B22&lt;=1,"（1）-（4）项×年利率×建设期÷2","（1）-（4）项×((1+年利率)^(建设期÷2)-1)")</f>
        <v>（1）-（4）项×((1+年利率)^(建设期÷2)-1)</v>
      </c>
      <c r="H28" s="2454"/>
      <c r="I28" s="2454"/>
      <c r="J28" s="2454"/>
      <c r="K28" s="276"/>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185</v>
      </c>
      <c r="D29" s="460"/>
      <c r="E29" s="460"/>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1283</v>
      </c>
      <c r="D30" s="469">
        <f ca="1">C32</f>
        <v>2.9000000000000001E-2</v>
      </c>
      <c r="E30" s="461" t="s">
        <v>489</v>
      </c>
      <c r="F30" s="463"/>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5" t="s">
        <v>1656</v>
      </c>
      <c r="B31" s="2497"/>
      <c r="C31" s="442">
        <f ca="1">C18+C19+C20+C23+C24+C26+C29</f>
        <v>1283</v>
      </c>
      <c r="D31" s="464"/>
      <c r="E31" s="465"/>
      <c r="F31" s="466"/>
      <c r="G31" s="258"/>
      <c r="H31" s="2454"/>
      <c r="I31" s="2454"/>
      <c r="J31" s="2454"/>
      <c r="K31" s="276"/>
      <c r="L31" s="3109"/>
      <c r="M31" s="3109"/>
      <c r="N31" s="3109"/>
      <c r="O31" s="3109"/>
      <c r="P31" s="3109"/>
      <c r="Q31" s="3109"/>
      <c r="R31" s="3109"/>
      <c r="S31" s="3109"/>
      <c r="T31" s="3109"/>
      <c r="U31" s="3109"/>
      <c r="V31" s="3109"/>
      <c r="W31" s="3109"/>
      <c r="X31" s="3109"/>
      <c r="Y31" s="3109"/>
      <c r="Z31" s="3109"/>
    </row>
    <row r="32" spans="1:26" s="1956" customFormat="1" ht="13.5" customHeight="1">
      <c r="A32" s="775" t="s">
        <v>1657</v>
      </c>
      <c r="B32" s="2497"/>
      <c r="C32" s="53">
        <f ca="1">ROUND(C25+D26,4)</f>
        <v>2.9000000000000001E-2</v>
      </c>
      <c r="D32" s="464"/>
      <c r="E32" s="465"/>
      <c r="F32" s="466"/>
      <c r="G32" s="258"/>
      <c r="H32" s="2454"/>
      <c r="I32" s="2454"/>
      <c r="J32" s="2454"/>
      <c r="K32" s="276"/>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0">
        <f ca="1">C35</f>
        <v>165</v>
      </c>
      <c r="D33" s="459">
        <f ca="1">C34</f>
        <v>0.15440000000000001</v>
      </c>
      <c r="E33" s="461" t="s">
        <v>489</v>
      </c>
      <c r="F33" s="471">
        <f ca="1">IF(B1="",'数据-取费表'!Q16,INDIRECT("'数据-取费表'!q"&amp;$K$1))</f>
        <v>0.15</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8" t="s">
        <v>1656</v>
      </c>
      <c r="B34" s="2502" t="s">
        <v>495</v>
      </c>
      <c r="C34" s="464">
        <f ca="1">ROUND((1+C25)*F33,4)</f>
        <v>0.15440000000000001</v>
      </c>
      <c r="D34" s="464"/>
      <c r="E34" s="465"/>
      <c r="F34" s="472"/>
      <c r="G34" s="258" t="s">
        <v>2081</v>
      </c>
      <c r="H34" s="2454"/>
      <c r="I34" s="2454"/>
      <c r="J34" s="2454"/>
      <c r="K34" s="276"/>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165</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1" t="s">
        <v>1644</v>
      </c>
      <c r="B36" s="2465"/>
      <c r="C36" s="2504">
        <f ca="1">ROUND((C6-C30-C33)/(1+D30+D33),0)</f>
        <v>1762</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3" t="s">
        <v>1525</v>
      </c>
      <c r="B1" s="712"/>
      <c r="C1" s="745" t="s">
        <v>3280</v>
      </c>
      <c r="D1" s="2716" t="s">
        <v>931</v>
      </c>
      <c r="E1" s="2196" t="s">
        <v>2161</v>
      </c>
      <c r="F1" s="2197">
        <f ca="1">J53</f>
        <v>31.6</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6" t="s">
        <v>1526</v>
      </c>
      <c r="B2" s="747">
        <f ca="1">C40+J29+L46</f>
        <v>-905</v>
      </c>
      <c r="C2" s="3172"/>
      <c r="D2" s="3173"/>
      <c r="E2" s="3174"/>
      <c r="F2" s="3174"/>
      <c r="G2" s="3168"/>
      <c r="H2" s="1894"/>
      <c r="I2" s="1894"/>
      <c r="J2" s="1894"/>
      <c r="K2" s="1895"/>
      <c r="L2" s="1894"/>
      <c r="M2" s="1894"/>
    </row>
    <row r="3" spans="1:33" ht="18" customHeight="1" thickBot="1">
      <c r="A3" s="804" t="s">
        <v>1527</v>
      </c>
      <c r="B3" s="805">
        <f ca="1">IF(ISERROR(B2*10000/F43),0,ROUND(B2*10000/F43,0))</f>
        <v>-5054</v>
      </c>
      <c r="C3" s="3172"/>
      <c r="D3" s="3173"/>
      <c r="E3" s="3174"/>
      <c r="F3" s="3174"/>
      <c r="G3" s="3168"/>
      <c r="H3" s="748" t="s">
        <v>677</v>
      </c>
      <c r="I3" s="1271"/>
      <c r="J3" s="1271"/>
      <c r="K3" s="1481"/>
      <c r="L3" s="1271"/>
      <c r="M3" s="1271"/>
    </row>
    <row r="4" spans="1:33" ht="18" customHeight="1">
      <c r="A4" s="749" t="s">
        <v>1528</v>
      </c>
      <c r="B4" s="750" t="s">
        <v>1529</v>
      </c>
      <c r="C4" s="750" t="s">
        <v>1530</v>
      </c>
      <c r="D4" s="750" t="s">
        <v>615</v>
      </c>
      <c r="E4" s="751" t="s">
        <v>1531</v>
      </c>
      <c r="F4" s="752"/>
      <c r="G4" s="1899"/>
      <c r="H4" s="749" t="s">
        <v>1532</v>
      </c>
      <c r="I4" s="750" t="s">
        <v>1533</v>
      </c>
      <c r="J4" s="750" t="s">
        <v>1534</v>
      </c>
      <c r="K4" s="750" t="s">
        <v>1535</v>
      </c>
      <c r="L4" s="751" t="s">
        <v>1536</v>
      </c>
      <c r="M4" s="752"/>
    </row>
    <row r="5" spans="1:33" ht="18" customHeight="1">
      <c r="A5" s="753">
        <v>1</v>
      </c>
      <c r="B5" s="754" t="s">
        <v>2237</v>
      </c>
      <c r="C5" s="55">
        <f ca="1">C6+C10+C12</f>
        <v>0</v>
      </c>
      <c r="D5" s="2301" t="s">
        <v>2240</v>
      </c>
      <c r="E5" s="2295"/>
      <c r="F5" s="2296"/>
      <c r="G5" s="1899"/>
      <c r="H5" s="753">
        <v>1</v>
      </c>
      <c r="I5" s="754" t="s">
        <v>2237</v>
      </c>
      <c r="J5" s="55">
        <f ca="1">J6+J10+J12</f>
        <v>0</v>
      </c>
      <c r="K5" s="2301" t="s">
        <v>2240</v>
      </c>
      <c r="L5" s="2295"/>
      <c r="M5" s="2296"/>
    </row>
    <row r="6" spans="1:33" ht="18" customHeight="1">
      <c r="A6" s="1700" t="s">
        <v>1624</v>
      </c>
      <c r="B6" s="3755" t="s">
        <v>2242</v>
      </c>
      <c r="C6" s="755">
        <f ca="1">ROUND(F6*F8*F7*(1-F9)/10000,0)</f>
        <v>0</v>
      </c>
      <c r="D6" s="2302" t="s">
        <v>2241</v>
      </c>
      <c r="E6" s="756" t="s">
        <v>1538</v>
      </c>
      <c r="F6" s="757">
        <f ca="1">INDIRECT("'数据-取费表'!u"&amp;$G$1)</f>
        <v>0</v>
      </c>
      <c r="G6" s="1899"/>
      <c r="H6" s="2309" t="s">
        <v>2247</v>
      </c>
      <c r="I6" s="3755" t="s">
        <v>2242</v>
      </c>
      <c r="J6" s="755">
        <f ca="1">ROUND(M6*M8*M7*(1-M9)/10000,0)</f>
        <v>0</v>
      </c>
      <c r="K6" s="338" t="s">
        <v>1537</v>
      </c>
      <c r="L6" s="756" t="s">
        <v>1538</v>
      </c>
      <c r="M6" s="757">
        <f ca="1">INDIRECT("'数据-取费表'!z"&amp;$G$1)</f>
        <v>0</v>
      </c>
    </row>
    <row r="7" spans="1:33" ht="18" customHeight="1">
      <c r="A7" s="2305"/>
      <c r="B7" s="3756"/>
      <c r="C7" s="760"/>
      <c r="D7" s="761"/>
      <c r="E7" s="756" t="s">
        <v>1539</v>
      </c>
      <c r="F7" s="757">
        <f ca="1">IF(INDIRECT("'数据-取费表'!ah"&amp;$G$1)="",INDIRECT("'数据-取费表'!k"&amp;$G$1),INDIRECT("'数据-取费表'!ah"&amp;$G$1))</f>
        <v>1</v>
      </c>
      <c r="G7" s="1899"/>
      <c r="H7" s="2294"/>
      <c r="I7" s="3756"/>
      <c r="J7" s="760"/>
      <c r="K7" s="761"/>
      <c r="L7" s="756" t="s">
        <v>1539</v>
      </c>
      <c r="M7" s="757">
        <f ca="1">F7</f>
        <v>1</v>
      </c>
    </row>
    <row r="8" spans="1:33" ht="18" customHeight="1">
      <c r="A8" s="2298"/>
      <c r="B8" s="3757"/>
      <c r="C8" s="760"/>
      <c r="D8" s="761"/>
      <c r="E8" s="756" t="s">
        <v>1540</v>
      </c>
      <c r="F8" s="757">
        <f ca="1">INDIRECT("'数据-取费表'!ai"&amp;$G$1)</f>
        <v>1</v>
      </c>
      <c r="G8" s="1899"/>
      <c r="H8" s="2294"/>
      <c r="I8" s="3757"/>
      <c r="J8" s="760"/>
      <c r="K8" s="761"/>
      <c r="L8" s="756" t="s">
        <v>1540</v>
      </c>
      <c r="M8" s="757">
        <f ca="1">INDIRECT("'数据-取费表'!ai"&amp;$G$1)</f>
        <v>1</v>
      </c>
    </row>
    <row r="9" spans="1:33" ht="18" customHeight="1">
      <c r="A9" s="758"/>
      <c r="B9" s="3758"/>
      <c r="C9" s="760"/>
      <c r="D9" s="761"/>
      <c r="E9" s="756" t="s">
        <v>1541</v>
      </c>
      <c r="F9" s="766">
        <f ca="1">INDIRECT("'数据-取费表'!w"&amp;$G$1)</f>
        <v>0</v>
      </c>
      <c r="G9" s="1899"/>
      <c r="H9" s="2310"/>
      <c r="I9" s="3757"/>
      <c r="J9" s="760"/>
      <c r="K9" s="761"/>
      <c r="L9" s="767" t="s">
        <v>1541</v>
      </c>
      <c r="M9" s="768">
        <f ca="1">INDIRECT("'数据-取费表'!ab"&amp;$G$1)</f>
        <v>0</v>
      </c>
    </row>
    <row r="10" spans="1:33" ht="18" customHeight="1">
      <c r="A10" s="1700" t="s">
        <v>2245</v>
      </c>
      <c r="B10" s="2299" t="s">
        <v>2238</v>
      </c>
      <c r="C10" s="771">
        <f ca="1">ROUND(IF(F10="押一",C6/12*F11,IF(F10="押二",C6/12*2*F11,IF(F10="押三",C6/12*3*F11,C11*F11))),0)</f>
        <v>0</v>
      </c>
      <c r="D10" s="2306" t="s">
        <v>2671</v>
      </c>
      <c r="E10" s="2303" t="s">
        <v>2243</v>
      </c>
      <c r="F10" s="2387" t="s">
        <v>3291</v>
      </c>
      <c r="G10" s="1899"/>
      <c r="H10" s="2337" t="s">
        <v>2248</v>
      </c>
      <c r="I10" s="2342" t="s">
        <v>2238</v>
      </c>
      <c r="J10" s="755">
        <f ca="1">ROUND(IF(M10="押一",J6/12*M11,IF(M10="押二",J6/12*2*M11,IF(M10="押三",J6/12*3*M11,J11*M11))),0)</f>
        <v>0</v>
      </c>
      <c r="K10" s="2306" t="s">
        <v>2671</v>
      </c>
      <c r="L10" s="2303" t="s">
        <v>2243</v>
      </c>
      <c r="M10" s="2387"/>
    </row>
    <row r="11" spans="1:33" ht="18" customHeight="1">
      <c r="A11" s="762"/>
      <c r="B11" s="2300" t="s">
        <v>2291</v>
      </c>
      <c r="C11" s="2304"/>
      <c r="D11" s="761"/>
      <c r="E11" s="2303" t="s">
        <v>2244</v>
      </c>
      <c r="F11" s="768">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4">
        <f ca="1">ROUND(C29*F13,0)</f>
        <v>1277</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6" t="s">
        <v>627</v>
      </c>
      <c r="C14" s="776">
        <f ca="1">INDIRECT("'数据-取费表'!m"&amp;$G$1)+INDIRECT("'数据-取费表'!t"&amp;$G$1)</f>
        <v>895</v>
      </c>
      <c r="D14" s="1847" t="s">
        <v>1545</v>
      </c>
      <c r="E14" s="1848"/>
      <c r="F14" s="777"/>
      <c r="G14" s="1899"/>
      <c r="H14" s="1532" t="s">
        <v>1630</v>
      </c>
      <c r="I14" s="2065" t="s">
        <v>2542</v>
      </c>
      <c r="J14" s="53">
        <f ca="1">C29</f>
        <v>1277</v>
      </c>
      <c r="K14" s="26"/>
      <c r="L14" s="773"/>
      <c r="M14" s="774"/>
    </row>
    <row r="15" spans="1:33" s="1901" customFormat="1" ht="18" customHeight="1" thickBot="1">
      <c r="A15" s="1531" t="s">
        <v>1681</v>
      </c>
      <c r="B15" s="756" t="s">
        <v>629</v>
      </c>
      <c r="C15" s="53">
        <f ca="1">ROUND(C14*F15,0)</f>
        <v>27</v>
      </c>
      <c r="D15" s="778" t="s">
        <v>1546</v>
      </c>
      <c r="E15" s="778" t="s">
        <v>1547</v>
      </c>
      <c r="F15" s="779">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6" t="s">
        <v>632</v>
      </c>
      <c r="C16" s="53">
        <f ca="1">ROUND(INDIRECT("'数据-取费表'!m"&amp;$G$1)*F16,0)</f>
        <v>0</v>
      </c>
      <c r="D16" s="756" t="s">
        <v>1546</v>
      </c>
      <c r="E16" s="756" t="s">
        <v>1547</v>
      </c>
      <c r="F16" s="781">
        <f ca="1">IF(INDIRECT("'数据-取费表'!c"&amp;$G$1)="住宅",'数据-取费表'!B34,0)</f>
        <v>0</v>
      </c>
      <c r="G16" s="1899"/>
      <c r="H16" s="1699" t="s">
        <v>1548</v>
      </c>
      <c r="I16" s="1697" t="s">
        <v>1549</v>
      </c>
      <c r="J16" s="764">
        <f ca="1">ROUND(J17+J22+J23+J24,0)</f>
        <v>165</v>
      </c>
      <c r="K16" s="1691" t="s">
        <v>1550</v>
      </c>
      <c r="L16" s="2291"/>
      <c r="M16" s="2296"/>
    </row>
    <row r="17" spans="1:33" s="1901" customFormat="1" ht="18" customHeight="1">
      <c r="A17" s="1531" t="s">
        <v>1683</v>
      </c>
      <c r="B17" s="756" t="s">
        <v>635</v>
      </c>
      <c r="C17" s="53">
        <f ca="1">ROUND(F17*(F43+INDIRECT("'数据-取费表'!S"&amp;$G$1))/10000,0)</f>
        <v>36</v>
      </c>
      <c r="D17" s="756" t="s">
        <v>1551</v>
      </c>
      <c r="E17" s="756" t="s">
        <v>1552</v>
      </c>
      <c r="F17" s="56">
        <f>'数据-取费表'!B35</f>
        <v>200</v>
      </c>
      <c r="G17" s="3169"/>
      <c r="H17" s="1532" t="s">
        <v>1630</v>
      </c>
      <c r="I17" s="756" t="s">
        <v>638</v>
      </c>
      <c r="J17" s="2927">
        <f ca="1">ROUND(IF(AND(项目基本情况!B11="自然人",项目基本情况!B10="北京市"),J6*M17/(1+'数据-取费表'!C42),J18+J19+J20),0)</f>
        <v>146</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6" t="s">
        <v>641</v>
      </c>
      <c r="C18" s="53">
        <f ca="1">ROUND(C14*F18,0)</f>
        <v>13</v>
      </c>
      <c r="D18" s="756" t="s">
        <v>1546</v>
      </c>
      <c r="E18" s="756" t="s">
        <v>1547</v>
      </c>
      <c r="F18" s="781">
        <f>'数据-取费表'!B36</f>
        <v>1.4999999999999999E-2</v>
      </c>
      <c r="G18" s="3169"/>
      <c r="H18" s="1531" t="s">
        <v>1680</v>
      </c>
      <c r="I18" s="756" t="s">
        <v>1555</v>
      </c>
      <c r="J18" s="53">
        <f ca="1">ROUND(J6*M18/(1+'数据-取费表'!C42),1)</f>
        <v>0</v>
      </c>
      <c r="K18" s="2289" t="s">
        <v>1556</v>
      </c>
      <c r="L18" s="756" t="s">
        <v>1547</v>
      </c>
      <c r="M18" s="781">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6" t="s">
        <v>644</v>
      </c>
      <c r="C19" s="53">
        <f ca="1">SUM(C14:C18)</f>
        <v>971</v>
      </c>
      <c r="D19" s="258" t="s">
        <v>1557</v>
      </c>
      <c r="E19" s="1850"/>
      <c r="F19" s="56"/>
      <c r="G19" s="1899"/>
      <c r="H19" s="1531" t="s">
        <v>1681</v>
      </c>
      <c r="I19" s="756" t="s">
        <v>1558</v>
      </c>
      <c r="J19" s="53">
        <f ca="1">IF(K19="按租金收入计税",ROUND(J6*M19/(1+'数据-取费表'!C42),1),ROUND(C29*F33*0.7,1))</f>
        <v>107.3</v>
      </c>
      <c r="K19" s="782" t="s">
        <v>647</v>
      </c>
      <c r="L19" s="756" t="s">
        <v>1547</v>
      </c>
      <c r="M19" s="781">
        <f>IF(K19="按租金收入计税",'数据-取费表'!B51,'数据-取费表'!B50)</f>
        <v>1.2E-2</v>
      </c>
    </row>
    <row r="20" spans="1:33" s="1901" customFormat="1" ht="18" customHeight="1">
      <c r="A20" s="1532" t="s">
        <v>1685</v>
      </c>
      <c r="B20" s="756" t="s">
        <v>648</v>
      </c>
      <c r="C20" s="53">
        <f ca="1">ROUND(C19*F20,0)</f>
        <v>19</v>
      </c>
      <c r="D20" s="783" t="s">
        <v>1559</v>
      </c>
      <c r="E20" s="756" t="s">
        <v>1547</v>
      </c>
      <c r="F20" s="781">
        <f>'数据-取费表'!B37</f>
        <v>0.02</v>
      </c>
      <c r="G20" s="3169"/>
      <c r="H20" s="1534" t="s">
        <v>1676</v>
      </c>
      <c r="I20" s="338" t="s">
        <v>1560</v>
      </c>
      <c r="J20" s="54">
        <f ca="1">ROUND(M20*M21/10000,0)</f>
        <v>39</v>
      </c>
      <c r="K20" s="785" t="s">
        <v>1561</v>
      </c>
      <c r="L20" s="756" t="s">
        <v>1562</v>
      </c>
      <c r="M20" s="614">
        <f>'数据-取费表'!B52</f>
        <v>24</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6" t="s">
        <v>1563</v>
      </c>
      <c r="C21" s="53" t="s">
        <v>1564</v>
      </c>
      <c r="D21" s="783" t="s">
        <v>2088</v>
      </c>
      <c r="E21" s="756" t="s">
        <v>1565</v>
      </c>
      <c r="F21" s="781">
        <f>'数据-取费表'!B38</f>
        <v>0.02</v>
      </c>
      <c r="G21" s="3169"/>
      <c r="H21" s="2311"/>
      <c r="I21" s="765"/>
      <c r="J21" s="69"/>
      <c r="K21" s="787"/>
      <c r="L21" s="756" t="s">
        <v>1566</v>
      </c>
      <c r="M21" s="757">
        <f ca="1">INDIRECT("'数据-取费表'!r"&amp;$G$1)</f>
        <v>16450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6" t="s">
        <v>1567</v>
      </c>
      <c r="C22" s="53"/>
      <c r="D22" s="2346" t="str">
        <f>IF(F23&lt;=1,"单利计息。","复利计息。")&amp;"建造成本、管理费用、销售费用产生的利息。"</f>
        <v>复利计息。建造成本、管理费用、销售费用产生的利息。</v>
      </c>
      <c r="E22" s="1850"/>
      <c r="F22" s="56"/>
      <c r="G22" s="1899"/>
      <c r="H22" s="1532" t="s">
        <v>1685</v>
      </c>
      <c r="I22" s="756" t="s">
        <v>1568</v>
      </c>
      <c r="J22" s="53">
        <f ca="1">ROUND(J14*M22,0)</f>
        <v>19</v>
      </c>
      <c r="K22" s="2289" t="s">
        <v>1569</v>
      </c>
      <c r="L22" s="756" t="s">
        <v>1547</v>
      </c>
      <c r="M22" s="788">
        <f ca="1">INDIRECT("'数据-取费表'!Ak"&amp;$G$1)</f>
        <v>1.4999999999999999E-2</v>
      </c>
    </row>
    <row r="23" spans="1:33" s="1901" customFormat="1" ht="18" customHeight="1">
      <c r="A23" s="1531" t="s">
        <v>1631</v>
      </c>
      <c r="B23" s="756" t="s">
        <v>2253</v>
      </c>
      <c r="C23" s="53">
        <f ca="1">ROUND(IF('数据-取费表'!B22&lt;=1,(C19+C20)*F24*F23/2,(C19+C20)*(POWER((1+F24),F23/2)-1)),0)</f>
        <v>41</v>
      </c>
      <c r="D23" s="2345" t="str">
        <f>IF(F23&lt;=1,"(建造成本+管理费用)×利率×(建设周期÷2)","(建造成本+管理费用)×((1+利率)^(建设周期÷2)-1)")</f>
        <v>(建造成本+管理费用)×((1+利率)^(建设周期÷2)-1)</v>
      </c>
      <c r="E23" s="756" t="s">
        <v>1570</v>
      </c>
      <c r="F23" s="614">
        <f>'数据-取费表'!B20</f>
        <v>2</v>
      </c>
      <c r="G23" s="3169"/>
      <c r="H23" s="1532" t="s">
        <v>1686</v>
      </c>
      <c r="I23" s="756" t="s">
        <v>661</v>
      </c>
      <c r="J23" s="53">
        <f ca="1">ROUND(J13*M23,0)</f>
        <v>0</v>
      </c>
      <c r="K23" s="2289" t="s">
        <v>1571</v>
      </c>
      <c r="L23" s="756" t="s">
        <v>1547</v>
      </c>
      <c r="M23" s="789">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6" t="s">
        <v>1572</v>
      </c>
      <c r="C24" s="53">
        <f ca="1">ROUND(IF('数据-取费表'!B22&lt;=1,F21*F24*F23/2,F21*(POWER((1+F24),F23/2)-1)),4)</f>
        <v>8.0000000000000004E-4</v>
      </c>
      <c r="D24" s="2345" t="str">
        <f>IF(F23&lt;=1,"销售费用×利率×(建设周期÷2)","销售费用×((1+利率)^(建设周期÷2)-1)")</f>
        <v>销售费用×((1+利率)^(建设周期÷2)-1)</v>
      </c>
      <c r="E24" s="756" t="s">
        <v>1573</v>
      </c>
      <c r="F24" s="790">
        <f ca="1">'数据-取费表'!B40</f>
        <v>4.1499999999999995E-2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6" t="s">
        <v>666</v>
      </c>
      <c r="C25" s="53"/>
      <c r="D25" s="258" t="s">
        <v>1575</v>
      </c>
      <c r="E25" s="1850"/>
      <c r="F25" s="56"/>
      <c r="G25" s="1899"/>
      <c r="H25" s="1699" t="s">
        <v>1576</v>
      </c>
      <c r="I25" s="2644" t="s">
        <v>2538</v>
      </c>
      <c r="J25" s="764">
        <f ca="1">J5-J16</f>
        <v>-165</v>
      </c>
      <c r="K25" s="2324" t="s">
        <v>1577</v>
      </c>
      <c r="L25" s="2325"/>
      <c r="M25" s="2326"/>
    </row>
    <row r="26" spans="1:33" ht="18" customHeight="1">
      <c r="A26" s="1531" t="s">
        <v>1631</v>
      </c>
      <c r="B26" s="756" t="s">
        <v>2220</v>
      </c>
      <c r="C26" s="53">
        <f ca="1">ROUND((C19+C20)*F26,0)</f>
        <v>149</v>
      </c>
      <c r="D26" s="783" t="s">
        <v>1578</v>
      </c>
      <c r="E26" s="767" t="s">
        <v>1579</v>
      </c>
      <c r="F26" s="766">
        <f ca="1">INDIRECT("'数据-取费表'!q"&amp;$G$1)</f>
        <v>0.15</v>
      </c>
      <c r="G26" s="1899"/>
      <c r="H26" s="2307" t="s">
        <v>1580</v>
      </c>
      <c r="I26" s="2066" t="s">
        <v>2543</v>
      </c>
      <c r="J26" s="755">
        <f ca="1">IF(J5&lt;&gt;0,ROUND(J25*(1-((1+M28)/(1+M26))^M27)/(M26-M28),0),0)</f>
        <v>0</v>
      </c>
      <c r="K26" s="785" t="s">
        <v>1581</v>
      </c>
      <c r="L26" s="756" t="s">
        <v>2206</v>
      </c>
      <c r="M26" s="766">
        <f ca="1">INDIRECT("'数据-取费表'!I"&amp;$G$1)</f>
        <v>5.5E-2</v>
      </c>
    </row>
    <row r="27" spans="1:33" ht="18" customHeight="1">
      <c r="A27" s="1531" t="s">
        <v>1632</v>
      </c>
      <c r="B27" s="756" t="s">
        <v>668</v>
      </c>
      <c r="C27" s="53">
        <f ca="1">ROUND(F21*F26,4)</f>
        <v>3.0000000000000001E-3</v>
      </c>
      <c r="D27" s="783" t="s">
        <v>1582</v>
      </c>
      <c r="E27" s="778"/>
      <c r="F27" s="779"/>
      <c r="G27" s="1899"/>
      <c r="H27" s="2308"/>
      <c r="I27" s="759"/>
      <c r="J27" s="760"/>
      <c r="K27" s="792" t="s">
        <v>1583</v>
      </c>
      <c r="L27" s="756" t="s">
        <v>1584</v>
      </c>
      <c r="M27" s="793">
        <f ca="1">INDIRECT("'数据-取费表'!ag"&amp;$G$1)</f>
        <v>0</v>
      </c>
    </row>
    <row r="28" spans="1:33" s="1901" customFormat="1" ht="18" customHeight="1">
      <c r="A28" s="1533" t="s">
        <v>1641</v>
      </c>
      <c r="B28" s="756" t="s">
        <v>669</v>
      </c>
      <c r="C28" s="53">
        <f>ROUND(F28/(1+'数据-取费表'!C42),4)</f>
        <v>5.2400000000000002E-2</v>
      </c>
      <c r="D28" s="783" t="s">
        <v>2089</v>
      </c>
      <c r="E28" s="756" t="s">
        <v>1585</v>
      </c>
      <c r="F28" s="781">
        <f>'数据-取费表'!B41</f>
        <v>5.5000000000000007E-2</v>
      </c>
      <c r="G28" s="3169"/>
      <c r="H28" s="1699"/>
      <c r="I28" s="763"/>
      <c r="J28" s="764"/>
      <c r="K28" s="787"/>
      <c r="L28" s="756" t="s">
        <v>1586</v>
      </c>
      <c r="M28" s="766">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1277</v>
      </c>
      <c r="D29" s="2321"/>
      <c r="E29" s="2322"/>
      <c r="F29" s="2323"/>
      <c r="G29" s="3169"/>
      <c r="H29" s="794" t="s">
        <v>1587</v>
      </c>
      <c r="I29" s="795" t="s">
        <v>1588</v>
      </c>
      <c r="J29" s="796">
        <f ca="1">ROUND(J26/(1+F40)^F41,0)</f>
        <v>0</v>
      </c>
      <c r="K29" s="797" t="s">
        <v>1589</v>
      </c>
      <c r="L29" s="798"/>
      <c r="M29" s="799">
        <f ca="1">INDIRECT("'数据-取费表'!k"&amp;$G$1)</f>
        <v>1790.62</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4">
        <f ca="1">ROUND(C31+C36+C37+C38,0)</f>
        <v>61</v>
      </c>
      <c r="D30" s="1691" t="s">
        <v>1591</v>
      </c>
      <c r="E30" s="2291"/>
      <c r="F30" s="2296"/>
      <c r="G30" s="1899"/>
      <c r="H30" s="1902"/>
      <c r="I30" s="1903"/>
      <c r="J30" s="1904"/>
      <c r="K30" s="1905"/>
      <c r="L30" s="1906"/>
      <c r="M30" s="1907"/>
    </row>
    <row r="31" spans="1:33" ht="18" customHeight="1">
      <c r="A31" s="1532" t="s">
        <v>1630</v>
      </c>
      <c r="B31" s="756" t="s">
        <v>638</v>
      </c>
      <c r="C31" s="2927">
        <f ca="1">ROUND(IF(AND(项目基本情况!B11="自然人",项目基本情况!B10="北京市"),C6*F31/(1+'数据-取费表'!C42),C32+C33+C34),0)</f>
        <v>40</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6" t="s">
        <v>1594</v>
      </c>
      <c r="C32" s="53">
        <f ca="1">ROUND(C6*F32/(1+'数据-取费表'!C42),1)</f>
        <v>0</v>
      </c>
      <c r="D32" s="1845" t="s">
        <v>1595</v>
      </c>
      <c r="E32" s="756" t="s">
        <v>1596</v>
      </c>
      <c r="F32" s="781">
        <f>'数据-取费表'!B41</f>
        <v>5.5000000000000007E-2</v>
      </c>
      <c r="G32" s="1899"/>
      <c r="H32" s="1908"/>
      <c r="I32" s="1909"/>
      <c r="J32" s="1910"/>
      <c r="K32" s="1911"/>
      <c r="L32" s="1912"/>
      <c r="M32" s="1913"/>
    </row>
    <row r="33" spans="1:18" ht="18" customHeight="1">
      <c r="A33" s="1531" t="s">
        <v>1632</v>
      </c>
      <c r="B33" s="756" t="s">
        <v>1597</v>
      </c>
      <c r="C33" s="53">
        <f ca="1">IF(D33="按租金收入计税",ROUND(C6*F33/(1+'数据-取费表'!C42),1),IF(D33="按房产原值计税",ROUND(C29*F33*0.7,1),INDIRECT("'数据-取费表'!Aj"&amp;$G$1)))</f>
        <v>0</v>
      </c>
      <c r="D33" s="782" t="s">
        <v>3292</v>
      </c>
      <c r="E33" s="756" t="s">
        <v>1596</v>
      </c>
      <c r="F33" s="781">
        <f>IF(D33="按租金收入计税",'数据-取费表'!B51,'数据-取费表'!B50)</f>
        <v>0.12</v>
      </c>
      <c r="G33" s="1899"/>
      <c r="H33" s="1914"/>
      <c r="I33" s="1914"/>
      <c r="J33" s="1914"/>
      <c r="K33" s="1915"/>
      <c r="L33" s="1914"/>
      <c r="M33" s="1914"/>
    </row>
    <row r="34" spans="1:18" ht="18" customHeight="1">
      <c r="A34" s="1534" t="s">
        <v>1633</v>
      </c>
      <c r="B34" s="338" t="s">
        <v>1598</v>
      </c>
      <c r="C34" s="54">
        <f ca="1">ROUND(F34*F35/10000,1)</f>
        <v>39.5</v>
      </c>
      <c r="D34" s="785" t="s">
        <v>1599</v>
      </c>
      <c r="E34" s="756" t="s">
        <v>1600</v>
      </c>
      <c r="F34" s="614">
        <f>'数据-取费表'!B52</f>
        <v>24</v>
      </c>
      <c r="G34" s="1899"/>
      <c r="H34" s="1902"/>
      <c r="I34" s="806" t="s">
        <v>1613</v>
      </c>
      <c r="J34" s="807"/>
      <c r="K34" s="1917"/>
      <c r="L34" s="1916"/>
      <c r="M34" s="1916"/>
    </row>
    <row r="35" spans="1:18" ht="18" customHeight="1">
      <c r="A35" s="786"/>
      <c r="B35" s="765"/>
      <c r="C35" s="69"/>
      <c r="D35" s="787"/>
      <c r="E35" s="756" t="s">
        <v>1601</v>
      </c>
      <c r="F35" s="757">
        <f ca="1">INDIRECT("'数据-取费表'!r"&amp;$G$1)</f>
        <v>16450</v>
      </c>
      <c r="G35" s="1899"/>
      <c r="H35" s="1902"/>
      <c r="I35" s="808" t="s">
        <v>1614</v>
      </c>
      <c r="J35" s="809">
        <f ca="1">ROUND(C13*J36,0)</f>
        <v>89</v>
      </c>
      <c r="K35" s="1915"/>
      <c r="L35" s="1914"/>
      <c r="M35" s="1914"/>
    </row>
    <row r="36" spans="1:18" ht="18" customHeight="1">
      <c r="A36" s="1532" t="s">
        <v>1685</v>
      </c>
      <c r="B36" s="756" t="s">
        <v>1602</v>
      </c>
      <c r="C36" s="53">
        <f ca="1">ROUND(C29*F36,1)</f>
        <v>19.2</v>
      </c>
      <c r="D36" s="1845" t="s">
        <v>1603</v>
      </c>
      <c r="E36" s="756" t="s">
        <v>1596</v>
      </c>
      <c r="F36" s="788">
        <f ca="1">INDIRECT("'数据-取费表'!Ak"&amp;$G$1)</f>
        <v>1.4999999999999999E-2</v>
      </c>
      <c r="G36" s="1899"/>
      <c r="H36" s="1914"/>
      <c r="I36" s="810" t="s">
        <v>1615</v>
      </c>
      <c r="J36" s="811">
        <f ca="1">INDIRECT("'数据-取费表'!j"&amp;$G$1)</f>
        <v>7.0000000000000007E-2</v>
      </c>
      <c r="K36" s="1918"/>
      <c r="L36" s="1914"/>
      <c r="M36" s="1914"/>
    </row>
    <row r="37" spans="1:18" ht="18" customHeight="1">
      <c r="A37" s="1532" t="s">
        <v>1686</v>
      </c>
      <c r="B37" s="756" t="s">
        <v>661</v>
      </c>
      <c r="C37" s="53">
        <f ca="1">ROUND(C13*F37,1)</f>
        <v>1.9</v>
      </c>
      <c r="D37" s="1845" t="s">
        <v>1604</v>
      </c>
      <c r="E37" s="756" t="s">
        <v>1596</v>
      </c>
      <c r="F37" s="789">
        <f ca="1">INDIRECT("'数据-取费表'!Al"&amp;$G$1)</f>
        <v>1.5E-3</v>
      </c>
      <c r="G37" s="1899"/>
      <c r="H37" s="1914"/>
      <c r="I37" s="812" t="s">
        <v>1616</v>
      </c>
      <c r="J37" s="813"/>
      <c r="K37" s="1918"/>
      <c r="L37" s="1914"/>
      <c r="M37" s="1914"/>
    </row>
    <row r="38" spans="1:18" ht="18" customHeight="1" thickBot="1">
      <c r="A38" s="2327" t="s">
        <v>1687</v>
      </c>
      <c r="B38" s="2322" t="s">
        <v>648</v>
      </c>
      <c r="C38" s="2320">
        <f ca="1">ROUND(C5*F38,1)</f>
        <v>0</v>
      </c>
      <c r="D38" s="2321" t="s">
        <v>1605</v>
      </c>
      <c r="E38" s="2322" t="s">
        <v>1596</v>
      </c>
      <c r="F38" s="2318">
        <f ca="1">INDIRECT("'数据-取费表'!Am"&amp;$G$1)</f>
        <v>0.02</v>
      </c>
      <c r="G38" s="1899"/>
      <c r="H38" s="1914"/>
      <c r="I38" s="814" t="s">
        <v>1617</v>
      </c>
      <c r="J38" s="815"/>
      <c r="K38" s="1919"/>
      <c r="L38" s="1914"/>
      <c r="M38" s="1914"/>
    </row>
    <row r="39" spans="1:18" ht="24.6" customHeight="1" thickTop="1">
      <c r="A39" s="1699" t="s">
        <v>1690</v>
      </c>
      <c r="B39" s="2644" t="s">
        <v>2538</v>
      </c>
      <c r="C39" s="764">
        <f ca="1">C5-C30</f>
        <v>-61</v>
      </c>
      <c r="D39" s="2324" t="s">
        <v>1606</v>
      </c>
      <c r="E39" s="2325"/>
      <c r="F39" s="2326"/>
      <c r="G39" s="1899"/>
      <c r="H39" s="1914"/>
      <c r="I39" s="808" t="s">
        <v>1618</v>
      </c>
      <c r="J39" s="816">
        <f ca="1">ROUND(J35/C39,3)</f>
        <v>-1.4590000000000001</v>
      </c>
      <c r="K39" s="1919"/>
      <c r="L39" s="1914"/>
      <c r="M39" s="1914"/>
    </row>
    <row r="40" spans="1:18" ht="18" customHeight="1">
      <c r="A40" s="753" t="s">
        <v>1691</v>
      </c>
      <c r="B40" s="2066" t="s">
        <v>2091</v>
      </c>
      <c r="C40" s="755">
        <f ca="1">ROUND(C39*(1-((1+F42)/(1+F40))^F41)/(F40-F42),0)</f>
        <v>-905</v>
      </c>
      <c r="D40" s="785" t="s">
        <v>1607</v>
      </c>
      <c r="E40" s="756" t="s">
        <v>2206</v>
      </c>
      <c r="F40" s="766">
        <f ca="1">INDIRECT("'数据-取费表'!I"&amp;$G$1)</f>
        <v>5.5E-2</v>
      </c>
      <c r="G40" s="1899"/>
      <c r="H40" s="1899"/>
      <c r="I40" s="808" t="s">
        <v>1619</v>
      </c>
      <c r="J40" s="816">
        <f ca="1">1-J39</f>
        <v>2.4590000000000001</v>
      </c>
      <c r="K40" s="1919"/>
      <c r="L40" s="1899"/>
      <c r="M40" s="1899"/>
    </row>
    <row r="41" spans="1:18" ht="18" customHeight="1">
      <c r="A41" s="758"/>
      <c r="B41" s="759"/>
      <c r="C41" s="760"/>
      <c r="D41" s="792" t="s">
        <v>1608</v>
      </c>
      <c r="E41" s="756" t="s">
        <v>2663</v>
      </c>
      <c r="F41" s="793">
        <f ca="1">IF(INDIRECT("'数据-取费表'!af"&amp;$G$1)=0,INDIRECT("'数据-取费表'!ae"&amp;$G$1),INDIRECT("'数据-取费表'!af"&amp;$G$1))</f>
        <v>31.6</v>
      </c>
      <c r="G41" s="1899"/>
      <c r="H41" s="1854"/>
      <c r="I41" s="814" t="s">
        <v>1620</v>
      </c>
      <c r="J41" s="817"/>
      <c r="K41" s="1918"/>
      <c r="L41" s="1854"/>
      <c r="M41" s="1854"/>
    </row>
    <row r="42" spans="1:18" ht="18" customHeight="1">
      <c r="A42" s="762"/>
      <c r="B42" s="763"/>
      <c r="C42" s="764"/>
      <c r="D42" s="787"/>
      <c r="E42" s="756" t="s">
        <v>1609</v>
      </c>
      <c r="F42" s="766">
        <f ca="1">INDIRECT("'数据-取费表'!v"&amp;$G$1)</f>
        <v>0</v>
      </c>
      <c r="G42" s="1899"/>
      <c r="H42" s="1854"/>
      <c r="I42" s="818" t="s">
        <v>1621</v>
      </c>
      <c r="J42" s="816">
        <f ca="1">ROUND(C13/C40,3)</f>
        <v>-1.411</v>
      </c>
      <c r="K42" s="1918"/>
      <c r="L42" s="1854"/>
      <c r="M42" s="1854"/>
    </row>
    <row r="43" spans="1:18" ht="18" customHeight="1" thickBot="1">
      <c r="A43" s="794" t="s">
        <v>1587</v>
      </c>
      <c r="B43" s="795" t="s">
        <v>1610</v>
      </c>
      <c r="C43" s="796">
        <f ca="1">ROUND(C40*10000/F43,0)</f>
        <v>-5054</v>
      </c>
      <c r="D43" s="797" t="s">
        <v>1611</v>
      </c>
      <c r="E43" s="798" t="s">
        <v>1612</v>
      </c>
      <c r="F43" s="799">
        <f ca="1">INDIRECT("'数据-取费表'!k"&amp;$G$1)</f>
        <v>1790.62</v>
      </c>
      <c r="G43" s="1899"/>
      <c r="H43" s="1854"/>
      <c r="I43" s="818" t="s">
        <v>1622</v>
      </c>
      <c r="J43" s="819">
        <f ca="1">1-J42</f>
        <v>2.411</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0</v>
      </c>
      <c r="D46" s="3170"/>
      <c r="E46" s="3170"/>
      <c r="F46" s="3170"/>
      <c r="I46" s="2187" t="s">
        <v>2130</v>
      </c>
      <c r="J46" s="2188"/>
      <c r="K46" s="2189"/>
      <c r="L46" s="2729" t="str">
        <f ca="1">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3293</v>
      </c>
      <c r="K47" s="2726" t="s">
        <v>2136</v>
      </c>
      <c r="L47" s="2730">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31.6</v>
      </c>
      <c r="M48" s="3171"/>
      <c r="O48" s="2207" t="s">
        <v>2166</v>
      </c>
      <c r="P48" s="2208" t="s">
        <v>2192</v>
      </c>
      <c r="Q48" s="2209">
        <f ca="1">C40+J29</f>
        <v>-905</v>
      </c>
      <c r="R48" s="2208" t="s">
        <v>2167</v>
      </c>
    </row>
    <row r="49" spans="1:18" s="1896" customFormat="1" ht="18" customHeight="1" thickBot="1">
      <c r="A49" s="758"/>
      <c r="B49" s="759"/>
      <c r="C49" s="760"/>
      <c r="D49" s="761"/>
      <c r="E49" s="756" t="s">
        <v>1539</v>
      </c>
      <c r="F49" s="757">
        <f ca="1">F7</f>
        <v>1</v>
      </c>
      <c r="G49" s="1926"/>
      <c r="H49" s="1929"/>
      <c r="I49" s="2717" t="s">
        <v>2133</v>
      </c>
      <c r="J49" s="2192">
        <v>2023</v>
      </c>
      <c r="K49" s="2728" t="s">
        <v>2139</v>
      </c>
      <c r="L49" s="2193"/>
      <c r="M49" s="3171"/>
      <c r="O49" s="2207" t="s">
        <v>2168</v>
      </c>
      <c r="P49" s="2208" t="s">
        <v>2193</v>
      </c>
      <c r="Q49" s="2209" t="str">
        <f ca="1">J60</f>
        <v>0</v>
      </c>
      <c r="R49" s="2208" t="s">
        <v>2169</v>
      </c>
    </row>
    <row r="50" spans="1:18" s="1896" customFormat="1" ht="18" customHeight="1" thickBot="1">
      <c r="A50" s="758"/>
      <c r="B50" s="759"/>
      <c r="C50" s="760"/>
      <c r="D50" s="761"/>
      <c r="E50" s="756" t="s">
        <v>1540</v>
      </c>
      <c r="F50" s="757">
        <f ca="1">F8</f>
        <v>1</v>
      </c>
      <c r="G50" s="1931"/>
      <c r="H50" s="1929"/>
      <c r="I50" s="2717" t="s">
        <v>2134</v>
      </c>
      <c r="J50" s="2724">
        <f>SUMPRODUCT((I63:I65=J47)*(J62:L62=J48)*(J63:L65))</f>
        <v>80</v>
      </c>
      <c r="K50" s="2728" t="s">
        <v>2140</v>
      </c>
      <c r="L50" s="2193"/>
      <c r="M50" s="3171"/>
      <c r="O50" s="2210" t="s">
        <v>2170</v>
      </c>
      <c r="P50" s="2208" t="s">
        <v>2194</v>
      </c>
      <c r="Q50" s="2209">
        <f ca="1">C29</f>
        <v>1277</v>
      </c>
      <c r="R50" s="2208" t="s">
        <v>2167</v>
      </c>
    </row>
    <row r="51" spans="1:18" s="1896" customFormat="1" ht="18" customHeight="1" thickBot="1">
      <c r="A51" s="758"/>
      <c r="B51" s="759"/>
      <c r="C51" s="760"/>
      <c r="D51" s="761"/>
      <c r="E51" s="756" t="s">
        <v>622</v>
      </c>
      <c r="F51" s="2180"/>
      <c r="H51" s="1929"/>
      <c r="I51" s="2721" t="s">
        <v>2135</v>
      </c>
      <c r="J51" s="2725">
        <f>IF(J49="",J50,J49+J50-YEAR('数据-取费表'!B2))</f>
        <v>81</v>
      </c>
      <c r="K51" s="2717" t="s">
        <v>2141</v>
      </c>
      <c r="L51" s="2731">
        <f ca="1">ROUND(-PV(INDIRECT("'数据-取费表'!h"&amp;$G$1),J51,(C39-C13*J36),0),0)</f>
        <v>-2950</v>
      </c>
      <c r="M51" s="3171"/>
      <c r="O51" s="2210" t="s">
        <v>2171</v>
      </c>
      <c r="P51" s="2208" t="s">
        <v>2172</v>
      </c>
      <c r="Q51" s="2211" t="e">
        <f ca="1">J58</f>
        <v>#VALUE!</v>
      </c>
      <c r="R51" s="2212"/>
    </row>
    <row r="52" spans="1:18" s="1896" customFormat="1" ht="18" customHeight="1" thickBot="1">
      <c r="A52" s="753" t="s">
        <v>2254</v>
      </c>
      <c r="B52" s="2299" t="s">
        <v>2238</v>
      </c>
      <c r="C52" s="771">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8"/>
      <c r="B53" s="2300" t="s">
        <v>2291</v>
      </c>
      <c r="C53" s="2304"/>
      <c r="D53" s="2306"/>
      <c r="E53" s="2303"/>
      <c r="F53" s="772"/>
      <c r="I53" s="2723" t="s">
        <v>2675</v>
      </c>
      <c r="J53" s="2776">
        <f ca="1">IF(M47="住宅",IF(D1="——",MAX(J51,L48),MAX(J51,L48-'数据-取费表'!B20)),IF(D1="——",MIN(J51,L48),MIN(J51,L48-'数据-取费表'!B20)))</f>
        <v>31.6</v>
      </c>
      <c r="K53" s="3761" t="s">
        <v>2665</v>
      </c>
      <c r="L53" s="3762"/>
      <c r="M53" s="3171"/>
      <c r="O53" s="2210" t="s">
        <v>2175</v>
      </c>
      <c r="P53" s="2208" t="s">
        <v>2176</v>
      </c>
      <c r="Q53" s="2209">
        <f ca="1">J53</f>
        <v>31.6</v>
      </c>
      <c r="R53" s="2208" t="s">
        <v>2177</v>
      </c>
    </row>
    <row r="54" spans="1:18" s="1896" customFormat="1" ht="18" customHeight="1" thickBot="1">
      <c r="A54" s="2313" t="s">
        <v>2246</v>
      </c>
      <c r="B54" s="2314" t="s">
        <v>2239</v>
      </c>
      <c r="C54" s="2315"/>
      <c r="D54" s="2306"/>
      <c r="E54" s="2303"/>
      <c r="F54" s="772"/>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-905</v>
      </c>
      <c r="R54" s="2212" t="s">
        <v>2179</v>
      </c>
    </row>
    <row r="55" spans="1:18" s="1896" customFormat="1" ht="18" customHeight="1" thickTop="1" thickBot="1">
      <c r="A55" s="769">
        <v>2</v>
      </c>
      <c r="B55" s="770" t="s">
        <v>626</v>
      </c>
      <c r="C55" s="771">
        <f ca="1">C13</f>
        <v>1277</v>
      </c>
      <c r="D55" s="767"/>
      <c r="E55" s="767"/>
      <c r="F55" s="772"/>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1277</v>
      </c>
      <c r="D56" s="2403"/>
      <c r="E56" s="756"/>
      <c r="F56" s="781"/>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69" t="s">
        <v>1548</v>
      </c>
      <c r="B57" s="770" t="s">
        <v>633</v>
      </c>
      <c r="C57" s="771">
        <f ca="1">ROUND(C58+C63+C64+C65,0)</f>
        <v>61</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-905</v>
      </c>
      <c r="R57" s="2208" t="s">
        <v>2167</v>
      </c>
    </row>
    <row r="58" spans="1:18" s="1896" customFormat="1" ht="28.5" customHeight="1" thickBot="1">
      <c r="A58" s="1532" t="s">
        <v>1624</v>
      </c>
      <c r="B58" s="756" t="s">
        <v>638</v>
      </c>
      <c r="C58" s="2927">
        <f ca="1">ROUND(IF(AND(项目基本情况!B11="自然人",项目基本情况!B10="北京市"),C48*F58/(1+'数据-取费表'!C42),C59+C60+C61),0)</f>
        <v>40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6" t="s">
        <v>642</v>
      </c>
      <c r="C59" s="53">
        <f ca="1">ROUND(C47*F59/1.05,1)</f>
        <v>0</v>
      </c>
      <c r="D59" s="2403" t="s">
        <v>1556</v>
      </c>
      <c r="E59" s="756" t="s">
        <v>1547</v>
      </c>
      <c r="F59" s="781">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6" t="s">
        <v>1558</v>
      </c>
      <c r="C60" s="53">
        <f ca="1">IF(D60="按租金收入计税",ROUND(C48*F60/(1+'数据-取费表'!C42),1),IF(D60="按房产原值计税",ROUND(C56*F60*0.7,1),INDIRECT("'数据-取费表'!Aj"&amp;$G$1)))</f>
        <v>0</v>
      </c>
      <c r="D60" s="2403" t="str">
        <f>D33</f>
        <v>按租金收入计税</v>
      </c>
      <c r="E60" s="756" t="s">
        <v>1547</v>
      </c>
      <c r="F60" s="781">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8" t="s">
        <v>650</v>
      </c>
      <c r="C61" s="54">
        <f ca="1">ROUND(F61*F62/10000,1)</f>
        <v>39.5</v>
      </c>
      <c r="D61" s="785" t="s">
        <v>651</v>
      </c>
      <c r="E61" s="756" t="s">
        <v>652</v>
      </c>
      <c r="F61" s="614">
        <f t="shared" si="0"/>
        <v>24</v>
      </c>
      <c r="K61" s="1922"/>
      <c r="O61" s="2210" t="s">
        <v>2173</v>
      </c>
      <c r="P61" s="2208" t="s">
        <v>2181</v>
      </c>
      <c r="Q61" s="2209" t="e">
        <f ca="1">L58</f>
        <v>#DIV/0!</v>
      </c>
      <c r="R61" s="2212" t="s">
        <v>2182</v>
      </c>
    </row>
    <row r="62" spans="1:18" s="1896" customFormat="1" ht="15.75" thickBot="1">
      <c r="A62" s="786"/>
      <c r="B62" s="765"/>
      <c r="C62" s="69"/>
      <c r="D62" s="787"/>
      <c r="E62" s="756" t="s">
        <v>656</v>
      </c>
      <c r="F62" s="757">
        <f t="shared" ca="1" si="0"/>
        <v>16450</v>
      </c>
      <c r="I62" s="2742" t="s">
        <v>2154</v>
      </c>
      <c r="J62" s="2743" t="s">
        <v>2155</v>
      </c>
      <c r="K62" s="2743" t="s">
        <v>2156</v>
      </c>
      <c r="L62" s="2743" t="s">
        <v>2137</v>
      </c>
      <c r="M62" s="2744" t="s">
        <v>2644</v>
      </c>
      <c r="O62" s="2210" t="s">
        <v>2175</v>
      </c>
      <c r="P62" s="2208" t="str">
        <f>K59</f>
        <v>建筑物剩余耐用年限下的土地年期修正系数Kn</v>
      </c>
      <c r="Q62" s="2209" t="e">
        <f ca="1">L59</f>
        <v>#DIV/0!</v>
      </c>
      <c r="R62" s="2212" t="s">
        <v>2184</v>
      </c>
    </row>
    <row r="63" spans="1:18" s="1896" customFormat="1" ht="15.75" thickBot="1">
      <c r="A63" s="1532" t="s">
        <v>1685</v>
      </c>
      <c r="B63" s="756" t="s">
        <v>658</v>
      </c>
      <c r="C63" s="53">
        <f ca="1">ROUND(C56*F63,1)</f>
        <v>19.2</v>
      </c>
      <c r="D63" s="2403" t="s">
        <v>1603</v>
      </c>
      <c r="E63" s="756" t="s">
        <v>1547</v>
      </c>
      <c r="F63" s="788">
        <f t="shared" ca="1" si="0"/>
        <v>1.4999999999999999E-2</v>
      </c>
      <c r="I63" s="2742" t="s">
        <v>2157</v>
      </c>
      <c r="J63" s="2743">
        <v>70</v>
      </c>
      <c r="K63" s="2743">
        <v>50</v>
      </c>
      <c r="L63" s="2743">
        <v>80</v>
      </c>
      <c r="M63" s="2745">
        <v>0.02</v>
      </c>
      <c r="O63" s="2207" t="s">
        <v>2178</v>
      </c>
      <c r="P63" s="2208" t="s">
        <v>2195</v>
      </c>
      <c r="Q63" s="2209">
        <f ca="1">Q57+Q58</f>
        <v>-905</v>
      </c>
      <c r="R63" s="2212" t="s">
        <v>2179</v>
      </c>
    </row>
    <row r="64" spans="1:18" s="1896" customFormat="1" ht="16.5" thickBot="1">
      <c r="A64" s="1532" t="s">
        <v>1686</v>
      </c>
      <c r="B64" s="756" t="s">
        <v>661</v>
      </c>
      <c r="C64" s="53">
        <f ca="1">ROUND(C55*F64,1)</f>
        <v>1.9</v>
      </c>
      <c r="D64" s="2403" t="s">
        <v>662</v>
      </c>
      <c r="E64" s="756" t="s">
        <v>1547</v>
      </c>
      <c r="F64" s="789">
        <f t="shared" ca="1" si="0"/>
        <v>1.5E-3</v>
      </c>
      <c r="I64" s="2742" t="s">
        <v>2158</v>
      </c>
      <c r="J64" s="2743">
        <v>50</v>
      </c>
      <c r="K64" s="2743">
        <v>35</v>
      </c>
      <c r="L64" s="2743">
        <v>60</v>
      </c>
      <c r="M64" s="817">
        <v>0</v>
      </c>
      <c r="O64" s="2213" t="s">
        <v>2202</v>
      </c>
      <c r="P64" s="1482"/>
      <c r="Q64" s="1490"/>
      <c r="R64" s="1482"/>
    </row>
    <row r="65" spans="1:18" s="1896" customFormat="1" ht="15.75" thickBot="1">
      <c r="A65" s="1532" t="s">
        <v>1687</v>
      </c>
      <c r="B65" s="756" t="s">
        <v>648</v>
      </c>
      <c r="C65" s="53">
        <f ca="1">ROUND(C47*F65,1)</f>
        <v>0</v>
      </c>
      <c r="D65" s="2403" t="s">
        <v>665</v>
      </c>
      <c r="E65" s="756" t="s">
        <v>1547</v>
      </c>
      <c r="F65" s="766">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69" t="s">
        <v>1576</v>
      </c>
      <c r="B66" s="2645" t="s">
        <v>2538</v>
      </c>
      <c r="C66" s="771">
        <f ca="1">C47-C57</f>
        <v>-61</v>
      </c>
      <c r="D66" s="2402" t="s">
        <v>682</v>
      </c>
      <c r="E66" s="2401"/>
      <c r="F66" s="791"/>
      <c r="K66" s="1922"/>
      <c r="O66" s="2207" t="s">
        <v>2166</v>
      </c>
      <c r="P66" s="2208" t="s">
        <v>2196</v>
      </c>
      <c r="Q66" s="2209">
        <f ca="1">C40+J29</f>
        <v>-905</v>
      </c>
      <c r="R66" s="2208" t="s">
        <v>2167</v>
      </c>
    </row>
    <row r="67" spans="1:18" s="1896" customFormat="1" ht="20.25" thickBot="1">
      <c r="A67" s="753" t="s">
        <v>1580</v>
      </c>
      <c r="B67" s="2066" t="s">
        <v>2091</v>
      </c>
      <c r="C67" s="755">
        <f ca="1">ROUND(C66*(1-((1+F69)/(1+F67))^F68)/(F67-F69),0)</f>
        <v>-905</v>
      </c>
      <c r="D67" s="785" t="s">
        <v>686</v>
      </c>
      <c r="E67" s="756" t="s">
        <v>687</v>
      </c>
      <c r="F67" s="766">
        <f ca="1">F40</f>
        <v>5.5E-2</v>
      </c>
      <c r="K67" s="1922"/>
      <c r="O67" s="2207" t="s">
        <v>2168</v>
      </c>
      <c r="P67" s="2208" t="s">
        <v>2199</v>
      </c>
      <c r="Q67" s="2209">
        <f ca="1">L60</f>
        <v>0</v>
      </c>
      <c r="R67" s="2212" t="s">
        <v>2201</v>
      </c>
    </row>
    <row r="68" spans="1:18" ht="21.75" thickBot="1">
      <c r="A68" s="758"/>
      <c r="B68" s="759"/>
      <c r="C68" s="760"/>
      <c r="D68" s="792" t="s">
        <v>1608</v>
      </c>
      <c r="E68" s="756" t="s">
        <v>1584</v>
      </c>
      <c r="F68" s="793">
        <f ca="1">F41</f>
        <v>31.6</v>
      </c>
      <c r="O68" s="2210" t="s">
        <v>2170</v>
      </c>
      <c r="P68" s="2208" t="s">
        <v>2200</v>
      </c>
      <c r="Q68" s="2214">
        <f ca="1">L51</f>
        <v>-2950</v>
      </c>
      <c r="R68" s="2215" t="s">
        <v>2203</v>
      </c>
    </row>
    <row r="69" spans="1:18" ht="20.25" thickBot="1">
      <c r="A69" s="762"/>
      <c r="B69" s="763"/>
      <c r="C69" s="764"/>
      <c r="D69" s="787"/>
      <c r="E69" s="756" t="s">
        <v>692</v>
      </c>
      <c r="F69" s="2180"/>
      <c r="O69" s="2210" t="s">
        <v>2171</v>
      </c>
      <c r="P69" s="2216" t="s">
        <v>2185</v>
      </c>
      <c r="Q69" s="2209">
        <f ca="1">ROUND(Q70-Q71*Q72,0)</f>
        <v>-150</v>
      </c>
      <c r="R69" s="2212"/>
    </row>
    <row r="70" spans="1:18" ht="15.75" thickBot="1">
      <c r="A70" s="794" t="s">
        <v>1587</v>
      </c>
      <c r="B70" s="795" t="s">
        <v>1610</v>
      </c>
      <c r="C70" s="796">
        <f ca="1">ROUND(C67*10000/F70,0)</f>
        <v>-5054</v>
      </c>
      <c r="D70" s="797" t="s">
        <v>1611</v>
      </c>
      <c r="E70" s="798" t="s">
        <v>1612</v>
      </c>
      <c r="F70" s="799">
        <f ca="1">F43</f>
        <v>1790.62</v>
      </c>
      <c r="O70" s="2210" t="s">
        <v>2186</v>
      </c>
      <c r="P70" s="2216" t="s">
        <v>2187</v>
      </c>
      <c r="Q70" s="2209">
        <f ca="1">C39</f>
        <v>-61</v>
      </c>
      <c r="R70" s="2208" t="s">
        <v>2167</v>
      </c>
    </row>
    <row r="71" spans="1:18" ht="15.75" thickBot="1">
      <c r="O71" s="2210" t="s">
        <v>2188</v>
      </c>
      <c r="P71" s="2216" t="s">
        <v>2189</v>
      </c>
      <c r="Q71" s="2209">
        <f ca="1">C13</f>
        <v>1277</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f ca="1">Q66+Q67</f>
        <v>-905</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69" t="s">
        <v>2745</v>
      </c>
      <c r="K2" s="3770"/>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71" t="s">
        <v>2755</v>
      </c>
      <c r="K3" s="3772"/>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71" t="s">
        <v>2757</v>
      </c>
      <c r="K4" s="3772"/>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77" t="s">
        <v>2761</v>
      </c>
      <c r="B6" s="3778"/>
      <c r="C6" s="3779"/>
      <c r="D6" s="3264"/>
      <c r="E6" s="3265"/>
      <c r="F6" s="3266"/>
      <c r="G6" s="3267"/>
      <c r="H6" s="3242"/>
      <c r="I6" s="3243"/>
      <c r="J6" s="3763">
        <v>1</v>
      </c>
      <c r="K6" s="3764"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63"/>
      <c r="K7" s="3765"/>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80" t="s">
        <v>2775</v>
      </c>
      <c r="C8" s="3781"/>
      <c r="D8" s="3283" t="s">
        <v>2776</v>
      </c>
      <c r="E8" s="3284" t="s">
        <v>2777</v>
      </c>
      <c r="F8" s="3285" t="s">
        <v>2778</v>
      </c>
      <c r="G8" s="3286"/>
      <c r="H8" s="3242"/>
      <c r="I8" s="3243"/>
      <c r="J8" s="3763"/>
      <c r="K8" s="3765"/>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80" t="s">
        <v>2781</v>
      </c>
      <c r="C9" s="3781"/>
      <c r="D9" s="3283">
        <f>ROUND(D6*E9,0)</f>
        <v>0</v>
      </c>
      <c r="E9" s="3287"/>
      <c r="F9" s="3288" t="s">
        <v>2782</v>
      </c>
      <c r="G9" s="3267"/>
      <c r="H9" s="3242"/>
      <c r="I9" s="3243"/>
      <c r="J9" s="3763"/>
      <c r="K9" s="3765"/>
      <c r="L9" s="3277" t="s">
        <v>2783</v>
      </c>
      <c r="M9" s="3278"/>
      <c r="N9" s="3254"/>
      <c r="O9" s="3279"/>
      <c r="P9" s="3279"/>
      <c r="Q9" s="3280">
        <v>365</v>
      </c>
      <c r="R9" s="3281">
        <f t="shared" si="0"/>
        <v>0</v>
      </c>
      <c r="S9" s="3234"/>
      <c r="T9" s="3234"/>
      <c r="U9" s="3234"/>
      <c r="V9" s="3243"/>
    </row>
    <row r="10" spans="1:22" s="3247" customFormat="1" ht="13.15" customHeight="1">
      <c r="A10" s="3282">
        <v>2</v>
      </c>
      <c r="B10" s="3780" t="s">
        <v>2784</v>
      </c>
      <c r="C10" s="3781"/>
      <c r="D10" s="3283">
        <f>ROUND(D6*E10,0)</f>
        <v>0</v>
      </c>
      <c r="E10" s="3287"/>
      <c r="F10" s="3288" t="s">
        <v>2785</v>
      </c>
      <c r="G10" s="3267"/>
      <c r="H10" s="3242"/>
      <c r="I10" s="3243"/>
      <c r="J10" s="3763"/>
      <c r="K10" s="3765"/>
      <c r="L10" s="3277" t="s">
        <v>2786</v>
      </c>
      <c r="M10" s="3278"/>
      <c r="N10" s="3254"/>
      <c r="O10" s="3279"/>
      <c r="P10" s="3279"/>
      <c r="Q10" s="3280">
        <v>365</v>
      </c>
      <c r="R10" s="3281">
        <f t="shared" si="0"/>
        <v>0</v>
      </c>
      <c r="S10" s="3234"/>
      <c r="T10" s="3234"/>
      <c r="U10" s="3234"/>
      <c r="V10" s="3243"/>
    </row>
    <row r="11" spans="1:22" s="3247" customFormat="1" ht="13.15" customHeight="1">
      <c r="A11" s="3282">
        <v>3</v>
      </c>
      <c r="B11" s="3780" t="s">
        <v>2787</v>
      </c>
      <c r="C11" s="3781"/>
      <c r="D11" s="3283">
        <f>D12+D14+D15+D16</f>
        <v>0</v>
      </c>
      <c r="E11" s="3289" t="e">
        <f>D11/D6</f>
        <v>#DIV/0!</v>
      </c>
      <c r="F11" s="3285"/>
      <c r="G11" s="3286"/>
      <c r="H11" s="3242"/>
      <c r="I11" s="3243"/>
      <c r="J11" s="3763"/>
      <c r="K11" s="3765"/>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73" t="s">
        <v>2790</v>
      </c>
      <c r="C12" s="3774"/>
      <c r="D12" s="3291">
        <f>ROUND(D13*1.2%*(1-30%),0)</f>
        <v>0</v>
      </c>
      <c r="E12" s="3292">
        <v>1.2E-2</v>
      </c>
      <c r="F12" s="3285" t="s">
        <v>2791</v>
      </c>
      <c r="G12" s="3286"/>
      <c r="H12" s="3242"/>
      <c r="I12" s="3243"/>
      <c r="J12" s="3763"/>
      <c r="K12" s="3765"/>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63"/>
      <c r="K13" s="3765"/>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73" t="s">
        <v>2796</v>
      </c>
      <c r="C14" s="3774"/>
      <c r="D14" s="3291">
        <f>ROUND(E14*B5/10000,0)</f>
        <v>0</v>
      </c>
      <c r="E14" s="3280"/>
      <c r="F14" s="3285" t="s">
        <v>2797</v>
      </c>
      <c r="G14" s="3286"/>
      <c r="H14" s="3242"/>
      <c r="I14" s="3243"/>
      <c r="J14" s="3763"/>
      <c r="K14" s="3766"/>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73" t="s">
        <v>2800</v>
      </c>
      <c r="C15" s="3774"/>
      <c r="D15" s="3291">
        <f>ROUND(D6*E15,0)</f>
        <v>0</v>
      </c>
      <c r="E15" s="3292">
        <v>5.5E-2</v>
      </c>
      <c r="F15" s="3285" t="s">
        <v>2801</v>
      </c>
      <c r="G15" s="3267"/>
      <c r="H15" s="3242"/>
      <c r="I15" s="3243"/>
      <c r="J15" s="3763">
        <v>2</v>
      </c>
      <c r="K15" s="3764"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73" t="s">
        <v>2811</v>
      </c>
      <c r="C16" s="3774"/>
      <c r="D16" s="3302">
        <f>D6*E16</f>
        <v>0</v>
      </c>
      <c r="E16" s="3303"/>
      <c r="F16" s="3288" t="s">
        <v>2812</v>
      </c>
      <c r="G16" s="3267"/>
      <c r="H16" s="3242"/>
      <c r="I16" s="3243"/>
      <c r="J16" s="3763"/>
      <c r="K16" s="3765"/>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75" t="s">
        <v>2814</v>
      </c>
      <c r="C17" s="3776"/>
      <c r="D17" s="3305">
        <f>ROUND(D6*E17,0)</f>
        <v>0</v>
      </c>
      <c r="E17" s="3306"/>
      <c r="F17" s="3307" t="s">
        <v>2815</v>
      </c>
      <c r="G17" s="3267"/>
      <c r="H17" s="3242"/>
      <c r="I17" s="3243"/>
      <c r="J17" s="3763"/>
      <c r="K17" s="3765"/>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63"/>
      <c r="K18" s="3765"/>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63"/>
      <c r="K19" s="3766"/>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63">
        <v>3</v>
      </c>
      <c r="K20" s="3764"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63"/>
      <c r="K21" s="3765"/>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63"/>
      <c r="K22" s="3765"/>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63"/>
      <c r="K23" s="3765"/>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63"/>
      <c r="K24" s="3766"/>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67">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68"/>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69" t="s">
        <v>2857</v>
      </c>
      <c r="K32" s="3770"/>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71" t="s">
        <v>2861</v>
      </c>
      <c r="K33" s="3772"/>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71" t="s">
        <v>2863</v>
      </c>
      <c r="K34" s="3772"/>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63">
        <v>1</v>
      </c>
      <c r="K36" s="3764"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63"/>
      <c r="K37" s="3765"/>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63"/>
      <c r="K38" s="3765"/>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63"/>
      <c r="K39" s="3765"/>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63"/>
      <c r="K40" s="3766"/>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67">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68"/>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4" t="s">
        <v>585</v>
      </c>
      <c r="B1" s="716"/>
      <c r="C1" s="2017"/>
      <c r="D1" s="2017"/>
      <c r="E1" s="2017"/>
      <c r="F1" s="2017"/>
      <c r="G1" s="1944"/>
    </row>
    <row r="2" spans="1:25" s="1896" customFormat="1" ht="18" customHeight="1">
      <c r="A2" s="416" t="s">
        <v>461</v>
      </c>
      <c r="B2" s="418">
        <f ca="1">C23</f>
        <v>0</v>
      </c>
      <c r="C2" s="3176"/>
      <c r="D2" s="3176"/>
      <c r="E2" s="3176"/>
      <c r="F2" s="3176"/>
      <c r="G2" s="3176"/>
    </row>
    <row r="3" spans="1:25" s="1896" customFormat="1" ht="18" customHeight="1">
      <c r="A3" s="1286" t="s">
        <v>1485</v>
      </c>
      <c r="B3" s="418">
        <f ca="1">ROUND(B2*10000/'数据-汇总表'!E3,0)</f>
        <v>0</v>
      </c>
      <c r="C3" s="3176"/>
      <c r="D3" s="3176"/>
      <c r="E3" s="3176"/>
      <c r="F3" s="3176"/>
      <c r="G3" s="3176"/>
    </row>
    <row r="4" spans="1:25" s="1896" customFormat="1" ht="18" customHeight="1">
      <c r="A4" s="419" t="s">
        <v>462</v>
      </c>
      <c r="B4" s="420">
        <f ca="1">ROUND(B2*10000/'数据-汇总表'!D3,0)</f>
        <v>0</v>
      </c>
      <c r="C4" s="3129"/>
      <c r="D4" s="3176"/>
      <c r="E4" s="3176"/>
      <c r="F4" s="3176"/>
      <c r="G4" s="3176"/>
    </row>
    <row r="5" spans="1:25" s="1896" customFormat="1" ht="18" customHeight="1" thickBot="1">
      <c r="A5" s="422"/>
      <c r="B5" s="423">
        <f ca="1">ROUND(B2/('数据-汇总表'!D3/666.67),0)</f>
        <v>0</v>
      </c>
      <c r="C5" s="424" t="s">
        <v>463</v>
      </c>
      <c r="D5" s="3176"/>
      <c r="E5" s="3176"/>
      <c r="F5" s="3176"/>
      <c r="G5" s="3176"/>
    </row>
    <row r="6" spans="1:25" s="2018" customFormat="1" ht="13.5" customHeight="1">
      <c r="A6" s="717"/>
      <c r="B6" s="718" t="s">
        <v>586</v>
      </c>
      <c r="C6" s="719" t="s">
        <v>587</v>
      </c>
      <c r="D6" s="719" t="s">
        <v>588</v>
      </c>
      <c r="E6" s="720" t="s">
        <v>589</v>
      </c>
      <c r="F6" s="720" t="s">
        <v>590</v>
      </c>
      <c r="G6" s="3175" t="s">
        <v>2727</v>
      </c>
    </row>
    <row r="7" spans="1:25" s="2018" customFormat="1" ht="13.5" customHeight="1">
      <c r="A7" s="2277">
        <v>1</v>
      </c>
      <c r="B7" s="721" t="s">
        <v>591</v>
      </c>
      <c r="C7" s="722">
        <f>C8+C9</f>
        <v>0</v>
      </c>
      <c r="D7" s="722"/>
      <c r="E7" s="723"/>
      <c r="F7" s="723"/>
      <c r="G7" s="2286"/>
    </row>
    <row r="8" spans="1:25" s="2018" customFormat="1" ht="13.5" customHeight="1">
      <c r="A8" s="2277" t="s">
        <v>2221</v>
      </c>
      <c r="B8" s="2280" t="s">
        <v>2223</v>
      </c>
      <c r="C8" s="3179">
        <f t="shared" ref="C8:C9" si="0">ROUND(D8*E8/10000,0)</f>
        <v>0</v>
      </c>
      <c r="D8" s="3179">
        <v>0</v>
      </c>
      <c r="E8" s="3180">
        <v>0</v>
      </c>
      <c r="F8" s="723"/>
      <c r="G8" s="724"/>
    </row>
    <row r="9" spans="1:25" s="2018" customFormat="1" ht="13.5" customHeight="1">
      <c r="A9" s="2277" t="s">
        <v>2222</v>
      </c>
      <c r="B9" s="2280" t="s">
        <v>2224</v>
      </c>
      <c r="C9" s="3179">
        <f t="shared" si="0"/>
        <v>0</v>
      </c>
      <c r="D9" s="3179">
        <v>0</v>
      </c>
      <c r="E9" s="3180">
        <v>0</v>
      </c>
      <c r="F9" s="723"/>
      <c r="G9" s="724"/>
    </row>
    <row r="10" spans="1:25" s="2018" customFormat="1" ht="36">
      <c r="A10" s="2277">
        <v>2</v>
      </c>
      <c r="B10" s="721" t="s">
        <v>595</v>
      </c>
      <c r="C10" s="722">
        <f>C11+C14+C15</f>
        <v>0</v>
      </c>
      <c r="D10" s="732"/>
      <c r="E10" s="722"/>
      <c r="F10" s="733"/>
      <c r="G10" s="731" t="s">
        <v>596</v>
      </c>
    </row>
    <row r="11" spans="1:25" s="2018" customFormat="1" ht="13.5" customHeight="1">
      <c r="A11" s="2277" t="s">
        <v>2221</v>
      </c>
      <c r="B11" s="725" t="s">
        <v>592</v>
      </c>
      <c r="C11" s="726">
        <f>'数据-取费表'!B29</f>
        <v>0</v>
      </c>
      <c r="D11" s="727"/>
      <c r="E11" s="726"/>
      <c r="F11" s="728"/>
      <c r="G11" s="2285" t="s">
        <v>2232</v>
      </c>
    </row>
    <row r="12" spans="1:25" s="2018" customFormat="1" ht="13.5" customHeight="1">
      <c r="A12" s="2283" t="s">
        <v>2229</v>
      </c>
      <c r="B12" s="729" t="s">
        <v>593</v>
      </c>
      <c r="C12" s="730">
        <f>ROUND(D12*E12/10000,0)</f>
        <v>0</v>
      </c>
      <c r="D12" s="3179">
        <f>'数据-汇总表'!E5</f>
        <v>0</v>
      </c>
      <c r="E12" s="3179">
        <f>'数据-取费表'!B27</f>
        <v>0</v>
      </c>
      <c r="F12" s="728"/>
      <c r="G12" s="731"/>
    </row>
    <row r="13" spans="1:25" s="2018" customFormat="1" ht="13.5" customHeight="1">
      <c r="A13" s="2283" t="s">
        <v>2228</v>
      </c>
      <c r="B13" s="729" t="s">
        <v>594</v>
      </c>
      <c r="C13" s="730">
        <f>ROUND(D13*E13/10000,0)</f>
        <v>36</v>
      </c>
      <c r="D13" s="3179">
        <f>'数据-汇总表'!E6</f>
        <v>1790.62</v>
      </c>
      <c r="E13" s="3179">
        <f>'数据-取费表'!B28</f>
        <v>200</v>
      </c>
      <c r="F13" s="728"/>
      <c r="G13" s="731"/>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1" t="s">
        <v>597</v>
      </c>
      <c r="C16" s="3181">
        <f t="shared" ref="C16" si="2">ROUND(D16*E16/10000,0)</f>
        <v>0</v>
      </c>
      <c r="D16" s="3179">
        <v>0</v>
      </c>
      <c r="E16" s="3180">
        <v>0</v>
      </c>
      <c r="F16" s="733"/>
      <c r="G16" s="731"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1" t="s">
        <v>598</v>
      </c>
      <c r="C17" s="2347">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1" t="s">
        <v>599</v>
      </c>
      <c r="C18" s="722">
        <f>ROUND((C7+C10+C16)*F18,0)</f>
        <v>0</v>
      </c>
      <c r="D18" s="734"/>
      <c r="E18" s="735"/>
      <c r="F18" s="1257">
        <v>0.05</v>
      </c>
      <c r="G18" s="737"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1" t="s">
        <v>601</v>
      </c>
      <c r="C19" s="722">
        <f ca="1">C7+C10+C16+C17+C18</f>
        <v>0</v>
      </c>
      <c r="D19" s="732"/>
      <c r="E19" s="722"/>
      <c r="F19" s="733"/>
      <c r="G19" s="737"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1" t="s">
        <v>603</v>
      </c>
      <c r="C20" s="722">
        <f ca="1">ROUND(C19*F20,0)</f>
        <v>0</v>
      </c>
      <c r="D20" s="732"/>
      <c r="E20" s="722"/>
      <c r="F20" s="1257">
        <v>0.1</v>
      </c>
      <c r="G20" s="737"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1" t="s">
        <v>605</v>
      </c>
      <c r="C21" s="722">
        <f ca="1">C19+C20</f>
        <v>0</v>
      </c>
      <c r="D21" s="732"/>
      <c r="E21" s="722"/>
      <c r="F21" s="733"/>
      <c r="G21" s="737"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1" t="s">
        <v>607</v>
      </c>
      <c r="C22" s="722">
        <f ca="1">ROUND(C21*F22,0)</f>
        <v>0</v>
      </c>
      <c r="D22" s="732"/>
      <c r="E22" s="722"/>
      <c r="F22" s="738">
        <f>'数据-取费表'!AP16</f>
        <v>0.78600000000000003</v>
      </c>
      <c r="G22" s="737"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39" t="s">
        <v>609</v>
      </c>
      <c r="C23" s="740">
        <f ca="1">C22</f>
        <v>0</v>
      </c>
      <c r="D23" s="741"/>
      <c r="E23" s="740"/>
      <c r="F23" s="742"/>
      <c r="G23" s="743"/>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9" t="s">
        <v>701</v>
      </c>
      <c r="C1" s="2390" t="s">
        <v>702</v>
      </c>
      <c r="D1" s="2391"/>
      <c r="E1" s="1963"/>
      <c r="F1" s="2446"/>
      <c r="G1" s="1487" t="s">
        <v>703</v>
      </c>
      <c r="H1" s="482"/>
      <c r="I1" s="482"/>
      <c r="J1" s="482"/>
      <c r="K1" s="483"/>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6"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5" t="s">
        <v>502</v>
      </c>
      <c r="B3" s="822" t="e">
        <f>C49</f>
        <v>#DIV/0!</v>
      </c>
      <c r="C3" s="823" t="s">
        <v>704</v>
      </c>
      <c r="D3" s="822">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8" t="s">
        <v>504</v>
      </c>
      <c r="B4" s="489"/>
      <c r="C4" s="3677" t="s">
        <v>505</v>
      </c>
      <c r="D4" s="3678"/>
      <c r="E4" s="3699" t="s">
        <v>506</v>
      </c>
      <c r="F4" s="3700"/>
      <c r="G4" s="3677" t="s">
        <v>507</v>
      </c>
      <c r="H4" s="3678"/>
      <c r="I4" s="3677" t="s">
        <v>508</v>
      </c>
      <c r="J4" s="3678"/>
      <c r="K4" s="824"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58" t="s">
        <v>507</v>
      </c>
      <c r="AC4" s="3658" t="s">
        <v>508</v>
      </c>
    </row>
    <row r="5" spans="1:29" ht="15">
      <c r="A5" s="491"/>
      <c r="B5" s="492"/>
      <c r="C5" s="3688" t="s">
        <v>2631</v>
      </c>
      <c r="D5" s="3689"/>
      <c r="E5" s="3701" t="s">
        <v>2632</v>
      </c>
      <c r="F5" s="3702"/>
      <c r="G5" s="3688" t="s">
        <v>2633</v>
      </c>
      <c r="H5" s="3689"/>
      <c r="I5" s="3688" t="s">
        <v>2634</v>
      </c>
      <c r="J5" s="3689"/>
      <c r="K5" s="825"/>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825"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SUMIF(58:58,YEAR(E7)&amp;"-"&amp;MONTH(E7),59:59)</f>
        <v>0</v>
      </c>
      <c r="G7" s="499"/>
      <c r="H7" s="496">
        <f>SUMIF(58:58,YEAR(G7)&amp;"-"&amp;MONTH(G7),59:59)</f>
        <v>0</v>
      </c>
      <c r="I7" s="499"/>
      <c r="J7" s="496">
        <f>SUMIF(58:58,YEAR(I7)&amp;"-"&amp;MONTH(I7),59:59)</f>
        <v>0</v>
      </c>
      <c r="K7" s="826"/>
      <c r="L7" s="1971"/>
      <c r="M7" s="1972"/>
      <c r="N7" s="1972"/>
      <c r="O7" s="1972"/>
      <c r="P7" s="3661" t="s">
        <v>513</v>
      </c>
      <c r="Q7" s="3670"/>
      <c r="R7" s="1458" t="s">
        <v>13</v>
      </c>
      <c r="S7" s="1459">
        <f t="shared" ref="S7:S15" si="0">F7</f>
        <v>0</v>
      </c>
      <c r="T7" s="1458" t="s">
        <v>13</v>
      </c>
      <c r="U7" s="1459">
        <f t="shared" ref="U7:U15" si="1">H7</f>
        <v>0</v>
      </c>
      <c r="V7" s="1458" t="s">
        <v>13</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827"/>
      <c r="F8" s="498">
        <f>SUMIF(61:61,E8,62:62)-SUMIF(61:61,C8,62:62)+100</f>
        <v>0</v>
      </c>
      <c r="G8" s="501"/>
      <c r="H8" s="496">
        <f>SUMIF(61:61,G8,62:62)-SUMIF(61:61,C8,62:62)+100</f>
        <v>0</v>
      </c>
      <c r="I8" s="827"/>
      <c r="J8" s="496">
        <f>SUMIF(61:61,I8,62:62)-SUMIF(61:61,C8,62:62)+100</f>
        <v>0</v>
      </c>
      <c r="K8" s="826"/>
      <c r="L8" s="1971"/>
      <c r="M8" s="1972"/>
      <c r="N8" s="1972"/>
      <c r="O8" s="1972"/>
      <c r="P8" s="3661" t="s">
        <v>516</v>
      </c>
      <c r="Q8" s="3662"/>
      <c r="R8" s="1458" t="s">
        <v>13</v>
      </c>
      <c r="S8" s="1459">
        <f t="shared" si="0"/>
        <v>0</v>
      </c>
      <c r="T8" s="1458" t="s">
        <v>13</v>
      </c>
      <c r="U8" s="1459">
        <f t="shared" si="1"/>
        <v>0</v>
      </c>
      <c r="V8" s="1458" t="s">
        <v>13</v>
      </c>
      <c r="W8" s="1459">
        <f t="shared" si="2"/>
        <v>0</v>
      </c>
      <c r="X8" s="1460"/>
      <c r="Y8" s="3661" t="s">
        <v>516</v>
      </c>
      <c r="Z8" s="3662"/>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29"/>
      <c r="F9" s="830">
        <f>SUMIF(63:63,E9,64:64)-SUMIF(63:63,C9,64:64)+100</f>
        <v>100</v>
      </c>
      <c r="G9" s="831"/>
      <c r="H9" s="251">
        <f>SUMIF(63:63,G9,64:64)-SUMIF(63:63,C9,64:64)+100</f>
        <v>100</v>
      </c>
      <c r="I9" s="831"/>
      <c r="J9" s="251">
        <f>SUMIF(63:63,I9,64:64)-SUMIF(63:63,C9,64:64)+100</f>
        <v>100</v>
      </c>
      <c r="K9" s="826"/>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3"/>
      <c r="F10" s="834">
        <f>SUMIF(65:65,E10,66:66)-SUMIF(65:65,C10,66:66)+100</f>
        <v>100</v>
      </c>
      <c r="G10" s="832"/>
      <c r="H10" s="252">
        <f>SUMIF(65:65,G10,66:66)-SUMIF(65:65,C10,66:66)+100</f>
        <v>100</v>
      </c>
      <c r="I10" s="832"/>
      <c r="J10" s="252">
        <f>SUMIF(65:65,I10,66:66)-SUMIF(65:65,C10,66:66)+100</f>
        <v>100</v>
      </c>
      <c r="K10" s="835"/>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10"/>
      <c r="F11" s="834" t="e">
        <f>LOOKUP(E11,68:68,69:69)-LOOKUP(C11,68:68,69:69)+100</f>
        <v>#N/A</v>
      </c>
      <c r="G11" s="509"/>
      <c r="H11" s="252" t="e">
        <f>LOOKUP(G11,68:68,69:69)-LOOKUP(C11,68:68,69:69)+100</f>
        <v>#N/A</v>
      </c>
      <c r="I11" s="509"/>
      <c r="J11" s="252" t="e">
        <f>LOOKUP(I11,68:68,69:69)-LOOKUP(C11,68:68,69:69)+100</f>
        <v>#N/A</v>
      </c>
      <c r="K11" s="835"/>
      <c r="L11" s="1976"/>
      <c r="M11" s="1970"/>
      <c r="N11" s="1970"/>
      <c r="O11" s="1977"/>
      <c r="P11" s="3669"/>
      <c r="Q11" s="1097" t="str">
        <f t="shared" si="6"/>
        <v>容积率</v>
      </c>
      <c r="R11" s="1458" t="s">
        <v>11</v>
      </c>
      <c r="S11" s="1459" t="e">
        <f t="shared" si="0"/>
        <v>#N/A</v>
      </c>
      <c r="T11" s="1458" t="s">
        <v>11</v>
      </c>
      <c r="U11" s="1459" t="e">
        <f t="shared" si="1"/>
        <v>#N/A</v>
      </c>
      <c r="V11" s="1458" t="s">
        <v>11</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834">
        <f>SUMIF(70:70,E12,71:71)-SUMIF(70:70,C12,71:71)+100</f>
        <v>100</v>
      </c>
      <c r="G12" s="504"/>
      <c r="H12" s="252">
        <f>SUMIF(70:70,G12,71:71)-SUMIF(70:70,C12,71:71)+100</f>
        <v>100</v>
      </c>
      <c r="I12" s="504"/>
      <c r="J12" s="252">
        <f>SUMIF(70:70,I12,71:71)-SUMIF(70:70,C12,71:71)+100</f>
        <v>100</v>
      </c>
      <c r="K12" s="836"/>
      <c r="L12" s="1971"/>
      <c r="M12" s="1972"/>
      <c r="N12" s="1972"/>
      <c r="O12" s="1973"/>
      <c r="P12" s="3669"/>
      <c r="Q12" s="1097">
        <f t="shared" si="6"/>
        <v>111</v>
      </c>
      <c r="R12" s="1458" t="s">
        <v>11</v>
      </c>
      <c r="S12" s="1459">
        <f t="shared" si="0"/>
        <v>100</v>
      </c>
      <c r="T12" s="1458" t="s">
        <v>11</v>
      </c>
      <c r="U12" s="1459">
        <f t="shared" si="1"/>
        <v>100</v>
      </c>
      <c r="V12" s="1458" t="s">
        <v>11</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834">
        <f>SUMIF(72:72,E13,73:73)-SUMIF(72:72,C13,73:73)+100</f>
        <v>100</v>
      </c>
      <c r="G13" s="515"/>
      <c r="H13" s="516">
        <f>SUMIF(72:72,G13,73:73)-SUMIF(72:72,C13,73:73)+100</f>
        <v>100</v>
      </c>
      <c r="I13" s="515"/>
      <c r="J13" s="516">
        <f>SUMIF(72:72,I13,73:73)-SUMIF(72:72,C13,73:73)+100</f>
        <v>100</v>
      </c>
      <c r="K13" s="836"/>
      <c r="L13" s="1978"/>
      <c r="M13" s="1970"/>
      <c r="N13" s="1970"/>
      <c r="O13" s="1977"/>
      <c r="P13" s="3669"/>
      <c r="Q13" s="1097">
        <f t="shared" si="6"/>
        <v>111</v>
      </c>
      <c r="R13" s="1458" t="s">
        <v>11</v>
      </c>
      <c r="S13" s="1459">
        <f t="shared" si="0"/>
        <v>100</v>
      </c>
      <c r="T13" s="1458" t="s">
        <v>11</v>
      </c>
      <c r="U13" s="1459">
        <f t="shared" si="1"/>
        <v>100</v>
      </c>
      <c r="V13" s="1458" t="s">
        <v>11</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837">
        <f>SUMIF(74:74,E14,75:75)-SUMIF(74:74,C14,75:75)+100</f>
        <v>100</v>
      </c>
      <c r="G14" s="521"/>
      <c r="H14" s="522">
        <f>SUMIF(74:74,G14,75:75)-SUMIF(74:74,C14,75:75)+100</f>
        <v>100</v>
      </c>
      <c r="I14" s="521"/>
      <c r="J14" s="522">
        <f>SUMIF(74:74,I14,75:75)-SUMIF(74:74,C14,75:75)+100</f>
        <v>100</v>
      </c>
      <c r="K14" s="836"/>
      <c r="L14" s="1978"/>
      <c r="M14" s="1970"/>
      <c r="N14" s="1970"/>
      <c r="O14" s="1977"/>
      <c r="P14" s="3669"/>
      <c r="Q14" s="1097">
        <f t="shared" si="6"/>
        <v>111</v>
      </c>
      <c r="R14" s="1458" t="s">
        <v>11</v>
      </c>
      <c r="S14" s="1459">
        <f t="shared" si="0"/>
        <v>100</v>
      </c>
      <c r="T14" s="1458" t="s">
        <v>11</v>
      </c>
      <c r="U14" s="1459">
        <f t="shared" si="1"/>
        <v>100</v>
      </c>
      <c r="V14" s="1458" t="s">
        <v>11</v>
      </c>
      <c r="W14" s="1459">
        <f t="shared" si="2"/>
        <v>100</v>
      </c>
      <c r="X14" s="1460"/>
      <c r="Y14" s="3617"/>
      <c r="Z14" s="1096">
        <f t="shared" si="7"/>
        <v>111</v>
      </c>
      <c r="AA14" s="1461">
        <f t="shared" si="3"/>
        <v>1</v>
      </c>
      <c r="AB14" s="1461">
        <f t="shared" si="4"/>
        <v>1</v>
      </c>
      <c r="AC14" s="1461">
        <f t="shared" si="5"/>
        <v>1</v>
      </c>
    </row>
    <row r="15" spans="1:29" ht="99.75">
      <c r="A15" s="2549"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8"/>
      <c r="M15" s="1970"/>
      <c r="N15" s="1970"/>
      <c r="O15" s="1977"/>
      <c r="P15" s="3671" t="s">
        <v>523</v>
      </c>
      <c r="Q15" s="1462" t="str">
        <f t="shared" si="6"/>
        <v>居住社区成熟度</v>
      </c>
      <c r="R15" s="1463" t="s">
        <v>11</v>
      </c>
      <c r="S15" s="1464">
        <f t="shared" si="0"/>
        <v>100</v>
      </c>
      <c r="T15" s="1463" t="s">
        <v>11</v>
      </c>
      <c r="U15" s="1464">
        <f t="shared" si="1"/>
        <v>100</v>
      </c>
      <c r="V15" s="1463" t="s">
        <v>11</v>
      </c>
      <c r="W15" s="1464">
        <f t="shared" si="2"/>
        <v>100</v>
      </c>
      <c r="X15" s="1457"/>
      <c r="Y15" s="3671" t="s">
        <v>523</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8"/>
      <c r="M17" s="1970"/>
      <c r="N17" s="1970"/>
      <c r="O17" s="1977"/>
      <c r="P17" s="3672"/>
      <c r="Q17" s="1462" t="str">
        <f>B17</f>
        <v>交通便捷度</v>
      </c>
      <c r="R17" s="1463" t="s">
        <v>11</v>
      </c>
      <c r="S17" s="1464">
        <f>F17</f>
        <v>100</v>
      </c>
      <c r="T17" s="1463" t="s">
        <v>11</v>
      </c>
      <c r="U17" s="1464">
        <f>H17</f>
        <v>100</v>
      </c>
      <c r="V17" s="1463" t="s">
        <v>11</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8"/>
      <c r="M19" s="1970"/>
      <c r="N19" s="1970"/>
      <c r="O19" s="1977"/>
      <c r="P19" s="3672"/>
      <c r="Q19" s="1462" t="str">
        <f>B19</f>
        <v>公共配套设施</v>
      </c>
      <c r="R19" s="1463" t="s">
        <v>11</v>
      </c>
      <c r="S19" s="1464">
        <f>F19</f>
        <v>100</v>
      </c>
      <c r="T19" s="1463" t="s">
        <v>11</v>
      </c>
      <c r="U19" s="1464">
        <f>H19</f>
        <v>100</v>
      </c>
      <c r="V19" s="1463" t="s">
        <v>11</v>
      </c>
      <c r="W19" s="1464">
        <f>J19</f>
        <v>100</v>
      </c>
      <c r="X19" s="1457"/>
      <c r="Y19" s="3672"/>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8"/>
      <c r="M21" s="1970"/>
      <c r="N21" s="1970"/>
      <c r="O21" s="1977"/>
      <c r="P21" s="3672"/>
      <c r="Q21" s="2351" t="str">
        <f>B21</f>
        <v>基础设施水平</v>
      </c>
      <c r="R21" s="1463" t="s">
        <v>11</v>
      </c>
      <c r="S21" s="1464">
        <f>F21</f>
        <v>100</v>
      </c>
      <c r="T21" s="1463" t="s">
        <v>11</v>
      </c>
      <c r="U21" s="1464">
        <f>H21</f>
        <v>100</v>
      </c>
      <c r="V21" s="1463" t="s">
        <v>11</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5"/>
      <c r="L22" s="1978"/>
      <c r="M22" s="1970"/>
      <c r="N22" s="1970"/>
      <c r="O22" s="1977"/>
      <c r="P22" s="3672"/>
      <c r="Q22" s="2351"/>
      <c r="R22" s="1463"/>
      <c r="S22" s="1464"/>
      <c r="T22" s="1463"/>
      <c r="U22" s="1464"/>
      <c r="V22" s="1463"/>
      <c r="W22" s="1464"/>
      <c r="X22" s="2353"/>
      <c r="Y22" s="3672"/>
      <c r="Z22" s="2352"/>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8"/>
      <c r="M23" s="1970"/>
      <c r="N23" s="1970"/>
      <c r="O23" s="1977"/>
      <c r="P23" s="3672"/>
      <c r="Q23" s="1462" t="str">
        <f>B23</f>
        <v>自然及人文环境</v>
      </c>
      <c r="R23" s="1463" t="s">
        <v>11</v>
      </c>
      <c r="S23" s="1464">
        <f>F23</f>
        <v>100</v>
      </c>
      <c r="T23" s="1463" t="s">
        <v>11</v>
      </c>
      <c r="U23" s="1464">
        <f>H23</f>
        <v>100</v>
      </c>
      <c r="V23" s="1463" t="s">
        <v>11</v>
      </c>
      <c r="W23" s="1464">
        <f>J23</f>
        <v>100</v>
      </c>
      <c r="X23" s="1457"/>
      <c r="Y23" s="3672"/>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508"/>
      <c r="B25" s="1764" t="s">
        <v>2048</v>
      </c>
      <c r="C25" s="550"/>
      <c r="D25" s="516">
        <v>100</v>
      </c>
      <c r="E25" s="845"/>
      <c r="F25" s="551">
        <f>SUMIF(86:86,E25,87:87)-SUMIF(86:86,C25,87:87)+100</f>
        <v>100</v>
      </c>
      <c r="G25" s="575"/>
      <c r="H25" s="516">
        <f>SUMIF(86:86,G25,87:87)-SUMIF(86:86,C25,87:87)+100</f>
        <v>100</v>
      </c>
      <c r="I25" s="845"/>
      <c r="J25" s="516">
        <f>SUMIF(86:86,I25,87:87)-SUMIF(86:86,C25,87:87)+100</f>
        <v>100</v>
      </c>
      <c r="K25" s="835"/>
      <c r="L25" s="1978"/>
      <c r="M25" s="1970"/>
      <c r="N25" s="1970"/>
      <c r="O25" s="1977"/>
      <c r="P25" s="3672"/>
      <c r="Q25" s="1462" t="str">
        <f t="shared" ref="Q25:Q46" si="11">B25</f>
        <v>楼层-1</v>
      </c>
      <c r="R25" s="1463" t="s">
        <v>11</v>
      </c>
      <c r="S25" s="1464">
        <f>F25</f>
        <v>100</v>
      </c>
      <c r="T25" s="1463" t="s">
        <v>11</v>
      </c>
      <c r="U25" s="1464">
        <f>H25</f>
        <v>100</v>
      </c>
      <c r="V25" s="1463" t="s">
        <v>11</v>
      </c>
      <c r="W25" s="1464">
        <f>J25</f>
        <v>100</v>
      </c>
      <c r="X25" s="1457"/>
      <c r="Y25" s="3672"/>
      <c r="Z25" s="1465" t="str">
        <f>Q25</f>
        <v>楼层-1</v>
      </c>
      <c r="AA25" s="1466">
        <f t="shared" si="3"/>
        <v>1</v>
      </c>
      <c r="AB25" s="1466">
        <f t="shared" si="4"/>
        <v>1</v>
      </c>
      <c r="AC25" s="1466">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8"/>
      <c r="M26" s="1970"/>
      <c r="N26" s="1970"/>
      <c r="O26" s="1977"/>
      <c r="P26" s="3672"/>
      <c r="Q26" s="1462" t="str">
        <f t="shared" si="11"/>
        <v>朝向</v>
      </c>
      <c r="R26" s="1463" t="s">
        <v>11</v>
      </c>
      <c r="S26" s="1464">
        <f>F26</f>
        <v>100</v>
      </c>
      <c r="T26" s="1463" t="s">
        <v>11</v>
      </c>
      <c r="U26" s="1464">
        <f>H26</f>
        <v>100</v>
      </c>
      <c r="V26" s="1463" t="s">
        <v>11</v>
      </c>
      <c r="W26" s="1464">
        <f>J26</f>
        <v>100</v>
      </c>
      <c r="X26" s="1457"/>
      <c r="Y26" s="3672"/>
      <c r="Z26" s="1465" t="str">
        <f>Q26</f>
        <v>朝向</v>
      </c>
      <c r="AA26" s="1466">
        <f t="shared" si="3"/>
        <v>1</v>
      </c>
      <c r="AB26" s="1466">
        <f t="shared" si="4"/>
        <v>1</v>
      </c>
      <c r="AC26" s="1466">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1"/>
      <c r="M27" s="1972"/>
      <c r="N27" s="1972"/>
      <c r="O27" s="1973"/>
      <c r="P27" s="3672"/>
      <c r="Q27" s="1097" t="str">
        <f t="shared" si="11"/>
        <v>道路级别</v>
      </c>
      <c r="R27" s="1458" t="s">
        <v>11</v>
      </c>
      <c r="S27" s="1459">
        <f>F27</f>
        <v>100</v>
      </c>
      <c r="T27" s="1458" t="s">
        <v>11</v>
      </c>
      <c r="U27" s="1459">
        <f>H27</f>
        <v>100</v>
      </c>
      <c r="V27" s="1458" t="s">
        <v>11</v>
      </c>
      <c r="W27" s="1459">
        <f>J27</f>
        <v>100</v>
      </c>
      <c r="X27" s="1460"/>
      <c r="Y27" s="3672"/>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8"/>
      <c r="M28" s="1970"/>
      <c r="N28" s="1970"/>
      <c r="O28" s="1977"/>
      <c r="P28" s="3672"/>
      <c r="Q28" s="1462">
        <f t="shared" si="11"/>
        <v>111</v>
      </c>
      <c r="R28" s="1463" t="s">
        <v>11</v>
      </c>
      <c r="S28" s="1464">
        <f t="shared" ref="S28:S46" si="12">F28</f>
        <v>100</v>
      </c>
      <c r="T28" s="1463" t="s">
        <v>11</v>
      </c>
      <c r="U28" s="1464">
        <f t="shared" ref="U28:U46" si="13">H28</f>
        <v>100</v>
      </c>
      <c r="V28" s="1463" t="s">
        <v>11</v>
      </c>
      <c r="W28" s="1464">
        <f t="shared" ref="W28:W46" si="14">J28</f>
        <v>100</v>
      </c>
      <c r="X28" s="1457"/>
      <c r="Y28" s="3672"/>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8"/>
      <c r="M29" s="1970"/>
      <c r="N29" s="1970"/>
      <c r="O29" s="1977"/>
      <c r="P29" s="3672"/>
      <c r="Q29" s="1462">
        <f t="shared" si="11"/>
        <v>111</v>
      </c>
      <c r="R29" s="1463" t="s">
        <v>11</v>
      </c>
      <c r="S29" s="1464">
        <f t="shared" si="12"/>
        <v>100</v>
      </c>
      <c r="T29" s="1463" t="s">
        <v>11</v>
      </c>
      <c r="U29" s="1464">
        <f t="shared" si="13"/>
        <v>100</v>
      </c>
      <c r="V29" s="1463" t="s">
        <v>11</v>
      </c>
      <c r="W29" s="1464">
        <f t="shared" si="14"/>
        <v>100</v>
      </c>
      <c r="X29" s="1457"/>
      <c r="Y29" s="3672"/>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8"/>
      <c r="M30" s="1970"/>
      <c r="N30" s="1970"/>
      <c r="O30" s="1977"/>
      <c r="P30" s="3672"/>
      <c r="Q30" s="1462">
        <f t="shared" si="11"/>
        <v>111</v>
      </c>
      <c r="R30" s="1463" t="s">
        <v>11</v>
      </c>
      <c r="S30" s="1464">
        <f t="shared" si="12"/>
        <v>100</v>
      </c>
      <c r="T30" s="1463" t="s">
        <v>11</v>
      </c>
      <c r="U30" s="1464">
        <f t="shared" si="13"/>
        <v>100</v>
      </c>
      <c r="V30" s="1463" t="s">
        <v>11</v>
      </c>
      <c r="W30" s="1464">
        <f t="shared" si="14"/>
        <v>100</v>
      </c>
      <c r="X30" s="1457"/>
      <c r="Y30" s="3672"/>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8"/>
      <c r="M31" s="1970"/>
      <c r="N31" s="1970"/>
      <c r="O31" s="1977"/>
      <c r="P31" s="3672"/>
      <c r="Q31" s="1462">
        <f t="shared" si="11"/>
        <v>111</v>
      </c>
      <c r="R31" s="1463" t="s">
        <v>11</v>
      </c>
      <c r="S31" s="1464">
        <f t="shared" si="12"/>
        <v>100</v>
      </c>
      <c r="T31" s="1463" t="s">
        <v>11</v>
      </c>
      <c r="U31" s="1464">
        <f t="shared" si="13"/>
        <v>100</v>
      </c>
      <c r="V31" s="1463" t="s">
        <v>11</v>
      </c>
      <c r="W31" s="1464">
        <f t="shared" si="14"/>
        <v>100</v>
      </c>
      <c r="X31" s="1457"/>
      <c r="Y31" s="3672"/>
      <c r="Z31" s="1465">
        <f t="shared" si="15"/>
        <v>111</v>
      </c>
      <c r="AA31" s="1466">
        <f t="shared" si="3"/>
        <v>1</v>
      </c>
      <c r="AB31" s="1466">
        <f t="shared" si="4"/>
        <v>1</v>
      </c>
      <c r="AC31" s="1466">
        <f t="shared" si="5"/>
        <v>1</v>
      </c>
    </row>
    <row r="32" spans="1:29" ht="15">
      <c r="A32" s="2546" t="s">
        <v>2472</v>
      </c>
      <c r="B32" s="170"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8"/>
      <c r="M32" s="1970"/>
      <c r="N32" s="1970"/>
      <c r="O32" s="1977"/>
      <c r="P32" s="3673" t="s">
        <v>533</v>
      </c>
      <c r="Q32" s="1462" t="str">
        <f t="shared" si="11"/>
        <v>建筑类型</v>
      </c>
      <c r="R32" s="1463" t="s">
        <v>11</v>
      </c>
      <c r="S32" s="1464">
        <f t="shared" si="12"/>
        <v>100</v>
      </c>
      <c r="T32" s="1463" t="s">
        <v>11</v>
      </c>
      <c r="U32" s="1464">
        <f t="shared" si="13"/>
        <v>100</v>
      </c>
      <c r="V32" s="1463" t="s">
        <v>11</v>
      </c>
      <c r="W32" s="1464">
        <f t="shared" si="14"/>
        <v>100</v>
      </c>
      <c r="X32" s="1457"/>
      <c r="Y32" s="3674" t="s">
        <v>533</v>
      </c>
      <c r="Z32" s="1465" t="str">
        <f t="shared" si="15"/>
        <v>建筑类型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10"/>
      <c r="J33" s="252" t="e">
        <f>LOOKUP(I33,103:103,104:104)-LOOKUP(C33,103:103,104:104)+100</f>
        <v>#N/A</v>
      </c>
      <c r="K33" s="836"/>
      <c r="L33" s="1976"/>
      <c r="M33" s="2006"/>
      <c r="N33" s="2006"/>
      <c r="O33" s="1979"/>
      <c r="P33" s="3674"/>
      <c r="Q33" s="1491" t="str">
        <f t="shared" si="11"/>
        <v>项目建筑规模</v>
      </c>
      <c r="R33" s="1467" t="s">
        <v>11</v>
      </c>
      <c r="S33" s="1468" t="e">
        <f t="shared" si="12"/>
        <v>#N/A</v>
      </c>
      <c r="T33" s="1467" t="s">
        <v>11</v>
      </c>
      <c r="U33" s="1468" t="e">
        <f t="shared" si="13"/>
        <v>#N/A</v>
      </c>
      <c r="V33" s="1467" t="s">
        <v>11</v>
      </c>
      <c r="W33" s="1468" t="e">
        <f t="shared" si="14"/>
        <v>#N/A</v>
      </c>
      <c r="X33" s="1469"/>
      <c r="Y33" s="3674"/>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8"/>
      <c r="M34" s="1970"/>
      <c r="N34" s="1970"/>
      <c r="O34" s="1977"/>
      <c r="P34" s="3674"/>
      <c r="Q34" s="1462" t="str">
        <f t="shared" si="11"/>
        <v>建筑结构</v>
      </c>
      <c r="R34" s="1463" t="s">
        <v>11</v>
      </c>
      <c r="S34" s="1464">
        <f t="shared" si="12"/>
        <v>100</v>
      </c>
      <c r="T34" s="1463" t="s">
        <v>11</v>
      </c>
      <c r="U34" s="1464">
        <f t="shared" si="13"/>
        <v>100</v>
      </c>
      <c r="V34" s="1463" t="s">
        <v>11</v>
      </c>
      <c r="W34" s="1464">
        <f t="shared" si="14"/>
        <v>100</v>
      </c>
      <c r="X34" s="1457"/>
      <c r="Y34" s="3674"/>
      <c r="Z34" s="1465" t="str">
        <f t="shared" si="15"/>
        <v>建筑结构</v>
      </c>
      <c r="AA34" s="1466">
        <f t="shared" si="3"/>
        <v>1</v>
      </c>
      <c r="AB34" s="1466">
        <f t="shared" si="4"/>
        <v>1</v>
      </c>
      <c r="AC34" s="1466">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8"/>
      <c r="M35" s="1970"/>
      <c r="N35" s="1970"/>
      <c r="O35" s="1977"/>
      <c r="P35" s="3674"/>
      <c r="Q35" s="1462" t="str">
        <f t="shared" si="11"/>
        <v>建筑品质</v>
      </c>
      <c r="R35" s="1463" t="s">
        <v>11</v>
      </c>
      <c r="S35" s="1464">
        <f t="shared" si="12"/>
        <v>100</v>
      </c>
      <c r="T35" s="1463" t="s">
        <v>11</v>
      </c>
      <c r="U35" s="1464">
        <f t="shared" si="13"/>
        <v>100</v>
      </c>
      <c r="V35" s="1463" t="s">
        <v>11</v>
      </c>
      <c r="W35" s="1464">
        <f t="shared" si="14"/>
        <v>100</v>
      </c>
      <c r="X35" s="1457"/>
      <c r="Y35" s="3674"/>
      <c r="Z35" s="1465" t="str">
        <f t="shared" si="15"/>
        <v>建筑品质</v>
      </c>
      <c r="AA35" s="1466">
        <f t="shared" si="3"/>
        <v>1</v>
      </c>
      <c r="AB35" s="1466">
        <f t="shared" si="4"/>
        <v>1</v>
      </c>
      <c r="AC35" s="1466">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8"/>
      <c r="M36" s="1970"/>
      <c r="N36" s="1970"/>
      <c r="O36" s="1977"/>
      <c r="P36" s="3674"/>
      <c r="Q36" s="1462" t="str">
        <f t="shared" si="11"/>
        <v>公共部分装修</v>
      </c>
      <c r="R36" s="1463" t="s">
        <v>11</v>
      </c>
      <c r="S36" s="1464">
        <f t="shared" si="12"/>
        <v>100</v>
      </c>
      <c r="T36" s="1463" t="s">
        <v>11</v>
      </c>
      <c r="U36" s="1464">
        <f t="shared" si="13"/>
        <v>100</v>
      </c>
      <c r="V36" s="1463" t="s">
        <v>11</v>
      </c>
      <c r="W36" s="1464">
        <f t="shared" si="14"/>
        <v>100</v>
      </c>
      <c r="X36" s="1457"/>
      <c r="Y36" s="3674"/>
      <c r="Z36" s="1465" t="str">
        <f t="shared" si="15"/>
        <v>公共部分装修</v>
      </c>
      <c r="AA36" s="1466">
        <f t="shared" si="3"/>
        <v>1</v>
      </c>
      <c r="AB36" s="1466">
        <f t="shared" si="4"/>
        <v>1</v>
      </c>
      <c r="AC36" s="1466">
        <f t="shared" si="5"/>
        <v>1</v>
      </c>
    </row>
    <row r="37" spans="1:29" s="1166" customFormat="1" ht="15">
      <c r="A37" s="576"/>
      <c r="B37" s="503" t="s">
        <v>712</v>
      </c>
      <c r="C37" s="854"/>
      <c r="D37" s="252">
        <v>100</v>
      </c>
      <c r="E37" s="855"/>
      <c r="F37" s="834" t="e">
        <f>LOOKUP(E37,112:112,113:113)-LOOKUP(C37,112:112,113:113)+100</f>
        <v>#N/A</v>
      </c>
      <c r="G37" s="856"/>
      <c r="H37" s="252" t="e">
        <f>LOOKUP(G37,112:112,113:113)-LOOKUP(C37,112:112,113:113)+100</f>
        <v>#N/A</v>
      </c>
      <c r="I37" s="855"/>
      <c r="J37" s="252" t="e">
        <f>LOOKUP(I37,112:112,113:113)-LOOKUP(C37,112:112,113:113)+100</f>
        <v>#N/A</v>
      </c>
      <c r="K37" s="835"/>
      <c r="L37" s="1971"/>
      <c r="M37" s="1972"/>
      <c r="N37" s="1972"/>
      <c r="O37" s="1973"/>
      <c r="P37" s="3674"/>
      <c r="Q37" s="1097" t="str">
        <f t="shared" si="11"/>
        <v>成新度</v>
      </c>
      <c r="R37" s="1458" t="s">
        <v>11</v>
      </c>
      <c r="S37" s="1459" t="e">
        <f t="shared" si="12"/>
        <v>#N/A</v>
      </c>
      <c r="T37" s="1458" t="s">
        <v>11</v>
      </c>
      <c r="U37" s="1459" t="e">
        <f t="shared" si="13"/>
        <v>#N/A</v>
      </c>
      <c r="V37" s="1458" t="s">
        <v>11</v>
      </c>
      <c r="W37" s="1459" t="e">
        <f t="shared" si="14"/>
        <v>#N/A</v>
      </c>
      <c r="X37" s="1460"/>
      <c r="Y37" s="3674"/>
      <c r="Z37" s="1096" t="str">
        <f t="shared" si="15"/>
        <v>成新度</v>
      </c>
      <c r="AA37" s="1461" t="e">
        <f t="shared" si="3"/>
        <v>#N/A</v>
      </c>
      <c r="AB37" s="1461" t="e">
        <f t="shared" si="4"/>
        <v>#N/A</v>
      </c>
      <c r="AC37" s="1461" t="e">
        <f t="shared" si="5"/>
        <v>#N/A</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8"/>
      <c r="M38" s="1970"/>
      <c r="N38" s="1970"/>
      <c r="O38" s="1977"/>
      <c r="P38" s="3674" t="s">
        <v>533</v>
      </c>
      <c r="Q38" s="1462" t="str">
        <f t="shared" si="11"/>
        <v>物业管理</v>
      </c>
      <c r="R38" s="1463" t="s">
        <v>11</v>
      </c>
      <c r="S38" s="1464">
        <f t="shared" si="12"/>
        <v>100</v>
      </c>
      <c r="T38" s="1463" t="s">
        <v>11</v>
      </c>
      <c r="U38" s="1464">
        <f t="shared" si="13"/>
        <v>100</v>
      </c>
      <c r="V38" s="1463" t="s">
        <v>11</v>
      </c>
      <c r="W38" s="1464">
        <f t="shared" si="14"/>
        <v>100</v>
      </c>
      <c r="X38" s="1457"/>
      <c r="Y38" s="3674" t="s">
        <v>533</v>
      </c>
      <c r="Z38" s="1465" t="str">
        <f t="shared" si="15"/>
        <v>物业管理</v>
      </c>
      <c r="AA38" s="1466">
        <f t="shared" si="3"/>
        <v>1</v>
      </c>
      <c r="AB38" s="1466">
        <f t="shared" si="4"/>
        <v>1</v>
      </c>
      <c r="AC38" s="1466">
        <f t="shared" si="5"/>
        <v>1</v>
      </c>
    </row>
    <row r="39" spans="1:29" ht="15">
      <c r="A39" s="570"/>
      <c r="B39" s="1764"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8"/>
      <c r="M39" s="1970"/>
      <c r="N39" s="1970"/>
      <c r="O39" s="1977"/>
      <c r="P39" s="3674"/>
      <c r="Q39" s="1462" t="str">
        <f t="shared" si="11"/>
        <v>市政基础设施</v>
      </c>
      <c r="R39" s="1463" t="s">
        <v>11</v>
      </c>
      <c r="S39" s="1464">
        <f t="shared" si="12"/>
        <v>100</v>
      </c>
      <c r="T39" s="1463" t="s">
        <v>11</v>
      </c>
      <c r="U39" s="1464">
        <f t="shared" si="13"/>
        <v>100</v>
      </c>
      <c r="V39" s="1463" t="s">
        <v>11</v>
      </c>
      <c r="W39" s="1464">
        <f t="shared" si="14"/>
        <v>100</v>
      </c>
      <c r="X39" s="1457"/>
      <c r="Y39" s="3674"/>
      <c r="Z39" s="1465" t="str">
        <f t="shared" si="15"/>
        <v>市政基础设施</v>
      </c>
      <c r="AA39" s="1466">
        <f t="shared" si="3"/>
        <v>1</v>
      </c>
      <c r="AB39" s="1466">
        <f t="shared" si="4"/>
        <v>1</v>
      </c>
      <c r="AC39" s="1466">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8"/>
      <c r="M40" s="1970"/>
      <c r="N40" s="1970"/>
      <c r="O40" s="1977"/>
      <c r="P40" s="3674"/>
      <c r="Q40" s="1462" t="str">
        <f t="shared" si="11"/>
        <v>房型</v>
      </c>
      <c r="R40" s="1463" t="s">
        <v>11</v>
      </c>
      <c r="S40" s="1464">
        <f t="shared" si="12"/>
        <v>100</v>
      </c>
      <c r="T40" s="1463" t="s">
        <v>11</v>
      </c>
      <c r="U40" s="1464">
        <f t="shared" si="13"/>
        <v>100</v>
      </c>
      <c r="V40" s="1463" t="s">
        <v>11</v>
      </c>
      <c r="W40" s="1464">
        <f t="shared" si="14"/>
        <v>100</v>
      </c>
      <c r="X40" s="1457"/>
      <c r="Y40" s="3674"/>
      <c r="Z40" s="1465" t="str">
        <f t="shared" si="15"/>
        <v>房型</v>
      </c>
      <c r="AA40" s="1466">
        <f t="shared" si="3"/>
        <v>1</v>
      </c>
      <c r="AB40" s="1466">
        <f t="shared" si="4"/>
        <v>1</v>
      </c>
      <c r="AC40" s="1466">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6"/>
      <c r="M41" s="2006"/>
      <c r="N41" s="2006"/>
      <c r="O41" s="1979"/>
      <c r="P41" s="3674"/>
      <c r="Q41" s="1491" t="str">
        <f t="shared" si="11"/>
        <v>单套/主力户型建筑面积</v>
      </c>
      <c r="R41" s="1467" t="s">
        <v>11</v>
      </c>
      <c r="S41" s="1468">
        <f t="shared" si="12"/>
        <v>100</v>
      </c>
      <c r="T41" s="1467" t="s">
        <v>11</v>
      </c>
      <c r="U41" s="1468">
        <f t="shared" si="13"/>
        <v>100</v>
      </c>
      <c r="V41" s="1467" t="s">
        <v>11</v>
      </c>
      <c r="W41" s="1468">
        <f t="shared" si="14"/>
        <v>100</v>
      </c>
      <c r="X41" s="1469"/>
      <c r="Y41" s="3674"/>
      <c r="Z41" s="1470" t="str">
        <f t="shared" si="15"/>
        <v>单套/主力户型建筑面积</v>
      </c>
      <c r="AA41" s="1466">
        <f t="shared" si="3"/>
        <v>1</v>
      </c>
      <c r="AB41" s="1466">
        <f t="shared" si="4"/>
        <v>1</v>
      </c>
      <c r="AC41" s="1466">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8"/>
      <c r="M42" s="1970"/>
      <c r="N42" s="1970"/>
      <c r="O42" s="1977"/>
      <c r="P42" s="3674"/>
      <c r="Q42" s="1462" t="str">
        <f t="shared" si="11"/>
        <v>内部装修</v>
      </c>
      <c r="R42" s="1463" t="s">
        <v>11</v>
      </c>
      <c r="S42" s="1464">
        <f t="shared" si="12"/>
        <v>100</v>
      </c>
      <c r="T42" s="1463" t="s">
        <v>11</v>
      </c>
      <c r="U42" s="1464">
        <f t="shared" si="13"/>
        <v>100</v>
      </c>
      <c r="V42" s="1463" t="s">
        <v>11</v>
      </c>
      <c r="W42" s="1464">
        <f t="shared" si="14"/>
        <v>100</v>
      </c>
      <c r="X42" s="1457"/>
      <c r="Y42" s="3674"/>
      <c r="Z42" s="1465" t="str">
        <f t="shared" si="15"/>
        <v>内部装修</v>
      </c>
      <c r="AA42" s="1466">
        <f t="shared" si="3"/>
        <v>1</v>
      </c>
      <c r="AB42" s="1466">
        <f t="shared" si="4"/>
        <v>1</v>
      </c>
      <c r="AC42" s="1466">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8"/>
      <c r="M43" s="1970"/>
      <c r="N43" s="1970"/>
      <c r="O43" s="1977"/>
      <c r="P43" s="3674"/>
      <c r="Q43" s="1462" t="str">
        <f t="shared" si="11"/>
        <v>内部装修维护情况</v>
      </c>
      <c r="R43" s="1463" t="s">
        <v>11</v>
      </c>
      <c r="S43" s="1464">
        <f t="shared" si="12"/>
        <v>100</v>
      </c>
      <c r="T43" s="1463" t="s">
        <v>11</v>
      </c>
      <c r="U43" s="1464">
        <f t="shared" si="13"/>
        <v>100</v>
      </c>
      <c r="V43" s="1463" t="s">
        <v>11</v>
      </c>
      <c r="W43" s="1464">
        <f t="shared" si="14"/>
        <v>100</v>
      </c>
      <c r="X43" s="1457"/>
      <c r="Y43" s="3674"/>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1"/>
      <c r="M44" s="1972"/>
      <c r="N44" s="1972"/>
      <c r="O44" s="1973"/>
      <c r="P44" s="3674"/>
      <c r="Q44" s="1097">
        <f t="shared" si="11"/>
        <v>111</v>
      </c>
      <c r="R44" s="1458" t="s">
        <v>11</v>
      </c>
      <c r="S44" s="1459">
        <f t="shared" si="12"/>
        <v>100</v>
      </c>
      <c r="T44" s="1458" t="s">
        <v>11</v>
      </c>
      <c r="U44" s="1459">
        <f t="shared" si="13"/>
        <v>100</v>
      </c>
      <c r="V44" s="1458" t="s">
        <v>11</v>
      </c>
      <c r="W44" s="1459">
        <f t="shared" si="14"/>
        <v>100</v>
      </c>
      <c r="X44" s="1460"/>
      <c r="Y44" s="3674"/>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8"/>
      <c r="M45" s="1970"/>
      <c r="N45" s="1970"/>
      <c r="O45" s="1977"/>
      <c r="P45" s="3674"/>
      <c r="Q45" s="1462">
        <f t="shared" si="11"/>
        <v>111</v>
      </c>
      <c r="R45" s="1463" t="s">
        <v>11</v>
      </c>
      <c r="S45" s="1464">
        <f t="shared" si="12"/>
        <v>100</v>
      </c>
      <c r="T45" s="1463" t="s">
        <v>11</v>
      </c>
      <c r="U45" s="1464">
        <f t="shared" si="13"/>
        <v>100</v>
      </c>
      <c r="V45" s="1463" t="s">
        <v>11</v>
      </c>
      <c r="W45" s="1464">
        <f t="shared" si="14"/>
        <v>100</v>
      </c>
      <c r="X45" s="1457"/>
      <c r="Y45" s="3674"/>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8"/>
      <c r="M46" s="1970"/>
      <c r="N46" s="1970"/>
      <c r="O46" s="1977"/>
      <c r="P46" s="3784"/>
      <c r="Q46" s="1462">
        <f t="shared" si="11"/>
        <v>111</v>
      </c>
      <c r="R46" s="1463" t="s">
        <v>10</v>
      </c>
      <c r="S46" s="1464">
        <f t="shared" si="12"/>
        <v>100</v>
      </c>
      <c r="T46" s="1463" t="s">
        <v>10</v>
      </c>
      <c r="U46" s="1464">
        <f t="shared" si="13"/>
        <v>100</v>
      </c>
      <c r="V46" s="1463" t="s">
        <v>10</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9</v>
      </c>
      <c r="D47" s="2393"/>
      <c r="E47" s="2394"/>
      <c r="F47" s="2395"/>
      <c r="G47" s="2396"/>
      <c r="H47" s="2397"/>
      <c r="I47" s="2394"/>
      <c r="J47" s="2397"/>
      <c r="K47" s="1492"/>
      <c r="L47" s="1980"/>
      <c r="M47" s="1981"/>
      <c r="N47" s="1970"/>
      <c r="O47" s="1981"/>
      <c r="P47" s="3669" t="str">
        <f>A47</f>
        <v>成交单价（元/平方米）</v>
      </c>
      <c r="Q47" s="3669"/>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81"/>
      <c r="O48" s="1981"/>
      <c r="P48" s="3669" t="str">
        <f>A48</f>
        <v>比较价格（元/平方米）</v>
      </c>
      <c r="Q48" s="3669"/>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3"/>
      <c r="L49" s="1980"/>
      <c r="M49" s="1981"/>
      <c r="N49" s="1981"/>
      <c r="O49" s="1981"/>
      <c r="P49" s="3675" t="str">
        <f>A49</f>
        <v>估价对象XX用房的比较价格（楼面单价，元/平方米）</v>
      </c>
      <c r="Q49" s="3676"/>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3"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4"/>
      <c r="N59" s="624"/>
      <c r="O59" s="624"/>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859"/>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66"/>
      <c r="E73" s="666"/>
      <c r="F73" s="666"/>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1765" t="s">
        <v>2049</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
        <v>728</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道路级别</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66"/>
      <c r="D91" s="666"/>
      <c r="E91" s="666"/>
      <c r="F91" s="666"/>
      <c r="G91" s="666"/>
      <c r="H91" s="667"/>
      <c r="I91" s="667"/>
      <c r="J91" s="667"/>
      <c r="K91" s="667"/>
      <c r="L91" s="667"/>
      <c r="M91" s="668"/>
      <c r="N91" s="2002"/>
      <c r="O91" s="2002"/>
      <c r="P91" s="2003"/>
      <c r="Q91" s="2004"/>
      <c r="R91" s="2005"/>
      <c r="S91" s="2005"/>
      <c r="T91" s="2005"/>
      <c r="U91" s="2005"/>
      <c r="V91" s="2005"/>
      <c r="W91" s="2005"/>
      <c r="X91" s="2005"/>
      <c r="Y91" s="2005"/>
      <c r="Z91" s="2005"/>
      <c r="AA91" s="2005"/>
      <c r="AB91" s="2005"/>
      <c r="AC91" s="2005"/>
    </row>
    <row r="92" spans="1:29" ht="15.75" thickTop="1">
      <c r="A92" s="643"/>
      <c r="B92" s="647">
        <f>B28</f>
        <v>111</v>
      </c>
      <c r="C92" s="662"/>
      <c r="D92" s="662"/>
      <c r="E92" s="662"/>
      <c r="F92" s="662"/>
      <c r="G92" s="692"/>
      <c r="H92" s="692"/>
      <c r="I92" s="692"/>
      <c r="J92" s="692"/>
      <c r="K92" s="693"/>
      <c r="L92" s="694"/>
      <c r="M92" s="695"/>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66"/>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66"/>
      <c r="E95" s="666"/>
      <c r="F95" s="666"/>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74"/>
      <c r="D97" s="674"/>
      <c r="E97" s="674"/>
      <c r="F97" s="674"/>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96"/>
      <c r="D98" s="696"/>
      <c r="E98" s="696"/>
      <c r="F98" s="696"/>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700"/>
      <c r="D99" s="700"/>
      <c r="E99" s="700"/>
      <c r="F99" s="700"/>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729</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5"/>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732</v>
      </c>
      <c r="C107" s="692"/>
      <c r="D107" s="692"/>
      <c r="E107" s="69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733</v>
      </c>
      <c r="C109" s="662"/>
      <c r="D109" s="662"/>
      <c r="E109" s="66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2"/>
      <c r="B112" s="655"/>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735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1765" t="s">
        <v>2274</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736</v>
      </c>
      <c r="C118" s="692"/>
      <c r="D118" s="692"/>
      <c r="E118" s="692"/>
      <c r="F118" s="692"/>
      <c r="G118" s="692"/>
      <c r="H118" s="692"/>
      <c r="I118" s="692"/>
      <c r="J118" s="692"/>
      <c r="K118" s="693"/>
      <c r="L118" s="694"/>
      <c r="M118" s="69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2"/>
      <c r="B120" s="647" t="s">
        <v>715</v>
      </c>
      <c r="C120" s="662"/>
      <c r="D120" s="662"/>
      <c r="E120" s="662"/>
      <c r="F120" s="662"/>
      <c r="G120" s="662"/>
      <c r="H120" s="662"/>
      <c r="I120" s="662"/>
      <c r="J120" s="662"/>
      <c r="K120" s="662"/>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66"/>
      <c r="D121" s="645"/>
      <c r="E121" s="645"/>
      <c r="F121" s="645"/>
      <c r="G121" s="645"/>
      <c r="H121" s="645"/>
      <c r="I121" s="645"/>
      <c r="J121" s="645"/>
      <c r="K121" s="645"/>
      <c r="L121" s="645"/>
      <c r="M121" s="645"/>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7">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7">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7">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9"/>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502</v>
      </c>
      <c r="B3" s="486" t="e">
        <f>C49</f>
        <v>#DIV/0!</v>
      </c>
      <c r="C3" s="823" t="s">
        <v>704</v>
      </c>
      <c r="D3" s="822">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8" t="s">
        <v>504</v>
      </c>
      <c r="B4" s="489"/>
      <c r="C4" s="3677" t="s">
        <v>505</v>
      </c>
      <c r="D4" s="3678"/>
      <c r="E4" s="3699" t="s">
        <v>506</v>
      </c>
      <c r="F4" s="3700"/>
      <c r="G4" s="3677" t="s">
        <v>507</v>
      </c>
      <c r="H4" s="3678"/>
      <c r="I4" s="3677" t="s">
        <v>508</v>
      </c>
      <c r="J4" s="3678"/>
      <c r="K4" s="490"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85"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85"/>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85"/>
      <c r="AC6" s="3660"/>
    </row>
    <row r="7" spans="1:29" s="1166" customFormat="1" ht="15.75" thickBot="1">
      <c r="A7" s="2551"/>
      <c r="B7" s="2558" t="s">
        <v>512</v>
      </c>
      <c r="C7" s="495">
        <f>'数据-取费表'!B2</f>
        <v>44819</v>
      </c>
      <c r="D7" s="496">
        <v>100</v>
      </c>
      <c r="E7" s="497"/>
      <c r="F7" s="498">
        <f>SUMIF(58:58,YEAR(E7)&amp;"-"&amp;MONTH(E7),59:59)</f>
        <v>0</v>
      </c>
      <c r="G7" s="497"/>
      <c r="H7" s="496">
        <f>SUMIF(58:58,YEAR(G7)&amp;"-"&amp;MONTH(G7),59:59)</f>
        <v>0</v>
      </c>
      <c r="I7" s="497"/>
      <c r="J7" s="496">
        <f>SUMIF(58:58,YEAR(I7)&amp;"-"&amp;MONTH(I7),59:59)</f>
        <v>0</v>
      </c>
      <c r="K7" s="500"/>
      <c r="L7" s="1971"/>
      <c r="M7" s="1972"/>
      <c r="N7" s="1972"/>
      <c r="O7" s="1972"/>
      <c r="P7" s="3661"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SUMIF(61:61,E8,62:62)-SUMIF(61:61,C8,62:62)+100</f>
        <v>0</v>
      </c>
      <c r="G8" s="501"/>
      <c r="H8" s="496">
        <f>SUMIF(61:61,G8,62:62)-SUMIF(61:61,C8,62:62)+100</f>
        <v>0</v>
      </c>
      <c r="I8" s="501"/>
      <c r="J8" s="496">
        <f>SUMIF(61:61,I8,62:62)-SUMIF(61:61,C8,62:62)+100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31"/>
      <c r="F9" s="251">
        <f>SUMIF(63:63,E9,64:64)-SUMIF(63:63,C9,64:64)+100</f>
        <v>100</v>
      </c>
      <c r="G9" s="829"/>
      <c r="H9" s="251">
        <f>SUMIF(63:63,G9,64:64)-SUMIF(63:63,C9,64:64)+100</f>
        <v>100</v>
      </c>
      <c r="I9" s="829"/>
      <c r="J9" s="251">
        <f>SUMIF(63:63,I9,64:64)-SUMIF(63:63,C9,64:64)+100</f>
        <v>100</v>
      </c>
      <c r="K9" s="500"/>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SUMIF(65:65,E10,66:66)-SUMIF(65:65,C10,66:66)+100</f>
        <v>100</v>
      </c>
      <c r="G10" s="833"/>
      <c r="H10" s="252">
        <f>SUMIF(65:65,G10,66:66)-SUMIF(65:65,C10,66:66)+100</f>
        <v>100</v>
      </c>
      <c r="I10" s="832"/>
      <c r="J10" s="252">
        <f>SUMIF(65:65,I10,66:66)-SUMIF(65:65,C10,66:66)+100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SUMIF(70:70,E12,71:71)-SUMIF(70:70,C12,71:71)+100</f>
        <v>100</v>
      </c>
      <c r="G12" s="883"/>
      <c r="H12" s="252">
        <f>SUMIF(70:70,G12,71:71)-SUMIF(70:70,C12,71:71)+100</f>
        <v>100</v>
      </c>
      <c r="I12" s="515"/>
      <c r="J12" s="252">
        <f>SUMIF(70:70,I12,71:71)-SUMIF(70:70,C12,71:71)+100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252">
        <f>SUMIF(72:72,E13,73:73)-SUMIF(72:72,C13,73:73)+100</f>
        <v>100</v>
      </c>
      <c r="G13" s="883"/>
      <c r="H13" s="516">
        <f>SUMIF(72:72,G13,73:73)-SUMIF(72:72,C13,73:73)+100</f>
        <v>100</v>
      </c>
      <c r="I13" s="515"/>
      <c r="J13" s="516">
        <f>SUMIF(72:72,I13,73:73)-SUMIF(72:72,C13,73:73)+100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522">
        <f>SUMIF(74:74,E14,75:75)-SUMIF(74:74,C14,75:75)+100</f>
        <v>100</v>
      </c>
      <c r="G14" s="883"/>
      <c r="H14" s="522">
        <f>SUMIF(74:74,G14,75:75)-SUMIF(74:74,C14,75:75)+100</f>
        <v>100</v>
      </c>
      <c r="I14" s="515"/>
      <c r="J14" s="522">
        <f>SUMIF(74:74,I14,75:75)-SUMIF(74:74,C14,75:75)+100</f>
        <v>100</v>
      </c>
      <c r="K14" s="557"/>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71.25">
      <c r="A15" s="2549"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8"/>
      <c r="M15" s="1970"/>
      <c r="N15" s="1970"/>
      <c r="O15" s="1977"/>
      <c r="P15" s="3671" t="s">
        <v>523</v>
      </c>
      <c r="Q15" s="1462" t="str">
        <f t="shared" si="6"/>
        <v>商业繁华度</v>
      </c>
      <c r="R15" s="1463" t="s">
        <v>8</v>
      </c>
      <c r="S15" s="1464">
        <f t="shared" si="0"/>
        <v>100</v>
      </c>
      <c r="T15" s="1463" t="s">
        <v>8</v>
      </c>
      <c r="U15" s="1464">
        <f t="shared" si="1"/>
        <v>100</v>
      </c>
      <c r="V15" s="1463" t="s">
        <v>8</v>
      </c>
      <c r="W15" s="1464">
        <f t="shared" si="2"/>
        <v>100</v>
      </c>
      <c r="X15" s="1457"/>
      <c r="Y15" s="3671" t="s">
        <v>523</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8"/>
      <c r="M17" s="1970"/>
      <c r="N17" s="1970"/>
      <c r="O17" s="1977"/>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8"/>
      <c r="M19" s="1970"/>
      <c r="N19" s="1970"/>
      <c r="O19" s="1977"/>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8"/>
      <c r="M21" s="1970"/>
      <c r="N21" s="1970"/>
      <c r="O21" s="1977"/>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8"/>
      <c r="L22" s="1978"/>
      <c r="M22" s="1970"/>
      <c r="N22" s="1970"/>
      <c r="O22" s="1977"/>
      <c r="P22" s="3672"/>
      <c r="Q22" s="2351"/>
      <c r="R22" s="1463"/>
      <c r="S22" s="1464"/>
      <c r="T22" s="1463"/>
      <c r="U22" s="1464"/>
      <c r="V22" s="1463"/>
      <c r="W22" s="1464"/>
      <c r="X22" s="2353"/>
      <c r="Y22" s="3672"/>
      <c r="Z22" s="2352"/>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8"/>
      <c r="M23" s="1970"/>
      <c r="N23" s="1970"/>
      <c r="O23" s="1977"/>
      <c r="P23" s="3672"/>
      <c r="Q23" s="1462" t="str">
        <f>B23</f>
        <v>自然及人文环境</v>
      </c>
      <c r="R23" s="1463" t="s">
        <v>8</v>
      </c>
      <c r="S23" s="1464">
        <f>F23</f>
        <v>100</v>
      </c>
      <c r="T23" s="1463" t="s">
        <v>8</v>
      </c>
      <c r="U23" s="1464">
        <f>H23</f>
        <v>100</v>
      </c>
      <c r="V23" s="1463" t="s">
        <v>8</v>
      </c>
      <c r="W23" s="1464">
        <f>J23</f>
        <v>100</v>
      </c>
      <c r="X23" s="1457"/>
      <c r="Y23" s="3672"/>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8"/>
      <c r="M25" s="1970"/>
      <c r="N25" s="1970"/>
      <c r="O25" s="1977"/>
      <c r="P25" s="3672"/>
      <c r="Q25" s="1462" t="str">
        <f t="shared" ref="Q25:Q46" si="11">B25</f>
        <v>临街状况</v>
      </c>
      <c r="R25" s="1463" t="s">
        <v>8</v>
      </c>
      <c r="S25" s="1464">
        <f>F25</f>
        <v>100</v>
      </c>
      <c r="T25" s="1463" t="s">
        <v>8</v>
      </c>
      <c r="U25" s="1464">
        <f>H25</f>
        <v>100</v>
      </c>
      <c r="V25" s="1463" t="s">
        <v>8</v>
      </c>
      <c r="W25" s="1464">
        <f>J25</f>
        <v>100</v>
      </c>
      <c r="X25" s="1457"/>
      <c r="Y25" s="3672"/>
      <c r="Z25" s="1465" t="str">
        <f>Q25</f>
        <v>临街状况</v>
      </c>
      <c r="AA25" s="1466">
        <f t="shared" si="3"/>
        <v>1</v>
      </c>
      <c r="AB25" s="1466">
        <f t="shared" si="4"/>
        <v>1</v>
      </c>
      <c r="AC25" s="1466">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8"/>
      <c r="M26" s="1970"/>
      <c r="N26" s="1970"/>
      <c r="O26" s="1977"/>
      <c r="P26" s="3672"/>
      <c r="Q26" s="1462" t="str">
        <f t="shared" si="11"/>
        <v>平面位置/可视性</v>
      </c>
      <c r="R26" s="1463" t="s">
        <v>8</v>
      </c>
      <c r="S26" s="1464">
        <f>F26</f>
        <v>100</v>
      </c>
      <c r="T26" s="1463" t="s">
        <v>8</v>
      </c>
      <c r="U26" s="1464">
        <f>H26</f>
        <v>100</v>
      </c>
      <c r="V26" s="1463" t="s">
        <v>8</v>
      </c>
      <c r="W26" s="1464">
        <f>J26</f>
        <v>100</v>
      </c>
      <c r="X26" s="1457"/>
      <c r="Y26" s="3672"/>
      <c r="Z26" s="1465" t="str">
        <f>Q26</f>
        <v>平面位置/可视性</v>
      </c>
      <c r="AA26" s="1466">
        <f t="shared" si="3"/>
        <v>1</v>
      </c>
      <c r="AB26" s="1466">
        <f t="shared" si="4"/>
        <v>1</v>
      </c>
      <c r="AC26" s="1466">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1"/>
      <c r="M27" s="1972"/>
      <c r="N27" s="1972"/>
      <c r="O27" s="1973"/>
      <c r="P27" s="3672"/>
      <c r="Q27" s="1097" t="str">
        <f t="shared" si="11"/>
        <v>人流量</v>
      </c>
      <c r="R27" s="1458" t="s">
        <v>8</v>
      </c>
      <c r="S27" s="1459">
        <f>F27</f>
        <v>100</v>
      </c>
      <c r="T27" s="1458" t="s">
        <v>8</v>
      </c>
      <c r="U27" s="1459">
        <f>H27</f>
        <v>100</v>
      </c>
      <c r="V27" s="1458" t="s">
        <v>8</v>
      </c>
      <c r="W27" s="1459">
        <f>J27</f>
        <v>100</v>
      </c>
      <c r="X27" s="1460"/>
      <c r="Y27" s="3672"/>
      <c r="Z27" s="1096" t="str">
        <f>Q27</f>
        <v>人流量</v>
      </c>
      <c r="AA27" s="1466">
        <f>D27/F27</f>
        <v>1</v>
      </c>
      <c r="AB27" s="1466">
        <f>D27/H27</f>
        <v>1</v>
      </c>
      <c r="AC27" s="1466">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8"/>
      <c r="M28" s="1970"/>
      <c r="N28" s="1970"/>
      <c r="O28" s="1977"/>
      <c r="P28" s="3672"/>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72"/>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8"/>
      <c r="M29" s="1970"/>
      <c r="N29" s="1970"/>
      <c r="O29" s="1977"/>
      <c r="P29" s="3672"/>
      <c r="Q29" s="1462">
        <f t="shared" si="11"/>
        <v>111</v>
      </c>
      <c r="R29" s="1463" t="s">
        <v>8</v>
      </c>
      <c r="S29" s="1464">
        <f t="shared" si="12"/>
        <v>100</v>
      </c>
      <c r="T29" s="1463" t="s">
        <v>8</v>
      </c>
      <c r="U29" s="1464">
        <f t="shared" si="13"/>
        <v>100</v>
      </c>
      <c r="V29" s="1463" t="s">
        <v>8</v>
      </c>
      <c r="W29" s="1464">
        <f t="shared" si="14"/>
        <v>100</v>
      </c>
      <c r="X29" s="1457"/>
      <c r="Y29" s="3672"/>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8"/>
      <c r="M30" s="1970"/>
      <c r="N30" s="1970"/>
      <c r="O30" s="1977"/>
      <c r="P30" s="3672"/>
      <c r="Q30" s="1462">
        <f t="shared" si="11"/>
        <v>111</v>
      </c>
      <c r="R30" s="1463" t="s">
        <v>8</v>
      </c>
      <c r="S30" s="1464">
        <f t="shared" si="12"/>
        <v>100</v>
      </c>
      <c r="T30" s="1463" t="s">
        <v>8</v>
      </c>
      <c r="U30" s="1464">
        <f t="shared" si="13"/>
        <v>100</v>
      </c>
      <c r="V30" s="1463" t="s">
        <v>8</v>
      </c>
      <c r="W30" s="1464">
        <f t="shared" si="14"/>
        <v>100</v>
      </c>
      <c r="X30" s="1457"/>
      <c r="Y30" s="3672"/>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8"/>
      <c r="M31" s="1970"/>
      <c r="N31" s="1970"/>
      <c r="O31" s="1977"/>
      <c r="P31" s="3672"/>
      <c r="Q31" s="1462">
        <f t="shared" si="11"/>
        <v>111</v>
      </c>
      <c r="R31" s="1463" t="s">
        <v>8</v>
      </c>
      <c r="S31" s="1464">
        <f t="shared" si="12"/>
        <v>100</v>
      </c>
      <c r="T31" s="1463" t="s">
        <v>8</v>
      </c>
      <c r="U31" s="1464">
        <f t="shared" si="13"/>
        <v>100</v>
      </c>
      <c r="V31" s="1463" t="s">
        <v>8</v>
      </c>
      <c r="W31" s="1464">
        <f t="shared" si="14"/>
        <v>100</v>
      </c>
      <c r="X31" s="1457"/>
      <c r="Y31" s="3672"/>
      <c r="Z31" s="1465">
        <f t="shared" si="15"/>
        <v>111</v>
      </c>
      <c r="AA31" s="1466">
        <f t="shared" si="3"/>
        <v>1</v>
      </c>
      <c r="AB31" s="1466">
        <f t="shared" si="4"/>
        <v>1</v>
      </c>
      <c r="AC31" s="1466">
        <f t="shared" si="5"/>
        <v>1</v>
      </c>
    </row>
    <row r="32" spans="1:29" ht="15">
      <c r="A32" s="2546"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8"/>
      <c r="M32" s="1970"/>
      <c r="N32" s="1970"/>
      <c r="O32" s="1977"/>
      <c r="P32" s="3673" t="s">
        <v>533</v>
      </c>
      <c r="Q32" s="1462" t="str">
        <f t="shared" si="11"/>
        <v>商业类型</v>
      </c>
      <c r="R32" s="1463" t="s">
        <v>8</v>
      </c>
      <c r="S32" s="1464">
        <f t="shared" si="12"/>
        <v>100</v>
      </c>
      <c r="T32" s="1463" t="s">
        <v>8</v>
      </c>
      <c r="U32" s="1464">
        <f t="shared" si="13"/>
        <v>100</v>
      </c>
      <c r="V32" s="1463" t="s">
        <v>8</v>
      </c>
      <c r="W32" s="1464">
        <f t="shared" si="14"/>
        <v>100</v>
      </c>
      <c r="X32" s="1457"/>
      <c r="Y32" s="3674" t="s">
        <v>533</v>
      </c>
      <c r="Z32" s="1465" t="str">
        <f t="shared" si="15"/>
        <v>商业类型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6"/>
      <c r="M33" s="2006"/>
      <c r="N33" s="2006"/>
      <c r="O33" s="1979"/>
      <c r="P33" s="3674"/>
      <c r="Q33" s="1491" t="str">
        <f t="shared" si="11"/>
        <v>项目建筑规模</v>
      </c>
      <c r="R33" s="1467" t="s">
        <v>8</v>
      </c>
      <c r="S33" s="1468" t="e">
        <f t="shared" si="12"/>
        <v>#N/A</v>
      </c>
      <c r="T33" s="1467" t="s">
        <v>8</v>
      </c>
      <c r="U33" s="1468" t="e">
        <f t="shared" si="13"/>
        <v>#N/A</v>
      </c>
      <c r="V33" s="1467" t="s">
        <v>8</v>
      </c>
      <c r="W33" s="1468" t="e">
        <f t="shared" si="14"/>
        <v>#N/A</v>
      </c>
      <c r="X33" s="1469"/>
      <c r="Y33" s="3674"/>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8"/>
      <c r="M34" s="1970"/>
      <c r="N34" s="1970"/>
      <c r="O34" s="1977"/>
      <c r="P34" s="3674"/>
      <c r="Q34" s="1462" t="str">
        <f t="shared" si="11"/>
        <v>建筑结构</v>
      </c>
      <c r="R34" s="1463" t="s">
        <v>8</v>
      </c>
      <c r="S34" s="1464">
        <f t="shared" si="12"/>
        <v>100</v>
      </c>
      <c r="T34" s="1463" t="s">
        <v>8</v>
      </c>
      <c r="U34" s="1464">
        <f t="shared" si="13"/>
        <v>100</v>
      </c>
      <c r="V34" s="1463" t="s">
        <v>8</v>
      </c>
      <c r="W34" s="1464">
        <f t="shared" si="14"/>
        <v>100</v>
      </c>
      <c r="X34" s="1457"/>
      <c r="Y34" s="3674"/>
      <c r="Z34" s="1465" t="str">
        <f t="shared" si="15"/>
        <v>建筑结构</v>
      </c>
      <c r="AA34" s="1466">
        <f t="shared" si="3"/>
        <v>1</v>
      </c>
      <c r="AB34" s="1466">
        <f t="shared" si="4"/>
        <v>1</v>
      </c>
      <c r="AC34" s="1466">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8"/>
      <c r="M35" s="1970"/>
      <c r="N35" s="1970"/>
      <c r="O35" s="1977"/>
      <c r="P35" s="3674"/>
      <c r="Q35" s="1462" t="str">
        <f t="shared" si="11"/>
        <v>公共部分装修</v>
      </c>
      <c r="R35" s="1463" t="s">
        <v>8</v>
      </c>
      <c r="S35" s="1464">
        <f t="shared" si="12"/>
        <v>100</v>
      </c>
      <c r="T35" s="1463" t="s">
        <v>8</v>
      </c>
      <c r="U35" s="1464">
        <f t="shared" si="13"/>
        <v>100</v>
      </c>
      <c r="V35" s="1463" t="s">
        <v>8</v>
      </c>
      <c r="W35" s="1464">
        <f t="shared" si="14"/>
        <v>100</v>
      </c>
      <c r="X35" s="1457"/>
      <c r="Y35" s="3674"/>
      <c r="Z35" s="1465" t="str">
        <f t="shared" si="15"/>
        <v>公共部分装修</v>
      </c>
      <c r="AA35" s="1466">
        <f t="shared" si="3"/>
        <v>1</v>
      </c>
      <c r="AB35" s="1466">
        <f t="shared" si="4"/>
        <v>1</v>
      </c>
      <c r="AC35" s="1466">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8"/>
      <c r="M36" s="1970"/>
      <c r="N36" s="1970"/>
      <c r="O36" s="1977"/>
      <c r="P36" s="3674"/>
      <c r="Q36" s="1462" t="str">
        <f t="shared" si="11"/>
        <v>成新度</v>
      </c>
      <c r="R36" s="1463" t="s">
        <v>8</v>
      </c>
      <c r="S36" s="1464" t="e">
        <f t="shared" si="12"/>
        <v>#N/A</v>
      </c>
      <c r="T36" s="1463" t="s">
        <v>8</v>
      </c>
      <c r="U36" s="1464" t="e">
        <f t="shared" si="13"/>
        <v>#N/A</v>
      </c>
      <c r="V36" s="1463" t="s">
        <v>8</v>
      </c>
      <c r="W36" s="1464" t="e">
        <f t="shared" si="14"/>
        <v>#N/A</v>
      </c>
      <c r="X36" s="1457"/>
      <c r="Y36" s="3674"/>
      <c r="Z36" s="1465" t="str">
        <f t="shared" si="15"/>
        <v>成新度</v>
      </c>
      <c r="AA36" s="1466" t="e">
        <f t="shared" si="3"/>
        <v>#N/A</v>
      </c>
      <c r="AB36" s="1466" t="e">
        <f t="shared" si="4"/>
        <v>#N/A</v>
      </c>
      <c r="AC36" s="1466" t="e">
        <f t="shared" si="5"/>
        <v>#N/A</v>
      </c>
    </row>
    <row r="37" spans="1:29" s="1166" customFormat="1" ht="15">
      <c r="A37" s="576"/>
      <c r="B37" s="1764"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1"/>
      <c r="M37" s="1972"/>
      <c r="N37" s="1972"/>
      <c r="O37" s="1973"/>
      <c r="P37" s="3674"/>
      <c r="Q37" s="1097" t="str">
        <f t="shared" si="11"/>
        <v>市政基础设施</v>
      </c>
      <c r="R37" s="1458" t="s">
        <v>8</v>
      </c>
      <c r="S37" s="1459">
        <f t="shared" si="12"/>
        <v>100</v>
      </c>
      <c r="T37" s="1458" t="s">
        <v>8</v>
      </c>
      <c r="U37" s="1459">
        <f t="shared" si="13"/>
        <v>100</v>
      </c>
      <c r="V37" s="1458" t="s">
        <v>8</v>
      </c>
      <c r="W37" s="1459">
        <f t="shared" si="14"/>
        <v>100</v>
      </c>
      <c r="X37" s="1460"/>
      <c r="Y37" s="3674"/>
      <c r="Z37" s="1096" t="str">
        <f t="shared" si="15"/>
        <v>市政基础设施</v>
      </c>
      <c r="AA37" s="1461">
        <f t="shared" si="3"/>
        <v>1</v>
      </c>
      <c r="AB37" s="1461">
        <f t="shared" si="4"/>
        <v>1</v>
      </c>
      <c r="AC37" s="1461">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8"/>
      <c r="M38" s="1970"/>
      <c r="N38" s="1970"/>
      <c r="O38" s="1977"/>
      <c r="P38" s="3674" t="s">
        <v>748</v>
      </c>
      <c r="Q38" s="1462" t="str">
        <f t="shared" si="11"/>
        <v>业态</v>
      </c>
      <c r="R38" s="1463" t="s">
        <v>8</v>
      </c>
      <c r="S38" s="1464">
        <f t="shared" si="12"/>
        <v>100</v>
      </c>
      <c r="T38" s="1463" t="s">
        <v>8</v>
      </c>
      <c r="U38" s="1464">
        <f t="shared" si="13"/>
        <v>100</v>
      </c>
      <c r="V38" s="1463" t="s">
        <v>8</v>
      </c>
      <c r="W38" s="1464">
        <f t="shared" si="14"/>
        <v>100</v>
      </c>
      <c r="X38" s="1457"/>
      <c r="Y38" s="3674" t="s">
        <v>748</v>
      </c>
      <c r="Z38" s="1465" t="str">
        <f t="shared" si="15"/>
        <v>业态</v>
      </c>
      <c r="AA38" s="1466">
        <f t="shared" si="3"/>
        <v>1</v>
      </c>
      <c r="AB38" s="1466">
        <f t="shared" si="4"/>
        <v>1</v>
      </c>
      <c r="AC38" s="1466">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8"/>
      <c r="M39" s="1970"/>
      <c r="N39" s="1970"/>
      <c r="O39" s="1977"/>
      <c r="P39" s="3674"/>
      <c r="Q39" s="1462" t="str">
        <f t="shared" si="11"/>
        <v>层高</v>
      </c>
      <c r="R39" s="1463" t="s">
        <v>8</v>
      </c>
      <c r="S39" s="1464">
        <f t="shared" si="12"/>
        <v>100</v>
      </c>
      <c r="T39" s="1463" t="s">
        <v>8</v>
      </c>
      <c r="U39" s="1464">
        <f t="shared" si="13"/>
        <v>100</v>
      </c>
      <c r="V39" s="1463" t="s">
        <v>8</v>
      </c>
      <c r="W39" s="1464">
        <f t="shared" si="14"/>
        <v>100</v>
      </c>
      <c r="X39" s="1457"/>
      <c r="Y39" s="3674"/>
      <c r="Z39" s="1465" t="str">
        <f t="shared" si="15"/>
        <v>层高</v>
      </c>
      <c r="AA39" s="1466">
        <f t="shared" si="3"/>
        <v>1</v>
      </c>
      <c r="AB39" s="1466">
        <f t="shared" si="4"/>
        <v>1</v>
      </c>
      <c r="AC39" s="1466">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8"/>
      <c r="M40" s="1970"/>
      <c r="N40" s="1970"/>
      <c r="O40" s="1977"/>
      <c r="P40" s="3674"/>
      <c r="Q40" s="1462" t="str">
        <f t="shared" si="11"/>
        <v>单套建筑面积</v>
      </c>
      <c r="R40" s="1463" t="s">
        <v>8</v>
      </c>
      <c r="S40" s="1464">
        <f t="shared" si="12"/>
        <v>100</v>
      </c>
      <c r="T40" s="1463" t="s">
        <v>8</v>
      </c>
      <c r="U40" s="1464">
        <f t="shared" si="13"/>
        <v>100</v>
      </c>
      <c r="V40" s="1463" t="s">
        <v>8</v>
      </c>
      <c r="W40" s="1464">
        <f t="shared" si="14"/>
        <v>100</v>
      </c>
      <c r="X40" s="1457"/>
      <c r="Y40" s="3674"/>
      <c r="Z40" s="1465" t="str">
        <f t="shared" si="15"/>
        <v>单套建筑面积</v>
      </c>
      <c r="AA40" s="1466">
        <f t="shared" si="3"/>
        <v>1</v>
      </c>
      <c r="AB40" s="1466">
        <f t="shared" si="4"/>
        <v>1</v>
      </c>
      <c r="AC40" s="1466">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6"/>
      <c r="M41" s="2006"/>
      <c r="N41" s="2006"/>
      <c r="O41" s="1979"/>
      <c r="P41" s="3674"/>
      <c r="Q41" s="1491" t="str">
        <f t="shared" si="11"/>
        <v>进深比</v>
      </c>
      <c r="R41" s="1467" t="s">
        <v>8</v>
      </c>
      <c r="S41" s="1468">
        <f t="shared" si="12"/>
        <v>100</v>
      </c>
      <c r="T41" s="1467" t="s">
        <v>8</v>
      </c>
      <c r="U41" s="1468">
        <f t="shared" si="13"/>
        <v>100</v>
      </c>
      <c r="V41" s="1467" t="s">
        <v>8</v>
      </c>
      <c r="W41" s="1468">
        <f t="shared" si="14"/>
        <v>100</v>
      </c>
      <c r="X41" s="1469"/>
      <c r="Y41" s="3674"/>
      <c r="Z41" s="1470" t="str">
        <f t="shared" si="15"/>
        <v>进深比</v>
      </c>
      <c r="AA41" s="1466">
        <f t="shared" si="3"/>
        <v>1</v>
      </c>
      <c r="AB41" s="1466">
        <f t="shared" si="4"/>
        <v>1</v>
      </c>
      <c r="AC41" s="1466">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8"/>
      <c r="M42" s="1970"/>
      <c r="N42" s="1970"/>
      <c r="O42" s="1977"/>
      <c r="P42" s="3674"/>
      <c r="Q42" s="1462" t="str">
        <f t="shared" si="11"/>
        <v>内部装修</v>
      </c>
      <c r="R42" s="1463" t="s">
        <v>8</v>
      </c>
      <c r="S42" s="1464">
        <f t="shared" si="12"/>
        <v>100</v>
      </c>
      <c r="T42" s="1463" t="s">
        <v>8</v>
      </c>
      <c r="U42" s="1464">
        <f t="shared" si="13"/>
        <v>100</v>
      </c>
      <c r="V42" s="1463" t="s">
        <v>8</v>
      </c>
      <c r="W42" s="1464">
        <f t="shared" si="14"/>
        <v>100</v>
      </c>
      <c r="X42" s="1457"/>
      <c r="Y42" s="3674"/>
      <c r="Z42" s="1465" t="str">
        <f t="shared" si="15"/>
        <v>内部装修</v>
      </c>
      <c r="AA42" s="1466">
        <f t="shared" si="3"/>
        <v>1</v>
      </c>
      <c r="AB42" s="1466">
        <f t="shared" si="4"/>
        <v>1</v>
      </c>
      <c r="AC42" s="1466">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8"/>
      <c r="M43" s="1970"/>
      <c r="N43" s="1970"/>
      <c r="O43" s="1977"/>
      <c r="P43" s="3674"/>
      <c r="Q43" s="1462" t="str">
        <f t="shared" si="11"/>
        <v>内部装修维护情况</v>
      </c>
      <c r="R43" s="1463" t="s">
        <v>8</v>
      </c>
      <c r="S43" s="1464">
        <f t="shared" si="12"/>
        <v>100</v>
      </c>
      <c r="T43" s="1463" t="s">
        <v>8</v>
      </c>
      <c r="U43" s="1464">
        <f t="shared" si="13"/>
        <v>100</v>
      </c>
      <c r="V43" s="1463" t="s">
        <v>8</v>
      </c>
      <c r="W43" s="1464">
        <f t="shared" si="14"/>
        <v>100</v>
      </c>
      <c r="X43" s="1457"/>
      <c r="Y43" s="3674"/>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1"/>
      <c r="M44" s="1972"/>
      <c r="N44" s="1972"/>
      <c r="O44" s="1973"/>
      <c r="P44" s="3674"/>
      <c r="Q44" s="1097">
        <f t="shared" si="11"/>
        <v>111</v>
      </c>
      <c r="R44" s="1458" t="s">
        <v>8</v>
      </c>
      <c r="S44" s="1459">
        <f t="shared" si="12"/>
        <v>100</v>
      </c>
      <c r="T44" s="1458" t="s">
        <v>8</v>
      </c>
      <c r="U44" s="1459">
        <f t="shared" si="13"/>
        <v>100</v>
      </c>
      <c r="V44" s="1458" t="s">
        <v>8</v>
      </c>
      <c r="W44" s="1459">
        <f t="shared" si="14"/>
        <v>100</v>
      </c>
      <c r="X44" s="1460"/>
      <c r="Y44" s="3674"/>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8"/>
      <c r="M45" s="1970"/>
      <c r="N45" s="1970"/>
      <c r="O45" s="1977"/>
      <c r="P45" s="3674"/>
      <c r="Q45" s="1462">
        <f t="shared" si="11"/>
        <v>111</v>
      </c>
      <c r="R45" s="1463" t="s">
        <v>8</v>
      </c>
      <c r="S45" s="1464">
        <f t="shared" si="12"/>
        <v>100</v>
      </c>
      <c r="T45" s="1463" t="s">
        <v>8</v>
      </c>
      <c r="U45" s="1464">
        <f t="shared" si="13"/>
        <v>100</v>
      </c>
      <c r="V45" s="1463" t="s">
        <v>8</v>
      </c>
      <c r="W45" s="1464">
        <f t="shared" si="14"/>
        <v>100</v>
      </c>
      <c r="X45" s="1457"/>
      <c r="Y45" s="3674"/>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8"/>
      <c r="M46" s="1970"/>
      <c r="N46" s="1970"/>
      <c r="O46" s="1977"/>
      <c r="P46" s="3784"/>
      <c r="Q46" s="1462">
        <f t="shared" si="11"/>
        <v>111</v>
      </c>
      <c r="R46" s="1463" t="s">
        <v>8</v>
      </c>
      <c r="S46" s="1464">
        <f t="shared" si="12"/>
        <v>100</v>
      </c>
      <c r="T46" s="1463" t="s">
        <v>8</v>
      </c>
      <c r="U46" s="1464">
        <f t="shared" si="13"/>
        <v>100</v>
      </c>
      <c r="V46" s="1463" t="s">
        <v>8</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1</v>
      </c>
      <c r="D47" s="2393"/>
      <c r="E47" s="2394"/>
      <c r="F47" s="2395"/>
      <c r="G47" s="2396"/>
      <c r="H47" s="2397"/>
      <c r="I47" s="2394"/>
      <c r="J47" s="2397"/>
      <c r="K47" s="1496"/>
      <c r="L47" s="1980"/>
      <c r="M47" s="1981"/>
      <c r="N47" s="1970"/>
      <c r="O47" s="1981"/>
      <c r="P47" s="3669" t="str">
        <f>A47</f>
        <v>成交单价（元/平方米）</v>
      </c>
      <c r="Q47" s="3669"/>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69" t="str">
        <f>A48</f>
        <v>比较价格（元/平方米）</v>
      </c>
      <c r="Q48" s="3669"/>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7"/>
      <c r="L49" s="1980"/>
      <c r="M49" s="1981"/>
      <c r="N49" s="1970"/>
      <c r="O49" s="1981"/>
      <c r="P49" s="3675" t="str">
        <f>A49</f>
        <v>估价对象XX用房的比较价格（楼面单价，元/平方米）</v>
      </c>
      <c r="Q49" s="3676"/>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1"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5"/>
      <c r="N59" s="624"/>
      <c r="O59" s="626"/>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151"/>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645"/>
      <c r="F64" s="645"/>
      <c r="G64" s="645"/>
      <c r="H64" s="645"/>
      <c r="I64" s="645"/>
      <c r="J64" s="645"/>
      <c r="K64" s="645"/>
      <c r="L64" s="645"/>
      <c r="M64" s="646"/>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45"/>
      <c r="E73" s="645"/>
      <c r="F73" s="645"/>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647" t="s">
        <v>753</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tr">
        <f>B26</f>
        <v>平面位置/可视性</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66"/>
      <c r="D89" s="645"/>
      <c r="E89" s="645"/>
      <c r="F89" s="645"/>
      <c r="G89" s="645"/>
      <c r="H89" s="645"/>
      <c r="I89" s="645"/>
      <c r="J89" s="645"/>
      <c r="K89" s="645"/>
      <c r="L89" s="645"/>
      <c r="M89" s="645"/>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人流量</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3"/>
      <c r="B92" s="647" t="str">
        <f>B28</f>
        <v>楼层</v>
      </c>
      <c r="C92" s="662"/>
      <c r="D92" s="662"/>
      <c r="E92" s="662"/>
      <c r="F92" s="662"/>
      <c r="G92" s="662"/>
      <c r="H92" s="662"/>
      <c r="I92" s="662"/>
      <c r="J92" s="662"/>
      <c r="K92" s="662"/>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45"/>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45"/>
      <c r="E95" s="645"/>
      <c r="F95" s="645"/>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66"/>
      <c r="D97" s="645"/>
      <c r="E97" s="645"/>
      <c r="F97" s="645"/>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62"/>
      <c r="D98" s="662"/>
      <c r="E98" s="662"/>
      <c r="F98" s="662"/>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674"/>
      <c r="D99" s="674"/>
      <c r="E99" s="674"/>
      <c r="F99" s="674"/>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754</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733</v>
      </c>
      <c r="C107" s="662"/>
      <c r="D107" s="662"/>
      <c r="E107" s="66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c r="A110" s="709"/>
      <c r="B110" s="655"/>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2"/>
      <c r="B112" s="1765" t="s">
        <v>2274</v>
      </c>
      <c r="C112" s="662"/>
      <c r="D112" s="662"/>
      <c r="E112" s="662"/>
      <c r="F112" s="662"/>
      <c r="G112" s="662"/>
      <c r="H112" s="692"/>
      <c r="I112" s="692"/>
      <c r="J112" s="692"/>
      <c r="K112" s="693"/>
      <c r="L112" s="694"/>
      <c r="M112" s="695"/>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755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647" t="s">
        <v>756</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757</v>
      </c>
      <c r="C118" s="880"/>
      <c r="D118" s="880"/>
      <c r="E118" s="880"/>
      <c r="F118" s="880"/>
      <c r="G118" s="880"/>
      <c r="H118" s="663"/>
      <c r="I118" s="663"/>
      <c r="J118" s="663"/>
      <c r="K118" s="663"/>
      <c r="L118" s="664"/>
      <c r="M118" s="66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66"/>
      <c r="D119" s="645"/>
      <c r="E119" s="645"/>
      <c r="F119" s="645"/>
      <c r="G119" s="645"/>
      <c r="H119" s="645"/>
      <c r="I119" s="645"/>
      <c r="J119" s="645"/>
      <c r="K119" s="645"/>
      <c r="L119" s="645"/>
      <c r="M119" s="646"/>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2"/>
      <c r="B120" s="647" t="s">
        <v>758</v>
      </c>
      <c r="C120" s="692"/>
      <c r="D120" s="692"/>
      <c r="E120" s="692"/>
      <c r="F120" s="692"/>
      <c r="G120" s="663"/>
      <c r="H120" s="663"/>
      <c r="I120" s="663"/>
      <c r="J120" s="663"/>
      <c r="K120" s="663"/>
      <c r="L120" s="664"/>
      <c r="M120" s="665"/>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45"/>
      <c r="E129" s="645"/>
      <c r="F129" s="645"/>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6"/>
      <c r="G1" s="1487" t="s">
        <v>703</v>
      </c>
      <c r="H1" s="482"/>
      <c r="I1" s="482"/>
      <c r="J1" s="482"/>
      <c r="K1" s="483"/>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5" t="s">
        <v>502</v>
      </c>
      <c r="B3" s="486" t="e">
        <f>C50</f>
        <v>#DIV/0!</v>
      </c>
      <c r="C3" s="823" t="s">
        <v>704</v>
      </c>
      <c r="D3" s="822">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8" t="s">
        <v>504</v>
      </c>
      <c r="B4" s="489"/>
      <c r="C4" s="3677" t="s">
        <v>505</v>
      </c>
      <c r="D4" s="3678"/>
      <c r="E4" s="3699" t="s">
        <v>506</v>
      </c>
      <c r="F4" s="3700"/>
      <c r="G4" s="3677" t="s">
        <v>507</v>
      </c>
      <c r="H4" s="3678"/>
      <c r="I4" s="3677" t="s">
        <v>508</v>
      </c>
      <c r="J4" s="3678"/>
      <c r="K4" s="490" t="s">
        <v>509</v>
      </c>
      <c r="L4" s="1969"/>
      <c r="M4" s="1970"/>
      <c r="N4" s="1970"/>
      <c r="O4" s="1970"/>
      <c r="P4" s="3785" t="s">
        <v>510</v>
      </c>
      <c r="Q4" s="3680"/>
      <c r="R4" s="3663" t="s">
        <v>506</v>
      </c>
      <c r="S4" s="3664"/>
      <c r="T4" s="3663" t="s">
        <v>507</v>
      </c>
      <c r="U4" s="3664"/>
      <c r="V4" s="3685" t="s">
        <v>508</v>
      </c>
      <c r="W4" s="3685"/>
      <c r="X4" s="1457"/>
      <c r="Y4" s="3663" t="s">
        <v>510</v>
      </c>
      <c r="Z4" s="3664"/>
      <c r="AA4" s="3658" t="s">
        <v>506</v>
      </c>
      <c r="AB4" s="3658"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786"/>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787"/>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SUMIF(59:59,YEAR(E7)&amp;"-"&amp;MONTH(E7),60:60)</f>
        <v>0</v>
      </c>
      <c r="G7" s="497"/>
      <c r="H7" s="496">
        <f>SUMIF(59:59,YEAR(G7)&amp;"-"&amp;MONTH(G7),60:60)</f>
        <v>0</v>
      </c>
      <c r="I7" s="497"/>
      <c r="J7" s="496">
        <f>SUMIF(59:59,YEAR(I7)&amp;"-"&amp;MONTH(I7),60:60)</f>
        <v>0</v>
      </c>
      <c r="K7" s="500"/>
      <c r="L7" s="1971"/>
      <c r="M7" s="1972"/>
      <c r="N7" s="1972"/>
      <c r="O7" s="1972"/>
      <c r="P7" s="3670"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SUMIF(62:62,E8,63:63)-SUMIF(62:62,C8,63:63)+100</f>
        <v>0</v>
      </c>
      <c r="G8" s="501"/>
      <c r="H8" s="496">
        <f>SUMIF(62:62,G8,63:63)-SUMIF(62:62,C8,63:63)+100</f>
        <v>0</v>
      </c>
      <c r="I8" s="501"/>
      <c r="J8" s="496">
        <f>SUMIF(62:62,I8,63:63)-SUMIF(62:62,C8,63:63)+100</f>
        <v>0</v>
      </c>
      <c r="K8" s="500"/>
      <c r="L8" s="1971"/>
      <c r="M8" s="1972"/>
      <c r="N8" s="1972"/>
      <c r="O8" s="1972"/>
      <c r="P8" s="3670" t="s">
        <v>516</v>
      </c>
      <c r="Q8" s="3662"/>
      <c r="R8" s="1458" t="s">
        <v>8</v>
      </c>
      <c r="S8" s="1459">
        <f t="shared" si="0"/>
        <v>0</v>
      </c>
      <c r="T8" s="1458" t="s">
        <v>8</v>
      </c>
      <c r="U8" s="1459">
        <f t="shared" si="1"/>
        <v>0</v>
      </c>
      <c r="V8" s="1458" t="s">
        <v>8</v>
      </c>
      <c r="W8" s="1459">
        <f t="shared" si="2"/>
        <v>0</v>
      </c>
      <c r="X8" s="1460"/>
      <c r="Y8" s="3661" t="s">
        <v>516</v>
      </c>
      <c r="Z8" s="3662"/>
      <c r="AA8" s="1461" t="e">
        <f t="shared" ref="AA8:AA47" si="3">D8/F8</f>
        <v>#DIV/0!</v>
      </c>
      <c r="AB8" s="1461" t="e">
        <f t="shared" ref="AB8:AB47" si="4">D8/H8</f>
        <v>#DIV/0!</v>
      </c>
      <c r="AC8" s="1461" t="e">
        <f t="shared" ref="AC8:AC47" si="5">D8/J8</f>
        <v>#DIV/0!</v>
      </c>
    </row>
    <row r="9" spans="1:29" s="1166" customFormat="1" ht="15">
      <c r="A9" s="2553"/>
      <c r="B9" s="2560" t="s">
        <v>2473</v>
      </c>
      <c r="C9" s="828"/>
      <c r="D9" s="251">
        <v>100</v>
      </c>
      <c r="E9" s="831"/>
      <c r="F9" s="251">
        <f>SUMIF(64:64,E9,65:65)-SUMIF(64:64,C9,65:65)+100</f>
        <v>100</v>
      </c>
      <c r="G9" s="829"/>
      <c r="H9" s="251">
        <f>SUMIF(64:64,G9,65:65)-SUMIF(64:64,C9,65:65)+100</f>
        <v>100</v>
      </c>
      <c r="I9" s="829"/>
      <c r="J9" s="251">
        <f>SUMIF(64:64,I9,65:65)-SUMIF(64:64,C9,65:65)+100</f>
        <v>100</v>
      </c>
      <c r="K9" s="500"/>
      <c r="L9" s="1971"/>
      <c r="M9" s="1972"/>
      <c r="N9" s="1972"/>
      <c r="O9" s="1972"/>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SUMIF(66:66,E10,67:67)-SUMIF(66:66,C10,67:67)+100</f>
        <v>100</v>
      </c>
      <c r="G10" s="833"/>
      <c r="H10" s="252">
        <f>SUMIF(66:66,G10,67:67)-SUMIF(66:66,C10,67:67)+100</f>
        <v>100</v>
      </c>
      <c r="I10" s="832"/>
      <c r="J10" s="252">
        <f>SUMIF(66:66,I10,67:67)-SUMIF(66:66,C10,67:67)+100</f>
        <v>100</v>
      </c>
      <c r="K10" s="560"/>
      <c r="L10" s="1974"/>
      <c r="M10" s="2013"/>
      <c r="N10" s="2013"/>
      <c r="O10" s="2013"/>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6"/>
      <c r="M11" s="1970"/>
      <c r="N11" s="1970"/>
      <c r="O11" s="1970"/>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252">
        <f>SUMIF(71:71,E12,72:72)-SUMIF(71:71,C12,72:72)+100</f>
        <v>100</v>
      </c>
      <c r="G12" s="881"/>
      <c r="H12" s="252">
        <f>SUMIF(71:71,G12,72:72)-SUMIF(71:71,C12,72:72)+100</f>
        <v>100</v>
      </c>
      <c r="I12" s="504"/>
      <c r="J12" s="252">
        <f>SUMIF(71:71,I12,72:72)-SUMIF(71:71,C12,72:72)+100</f>
        <v>100</v>
      </c>
      <c r="K12" s="557"/>
      <c r="L12" s="1971"/>
      <c r="M12" s="1972"/>
      <c r="N12" s="1972"/>
      <c r="O12" s="1972"/>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04"/>
      <c r="F13" s="252">
        <f>SUMIF(73:73,E13,74:74)-SUMIF(73:73,C13,74:74)+100</f>
        <v>100</v>
      </c>
      <c r="G13" s="881"/>
      <c r="H13" s="516">
        <f>SUMIF(73:73,G13,74:74)-SUMIF(73:73,C13,74:74)+100</f>
        <v>100</v>
      </c>
      <c r="I13" s="504"/>
      <c r="J13" s="516">
        <f>SUMIF(73:73,I13,74:74)-SUMIF(73:73,C13,74:74)+100</f>
        <v>100</v>
      </c>
      <c r="K13" s="557"/>
      <c r="L13" s="1978"/>
      <c r="M13" s="1970"/>
      <c r="N13" s="1970"/>
      <c r="O13" s="1970"/>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882"/>
      <c r="F14" s="522">
        <f>SUMIF(75:75,E14,76:76)-SUMIF(75:75,C14,76:76)+100</f>
        <v>100</v>
      </c>
      <c r="G14" s="881"/>
      <c r="H14" s="522">
        <f>SUMIF(75:75,G14,76:76)-SUMIF(75:75,C14,76:76)+100</f>
        <v>100</v>
      </c>
      <c r="I14" s="504"/>
      <c r="J14" s="522">
        <f>SUMIF(75:75,I14,76:76)-SUMIF(75:75,C14,76:76)+100</f>
        <v>100</v>
      </c>
      <c r="K14" s="557"/>
      <c r="L14" s="1978"/>
      <c r="M14" s="1970"/>
      <c r="N14" s="1970"/>
      <c r="O14" s="1970"/>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71.25">
      <c r="A15" s="2549"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8"/>
      <c r="M15" s="1970"/>
      <c r="N15" s="1970"/>
      <c r="O15" s="1970"/>
      <c r="P15" s="3671" t="s">
        <v>523</v>
      </c>
      <c r="Q15" s="1462" t="str">
        <f t="shared" si="6"/>
        <v>办公集聚程度</v>
      </c>
      <c r="R15" s="1463" t="s">
        <v>8</v>
      </c>
      <c r="S15" s="1464">
        <f t="shared" si="0"/>
        <v>100</v>
      </c>
      <c r="T15" s="1463" t="s">
        <v>8</v>
      </c>
      <c r="U15" s="1464">
        <f t="shared" si="1"/>
        <v>100</v>
      </c>
      <c r="V15" s="1463" t="s">
        <v>8</v>
      </c>
      <c r="W15" s="1464">
        <f t="shared" si="2"/>
        <v>100</v>
      </c>
      <c r="X15" s="1457"/>
      <c r="Y15" s="3671" t="s">
        <v>523</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8"/>
      <c r="M16" s="1970"/>
      <c r="N16" s="1970"/>
      <c r="O16" s="1970"/>
      <c r="P16" s="3672"/>
      <c r="Q16" s="1462"/>
      <c r="R16" s="1463"/>
      <c r="S16" s="1464"/>
      <c r="T16" s="1463"/>
      <c r="U16" s="1464"/>
      <c r="V16" s="1463"/>
      <c r="W16" s="1464"/>
      <c r="X16" s="1457"/>
      <c r="Y16" s="3672"/>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8"/>
      <c r="M17" s="1970"/>
      <c r="N17" s="1970"/>
      <c r="O17" s="1970"/>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8"/>
      <c r="M18" s="1970"/>
      <c r="N18" s="1970"/>
      <c r="O18" s="1970"/>
      <c r="P18" s="3672"/>
      <c r="Q18" s="1462"/>
      <c r="R18" s="1463"/>
      <c r="S18" s="1464"/>
      <c r="T18" s="1463"/>
      <c r="U18" s="1464"/>
      <c r="V18" s="1463"/>
      <c r="W18" s="1464"/>
      <c r="X18" s="1457"/>
      <c r="Y18" s="3672"/>
      <c r="Z18" s="1465"/>
      <c r="AA18" s="1466">
        <v>1</v>
      </c>
      <c r="AB18" s="1466">
        <v>1</v>
      </c>
      <c r="AC18" s="1466">
        <v>1</v>
      </c>
    </row>
    <row r="19" spans="1:29" ht="42.75">
      <c r="A19" s="508"/>
      <c r="B19" s="2369"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8"/>
      <c r="M19" s="1970"/>
      <c r="N19" s="1970"/>
      <c r="O19" s="1970"/>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8"/>
      <c r="M20" s="1970"/>
      <c r="N20" s="1970"/>
      <c r="O20" s="1970"/>
      <c r="P20" s="3672"/>
      <c r="Q20" s="1462"/>
      <c r="R20" s="1463"/>
      <c r="S20" s="1464"/>
      <c r="T20" s="1463"/>
      <c r="U20" s="1464"/>
      <c r="V20" s="1463"/>
      <c r="W20" s="1464"/>
      <c r="X20" s="1457"/>
      <c r="Y20" s="3672"/>
      <c r="Z20" s="1465"/>
      <c r="AA20" s="1466">
        <v>1</v>
      </c>
      <c r="AB20" s="1466">
        <v>1</v>
      </c>
      <c r="AC20" s="1466">
        <v>1</v>
      </c>
    </row>
    <row r="21" spans="1:29" ht="28.5">
      <c r="A21" s="508"/>
      <c r="B21" s="2357"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8"/>
      <c r="M21" s="1970"/>
      <c r="N21" s="1970"/>
      <c r="O21" s="1970"/>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68"/>
      <c r="L22" s="1978"/>
      <c r="M22" s="1970"/>
      <c r="N22" s="1970"/>
      <c r="O22" s="1970"/>
      <c r="P22" s="3672"/>
      <c r="Q22" s="2351"/>
      <c r="R22" s="1463"/>
      <c r="S22" s="1464"/>
      <c r="T22" s="1463"/>
      <c r="U22" s="1464"/>
      <c r="V22" s="1463"/>
      <c r="W22" s="1464"/>
      <c r="X22" s="2353"/>
      <c r="Y22" s="3672"/>
      <c r="Z22" s="2352"/>
      <c r="AA22" s="1466">
        <v>1</v>
      </c>
      <c r="AB22" s="1466">
        <v>1</v>
      </c>
      <c r="AC22" s="1466">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8"/>
      <c r="M23" s="1970"/>
      <c r="N23" s="1970"/>
      <c r="O23" s="1970"/>
      <c r="P23" s="3672"/>
      <c r="Q23" s="1462" t="str">
        <f>B23</f>
        <v>环境质量</v>
      </c>
      <c r="R23" s="1463" t="s">
        <v>8</v>
      </c>
      <c r="S23" s="1464">
        <f>F23</f>
        <v>100</v>
      </c>
      <c r="T23" s="1463" t="s">
        <v>8</v>
      </c>
      <c r="U23" s="1464">
        <f>H23</f>
        <v>100</v>
      </c>
      <c r="V23" s="1463" t="s">
        <v>8</v>
      </c>
      <c r="W23" s="1464">
        <f>J23</f>
        <v>100</v>
      </c>
      <c r="X23" s="1457"/>
      <c r="Y23" s="3672"/>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8"/>
      <c r="M24" s="1970"/>
      <c r="N24" s="1970"/>
      <c r="O24" s="1970"/>
      <c r="P24" s="3672"/>
      <c r="Q24" s="1462"/>
      <c r="R24" s="1463"/>
      <c r="S24" s="1464"/>
      <c r="T24" s="1463"/>
      <c r="U24" s="1464"/>
      <c r="V24" s="1463"/>
      <c r="W24" s="1464"/>
      <c r="X24" s="1457"/>
      <c r="Y24" s="3672"/>
      <c r="Z24" s="1465"/>
      <c r="AA24" s="1466">
        <v>1</v>
      </c>
      <c r="AB24" s="1466">
        <v>1</v>
      </c>
      <c r="AC24" s="1466">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8"/>
      <c r="M25" s="1970"/>
      <c r="N25" s="1970"/>
      <c r="O25" s="1970"/>
      <c r="P25" s="3672"/>
      <c r="Q25" s="1462" t="str">
        <f>B25</f>
        <v>毗邻道路的类型与等级</v>
      </c>
      <c r="R25" s="1463" t="s">
        <v>8</v>
      </c>
      <c r="S25" s="1464">
        <f>F25</f>
        <v>100</v>
      </c>
      <c r="T25" s="1463" t="s">
        <v>8</v>
      </c>
      <c r="U25" s="1464">
        <f>H25</f>
        <v>100</v>
      </c>
      <c r="V25" s="1463" t="s">
        <v>8</v>
      </c>
      <c r="W25" s="1464">
        <f>J25</f>
        <v>100</v>
      </c>
      <c r="X25" s="1457"/>
      <c r="Y25" s="3672"/>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8"/>
      <c r="M26" s="1970"/>
      <c r="N26" s="1970"/>
      <c r="O26" s="1970"/>
      <c r="P26" s="3672"/>
      <c r="Q26" s="1462"/>
      <c r="R26" s="1463"/>
      <c r="S26" s="1464"/>
      <c r="T26" s="1463"/>
      <c r="U26" s="1464"/>
      <c r="V26" s="1463"/>
      <c r="W26" s="1464"/>
      <c r="X26" s="1457"/>
      <c r="Y26" s="3672"/>
      <c r="Z26" s="1465"/>
      <c r="AA26" s="1466">
        <v>1</v>
      </c>
      <c r="AB26" s="1466">
        <v>1</v>
      </c>
      <c r="AC26" s="1466">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8"/>
      <c r="M27" s="1970"/>
      <c r="N27" s="1970"/>
      <c r="O27" s="1970"/>
      <c r="P27" s="3672"/>
      <c r="Q27" s="1462" t="str">
        <f t="shared" ref="Q27:Q47" si="11">B27</f>
        <v>楼层</v>
      </c>
      <c r="R27" s="1463" t="s">
        <v>8</v>
      </c>
      <c r="S27" s="1464">
        <f>F27</f>
        <v>100</v>
      </c>
      <c r="T27" s="1463" t="s">
        <v>8</v>
      </c>
      <c r="U27" s="1464">
        <f>H27</f>
        <v>100</v>
      </c>
      <c r="V27" s="1463" t="s">
        <v>8</v>
      </c>
      <c r="W27" s="1464">
        <f>J27</f>
        <v>100</v>
      </c>
      <c r="X27" s="1457"/>
      <c r="Y27" s="3672"/>
      <c r="Z27" s="1465" t="str">
        <f>Q27</f>
        <v>楼层</v>
      </c>
      <c r="AA27" s="1466">
        <f t="shared" si="3"/>
        <v>1</v>
      </c>
      <c r="AB27" s="1466">
        <f t="shared" si="4"/>
        <v>1</v>
      </c>
      <c r="AC27" s="1466">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1"/>
      <c r="M28" s="1972"/>
      <c r="N28" s="1972"/>
      <c r="O28" s="1972"/>
      <c r="P28" s="3672"/>
      <c r="Q28" s="1097" t="str">
        <f t="shared" si="11"/>
        <v>朝向</v>
      </c>
      <c r="R28" s="1458" t="s">
        <v>8</v>
      </c>
      <c r="S28" s="1459">
        <f>F28</f>
        <v>100</v>
      </c>
      <c r="T28" s="1458" t="s">
        <v>8</v>
      </c>
      <c r="U28" s="1459">
        <f>H28</f>
        <v>100</v>
      </c>
      <c r="V28" s="1458" t="s">
        <v>8</v>
      </c>
      <c r="W28" s="1459">
        <f>J28</f>
        <v>100</v>
      </c>
      <c r="X28" s="1460"/>
      <c r="Y28" s="3672"/>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8"/>
      <c r="M29" s="1970"/>
      <c r="N29" s="1970"/>
      <c r="O29" s="1970"/>
      <c r="P29" s="3672"/>
      <c r="Q29" s="1462">
        <f t="shared" si="11"/>
        <v>111</v>
      </c>
      <c r="R29" s="1463" t="s">
        <v>8</v>
      </c>
      <c r="S29" s="1464">
        <f t="shared" ref="S29:S47" si="12">F29</f>
        <v>100</v>
      </c>
      <c r="T29" s="1463" t="s">
        <v>8</v>
      </c>
      <c r="U29" s="1464">
        <f t="shared" ref="U29:U47" si="13">H29</f>
        <v>100</v>
      </c>
      <c r="V29" s="1463" t="s">
        <v>8</v>
      </c>
      <c r="W29" s="1464">
        <f t="shared" ref="W29:W47" si="14">J29</f>
        <v>100</v>
      </c>
      <c r="X29" s="1457"/>
      <c r="Y29" s="3672"/>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8"/>
      <c r="M30" s="1970"/>
      <c r="N30" s="1970"/>
      <c r="O30" s="1970"/>
      <c r="P30" s="3672"/>
      <c r="Q30" s="1462">
        <f t="shared" si="11"/>
        <v>111</v>
      </c>
      <c r="R30" s="1463" t="s">
        <v>8</v>
      </c>
      <c r="S30" s="1464">
        <f t="shared" si="12"/>
        <v>100</v>
      </c>
      <c r="T30" s="1463" t="s">
        <v>8</v>
      </c>
      <c r="U30" s="1464">
        <f t="shared" si="13"/>
        <v>100</v>
      </c>
      <c r="V30" s="1463" t="s">
        <v>8</v>
      </c>
      <c r="W30" s="1464">
        <f t="shared" si="14"/>
        <v>100</v>
      </c>
      <c r="X30" s="1457"/>
      <c r="Y30" s="3672"/>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8"/>
      <c r="M31" s="1970"/>
      <c r="N31" s="1970"/>
      <c r="O31" s="1970"/>
      <c r="P31" s="3672"/>
      <c r="Q31" s="1462">
        <f t="shared" si="11"/>
        <v>111</v>
      </c>
      <c r="R31" s="1463" t="s">
        <v>8</v>
      </c>
      <c r="S31" s="1464">
        <f t="shared" si="12"/>
        <v>100</v>
      </c>
      <c r="T31" s="1463" t="s">
        <v>8</v>
      </c>
      <c r="U31" s="1464">
        <f t="shared" si="13"/>
        <v>100</v>
      </c>
      <c r="V31" s="1463" t="s">
        <v>8</v>
      </c>
      <c r="W31" s="1464">
        <f t="shared" si="14"/>
        <v>100</v>
      </c>
      <c r="X31" s="1457"/>
      <c r="Y31" s="3672"/>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8"/>
      <c r="M32" s="1970"/>
      <c r="N32" s="1970"/>
      <c r="O32" s="1970"/>
      <c r="P32" s="3672"/>
      <c r="Q32" s="1462">
        <f t="shared" si="11"/>
        <v>111</v>
      </c>
      <c r="R32" s="1463" t="s">
        <v>8</v>
      </c>
      <c r="S32" s="1464">
        <f t="shared" si="12"/>
        <v>100</v>
      </c>
      <c r="T32" s="1463" t="s">
        <v>8</v>
      </c>
      <c r="U32" s="1464">
        <f t="shared" si="13"/>
        <v>100</v>
      </c>
      <c r="V32" s="1463" t="s">
        <v>8</v>
      </c>
      <c r="W32" s="1464">
        <f t="shared" si="14"/>
        <v>100</v>
      </c>
      <c r="X32" s="1457"/>
      <c r="Y32" s="3672"/>
      <c r="Z32" s="1465">
        <f t="shared" si="15"/>
        <v>111</v>
      </c>
      <c r="AA32" s="1466">
        <f t="shared" si="3"/>
        <v>1</v>
      </c>
      <c r="AB32" s="1466">
        <f t="shared" si="4"/>
        <v>1</v>
      </c>
      <c r="AC32" s="1466">
        <f t="shared" si="5"/>
        <v>1</v>
      </c>
    </row>
    <row r="33" spans="1:29" ht="15">
      <c r="A33" s="2546" t="s">
        <v>2472</v>
      </c>
      <c r="B33" s="170"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8"/>
      <c r="M33" s="1970"/>
      <c r="N33" s="1970"/>
      <c r="O33" s="1970"/>
      <c r="P33" s="3673" t="s">
        <v>533</v>
      </c>
      <c r="Q33" s="1462" t="str">
        <f t="shared" si="11"/>
        <v>建筑类型</v>
      </c>
      <c r="R33" s="1463" t="s">
        <v>8</v>
      </c>
      <c r="S33" s="1464">
        <f t="shared" si="12"/>
        <v>100</v>
      </c>
      <c r="T33" s="1463" t="s">
        <v>8</v>
      </c>
      <c r="U33" s="1464">
        <f t="shared" si="13"/>
        <v>100</v>
      </c>
      <c r="V33" s="1463" t="s">
        <v>8</v>
      </c>
      <c r="W33" s="1464">
        <f t="shared" si="14"/>
        <v>100</v>
      </c>
      <c r="X33" s="1457"/>
      <c r="Y33" s="3674" t="s">
        <v>533</v>
      </c>
      <c r="Z33" s="1465" t="str">
        <f t="shared" si="15"/>
        <v>建筑类型</v>
      </c>
      <c r="AA33" s="1466">
        <f t="shared" si="3"/>
        <v>1</v>
      </c>
      <c r="AB33" s="1466">
        <f t="shared" si="4"/>
        <v>1</v>
      </c>
      <c r="AC33" s="1466">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6"/>
      <c r="M34" s="2006"/>
      <c r="N34" s="2006"/>
      <c r="O34" s="2006"/>
      <c r="P34" s="3674"/>
      <c r="Q34" s="1491" t="str">
        <f t="shared" si="11"/>
        <v>项目建筑规模</v>
      </c>
      <c r="R34" s="1467" t="s">
        <v>8</v>
      </c>
      <c r="S34" s="1468" t="e">
        <f t="shared" si="12"/>
        <v>#N/A</v>
      </c>
      <c r="T34" s="1467" t="s">
        <v>8</v>
      </c>
      <c r="U34" s="1468" t="e">
        <f t="shared" si="13"/>
        <v>#N/A</v>
      </c>
      <c r="V34" s="1467" t="s">
        <v>8</v>
      </c>
      <c r="W34" s="1468" t="e">
        <f t="shared" si="14"/>
        <v>#N/A</v>
      </c>
      <c r="X34" s="1469"/>
      <c r="Y34" s="3674"/>
      <c r="Z34" s="1470" t="str">
        <f t="shared" si="15"/>
        <v>项目建筑规模</v>
      </c>
      <c r="AA34" s="1466" t="e">
        <f t="shared" si="3"/>
        <v>#N/A</v>
      </c>
      <c r="AB34" s="1466" t="e">
        <f t="shared" si="4"/>
        <v>#N/A</v>
      </c>
      <c r="AC34" s="1466"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8"/>
      <c r="M35" s="1970"/>
      <c r="N35" s="1970"/>
      <c r="O35" s="1970"/>
      <c r="P35" s="3674"/>
      <c r="Q35" s="1462" t="str">
        <f t="shared" si="11"/>
        <v>建筑结构</v>
      </c>
      <c r="R35" s="1463" t="s">
        <v>8</v>
      </c>
      <c r="S35" s="1464">
        <f t="shared" si="12"/>
        <v>100</v>
      </c>
      <c r="T35" s="1463" t="s">
        <v>8</v>
      </c>
      <c r="U35" s="1464">
        <f t="shared" si="13"/>
        <v>100</v>
      </c>
      <c r="V35" s="1463" t="s">
        <v>8</v>
      </c>
      <c r="W35" s="1464">
        <f t="shared" si="14"/>
        <v>100</v>
      </c>
      <c r="X35" s="1457"/>
      <c r="Y35" s="3674"/>
      <c r="Z35" s="1465" t="str">
        <f t="shared" si="15"/>
        <v>建筑结构</v>
      </c>
      <c r="AA35" s="1466">
        <f t="shared" si="3"/>
        <v>1</v>
      </c>
      <c r="AB35" s="1466">
        <f t="shared" si="4"/>
        <v>1</v>
      </c>
      <c r="AC35" s="1466">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8"/>
      <c r="M36" s="1970"/>
      <c r="N36" s="1970"/>
      <c r="O36" s="1970"/>
      <c r="P36" s="3674"/>
      <c r="Q36" s="1462" t="str">
        <f t="shared" si="11"/>
        <v>公共部分装修</v>
      </c>
      <c r="R36" s="1463" t="s">
        <v>8</v>
      </c>
      <c r="S36" s="1464">
        <f t="shared" si="12"/>
        <v>100</v>
      </c>
      <c r="T36" s="1463" t="s">
        <v>8</v>
      </c>
      <c r="U36" s="1464">
        <f t="shared" si="13"/>
        <v>100</v>
      </c>
      <c r="V36" s="1463" t="s">
        <v>8</v>
      </c>
      <c r="W36" s="1464">
        <f t="shared" si="14"/>
        <v>100</v>
      </c>
      <c r="X36" s="1457"/>
      <c r="Y36" s="3674"/>
      <c r="Z36" s="1465" t="str">
        <f t="shared" si="15"/>
        <v>公共部分装修</v>
      </c>
      <c r="AA36" s="1466">
        <f t="shared" si="3"/>
        <v>1</v>
      </c>
      <c r="AB36" s="1466">
        <f t="shared" si="4"/>
        <v>1</v>
      </c>
      <c r="AC36" s="1466">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8"/>
      <c r="M37" s="1970"/>
      <c r="N37" s="1970"/>
      <c r="O37" s="1970"/>
      <c r="P37" s="3674"/>
      <c r="Q37" s="1462" t="str">
        <f t="shared" si="11"/>
        <v>成新度</v>
      </c>
      <c r="R37" s="1463" t="s">
        <v>8</v>
      </c>
      <c r="S37" s="1464" t="e">
        <f t="shared" si="12"/>
        <v>#N/A</v>
      </c>
      <c r="T37" s="1463" t="s">
        <v>8</v>
      </c>
      <c r="U37" s="1464" t="e">
        <f t="shared" si="13"/>
        <v>#N/A</v>
      </c>
      <c r="V37" s="1463" t="s">
        <v>8</v>
      </c>
      <c r="W37" s="1464" t="e">
        <f t="shared" si="14"/>
        <v>#N/A</v>
      </c>
      <c r="X37" s="1457"/>
      <c r="Y37" s="3674"/>
      <c r="Z37" s="1465" t="str">
        <f t="shared" si="15"/>
        <v>成新度</v>
      </c>
      <c r="AA37" s="1466" t="e">
        <f t="shared" si="3"/>
        <v>#N/A</v>
      </c>
      <c r="AB37" s="1466" t="e">
        <f t="shared" si="4"/>
        <v>#N/A</v>
      </c>
      <c r="AC37" s="1466"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1"/>
      <c r="M38" s="1972"/>
      <c r="N38" s="1972"/>
      <c r="O38" s="1972"/>
      <c r="P38" s="3674"/>
      <c r="Q38" s="1097" t="str">
        <f t="shared" si="11"/>
        <v>写字楼等级</v>
      </c>
      <c r="R38" s="1458" t="s">
        <v>8</v>
      </c>
      <c r="S38" s="1459">
        <f t="shared" si="12"/>
        <v>100</v>
      </c>
      <c r="T38" s="1458" t="s">
        <v>8</v>
      </c>
      <c r="U38" s="1459">
        <f t="shared" si="13"/>
        <v>100</v>
      </c>
      <c r="V38" s="1458" t="s">
        <v>8</v>
      </c>
      <c r="W38" s="1459">
        <f t="shared" si="14"/>
        <v>100</v>
      </c>
      <c r="X38" s="1460"/>
      <c r="Y38" s="3674"/>
      <c r="Z38" s="1096" t="str">
        <f t="shared" si="15"/>
        <v>写字楼等级</v>
      </c>
      <c r="AA38" s="1461">
        <f t="shared" si="3"/>
        <v>1</v>
      </c>
      <c r="AB38" s="1461">
        <f t="shared" si="4"/>
        <v>1</v>
      </c>
      <c r="AC38" s="1461">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8"/>
      <c r="M39" s="1970"/>
      <c r="N39" s="1970"/>
      <c r="O39" s="1970"/>
      <c r="P39" s="3674" t="s">
        <v>533</v>
      </c>
      <c r="Q39" s="1462" t="str">
        <f t="shared" si="11"/>
        <v>物业管理</v>
      </c>
      <c r="R39" s="1463" t="s">
        <v>8</v>
      </c>
      <c r="S39" s="1464">
        <f t="shared" si="12"/>
        <v>100</v>
      </c>
      <c r="T39" s="1463" t="s">
        <v>8</v>
      </c>
      <c r="U39" s="1464">
        <f t="shared" si="13"/>
        <v>100</v>
      </c>
      <c r="V39" s="1463" t="s">
        <v>8</v>
      </c>
      <c r="W39" s="1464">
        <f t="shared" si="14"/>
        <v>100</v>
      </c>
      <c r="X39" s="1457"/>
      <c r="Y39" s="3674" t="s">
        <v>533</v>
      </c>
      <c r="Z39" s="1465" t="str">
        <f t="shared" si="15"/>
        <v>物业管理</v>
      </c>
      <c r="AA39" s="1466">
        <f t="shared" si="3"/>
        <v>1</v>
      </c>
      <c r="AB39" s="1466">
        <f t="shared" si="4"/>
        <v>1</v>
      </c>
      <c r="AC39" s="1466">
        <f t="shared" si="5"/>
        <v>1</v>
      </c>
    </row>
    <row r="40" spans="1:29" ht="15">
      <c r="A40" s="570"/>
      <c r="B40" s="1764"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8"/>
      <c r="M40" s="1970"/>
      <c r="N40" s="1970"/>
      <c r="O40" s="1970"/>
      <c r="P40" s="3674"/>
      <c r="Q40" s="1462" t="str">
        <f t="shared" si="11"/>
        <v>市政基础设施</v>
      </c>
      <c r="R40" s="1463" t="s">
        <v>8</v>
      </c>
      <c r="S40" s="1464">
        <f t="shared" si="12"/>
        <v>100</v>
      </c>
      <c r="T40" s="1463" t="s">
        <v>8</v>
      </c>
      <c r="U40" s="1464">
        <f t="shared" si="13"/>
        <v>100</v>
      </c>
      <c r="V40" s="1463" t="s">
        <v>8</v>
      </c>
      <c r="W40" s="1464">
        <f t="shared" si="14"/>
        <v>100</v>
      </c>
      <c r="X40" s="1457"/>
      <c r="Y40" s="3674"/>
      <c r="Z40" s="1465" t="str">
        <f t="shared" si="15"/>
        <v>市政基础设施</v>
      </c>
      <c r="AA40" s="1466">
        <f t="shared" si="3"/>
        <v>1</v>
      </c>
      <c r="AB40" s="1466">
        <f t="shared" si="4"/>
        <v>1</v>
      </c>
      <c r="AC40" s="1466">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8"/>
      <c r="M41" s="1970"/>
      <c r="N41" s="1970"/>
      <c r="O41" s="1970"/>
      <c r="P41" s="3674"/>
      <c r="Q41" s="1462" t="str">
        <f t="shared" si="11"/>
        <v>层高</v>
      </c>
      <c r="R41" s="1463" t="s">
        <v>8</v>
      </c>
      <c r="S41" s="1464">
        <f t="shared" si="12"/>
        <v>100</v>
      </c>
      <c r="T41" s="1463" t="s">
        <v>8</v>
      </c>
      <c r="U41" s="1464">
        <f t="shared" si="13"/>
        <v>100</v>
      </c>
      <c r="V41" s="1463" t="s">
        <v>8</v>
      </c>
      <c r="W41" s="1464">
        <f t="shared" si="14"/>
        <v>100</v>
      </c>
      <c r="X41" s="1457"/>
      <c r="Y41" s="3674"/>
      <c r="Z41" s="1465" t="str">
        <f t="shared" si="15"/>
        <v>层高</v>
      </c>
      <c r="AA41" s="1466">
        <f t="shared" si="3"/>
        <v>1</v>
      </c>
      <c r="AB41" s="1466">
        <f t="shared" si="4"/>
        <v>1</v>
      </c>
      <c r="AC41" s="1466">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6"/>
      <c r="M42" s="2006"/>
      <c r="N42" s="2006"/>
      <c r="O42" s="2006"/>
      <c r="P42" s="3674"/>
      <c r="Q42" s="1491" t="str">
        <f t="shared" si="11"/>
        <v>单套建筑面积</v>
      </c>
      <c r="R42" s="1467" t="s">
        <v>8</v>
      </c>
      <c r="S42" s="1468">
        <f t="shared" si="12"/>
        <v>100</v>
      </c>
      <c r="T42" s="1467" t="s">
        <v>8</v>
      </c>
      <c r="U42" s="1468">
        <f t="shared" si="13"/>
        <v>100</v>
      </c>
      <c r="V42" s="1467" t="s">
        <v>8</v>
      </c>
      <c r="W42" s="1468">
        <f t="shared" si="14"/>
        <v>100</v>
      </c>
      <c r="X42" s="1469"/>
      <c r="Y42" s="3674"/>
      <c r="Z42" s="1470" t="str">
        <f t="shared" si="15"/>
        <v>单套建筑面积</v>
      </c>
      <c r="AA42" s="1466">
        <f t="shared" si="3"/>
        <v>1</v>
      </c>
      <c r="AB42" s="1466">
        <f t="shared" si="4"/>
        <v>1</v>
      </c>
      <c r="AC42" s="1466">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8"/>
      <c r="M43" s="1970"/>
      <c r="N43" s="1970"/>
      <c r="O43" s="1970"/>
      <c r="P43" s="3674"/>
      <c r="Q43" s="1462" t="str">
        <f t="shared" si="11"/>
        <v>内部装修</v>
      </c>
      <c r="R43" s="1463" t="s">
        <v>8</v>
      </c>
      <c r="S43" s="1464">
        <f t="shared" si="12"/>
        <v>100</v>
      </c>
      <c r="T43" s="1463" t="s">
        <v>8</v>
      </c>
      <c r="U43" s="1464">
        <f t="shared" si="13"/>
        <v>100</v>
      </c>
      <c r="V43" s="1463" t="s">
        <v>8</v>
      </c>
      <c r="W43" s="1464">
        <f t="shared" si="14"/>
        <v>100</v>
      </c>
      <c r="X43" s="1457"/>
      <c r="Y43" s="3674"/>
      <c r="Z43" s="1465" t="str">
        <f t="shared" si="15"/>
        <v>内部装修</v>
      </c>
      <c r="AA43" s="1466">
        <f t="shared" si="3"/>
        <v>1</v>
      </c>
      <c r="AB43" s="1466">
        <f t="shared" si="4"/>
        <v>1</v>
      </c>
      <c r="AC43" s="1466">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8"/>
      <c r="M44" s="1970"/>
      <c r="N44" s="1970"/>
      <c r="O44" s="1970"/>
      <c r="P44" s="3674"/>
      <c r="Q44" s="1462" t="str">
        <f t="shared" si="11"/>
        <v>内部装修维护情况</v>
      </c>
      <c r="R44" s="1463" t="s">
        <v>8</v>
      </c>
      <c r="S44" s="1464">
        <f t="shared" si="12"/>
        <v>100</v>
      </c>
      <c r="T44" s="1463" t="s">
        <v>8</v>
      </c>
      <c r="U44" s="1464">
        <f t="shared" si="13"/>
        <v>100</v>
      </c>
      <c r="V44" s="1463" t="s">
        <v>8</v>
      </c>
      <c r="W44" s="1464">
        <f t="shared" si="14"/>
        <v>100</v>
      </c>
      <c r="X44" s="1457"/>
      <c r="Y44" s="3674"/>
      <c r="Z44" s="1465" t="str">
        <f t="shared" si="15"/>
        <v>内部装修维护情况</v>
      </c>
      <c r="AA44" s="1466">
        <f t="shared" si="3"/>
        <v>1</v>
      </c>
      <c r="AB44" s="1466">
        <f t="shared" si="4"/>
        <v>1</v>
      </c>
      <c r="AC44" s="1466">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1"/>
      <c r="M45" s="1972"/>
      <c r="N45" s="1972"/>
      <c r="O45" s="1972"/>
      <c r="P45" s="3674"/>
      <c r="Q45" s="1097">
        <f t="shared" si="11"/>
        <v>111</v>
      </c>
      <c r="R45" s="1458" t="s">
        <v>8</v>
      </c>
      <c r="S45" s="1459">
        <f t="shared" si="12"/>
        <v>100</v>
      </c>
      <c r="T45" s="1458" t="s">
        <v>8</v>
      </c>
      <c r="U45" s="1459">
        <f t="shared" si="13"/>
        <v>100</v>
      </c>
      <c r="V45" s="1458" t="s">
        <v>8</v>
      </c>
      <c r="W45" s="1459">
        <f t="shared" si="14"/>
        <v>100</v>
      </c>
      <c r="X45" s="1460"/>
      <c r="Y45" s="3674"/>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8"/>
      <c r="M46" s="1970"/>
      <c r="N46" s="1970"/>
      <c r="O46" s="1970"/>
      <c r="P46" s="3674"/>
      <c r="Q46" s="1462">
        <f t="shared" si="11"/>
        <v>111</v>
      </c>
      <c r="R46" s="1463" t="s">
        <v>8</v>
      </c>
      <c r="S46" s="1464">
        <f t="shared" si="12"/>
        <v>100</v>
      </c>
      <c r="T46" s="1463" t="s">
        <v>8</v>
      </c>
      <c r="U46" s="1464">
        <f t="shared" si="13"/>
        <v>100</v>
      </c>
      <c r="V46" s="1463" t="s">
        <v>8</v>
      </c>
      <c r="W46" s="1464">
        <f t="shared" si="14"/>
        <v>100</v>
      </c>
      <c r="X46" s="1457"/>
      <c r="Y46" s="3674"/>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8"/>
      <c r="M47" s="1970"/>
      <c r="N47" s="1970"/>
      <c r="O47" s="1970"/>
      <c r="P47" s="3784"/>
      <c r="Q47" s="1462">
        <f t="shared" si="11"/>
        <v>111</v>
      </c>
      <c r="R47" s="1463" t="s">
        <v>8</v>
      </c>
      <c r="S47" s="1464">
        <f t="shared" si="12"/>
        <v>100</v>
      </c>
      <c r="T47" s="1463" t="s">
        <v>8</v>
      </c>
      <c r="U47" s="1464">
        <f t="shared" si="13"/>
        <v>100</v>
      </c>
      <c r="V47" s="1463" t="s">
        <v>8</v>
      </c>
      <c r="W47" s="1464">
        <f t="shared" si="14"/>
        <v>100</v>
      </c>
      <c r="X47" s="1457"/>
      <c r="Y47" s="3784"/>
      <c r="Z47" s="1465">
        <f t="shared" si="15"/>
        <v>111</v>
      </c>
      <c r="AA47" s="1466">
        <f t="shared" si="3"/>
        <v>1</v>
      </c>
      <c r="AB47" s="1466">
        <f t="shared" si="4"/>
        <v>1</v>
      </c>
      <c r="AC47" s="1466">
        <f t="shared" si="5"/>
        <v>1</v>
      </c>
    </row>
    <row r="48" spans="1:29" ht="15">
      <c r="A48" s="583" t="s">
        <v>718</v>
      </c>
      <c r="B48" s="858"/>
      <c r="C48" s="2392" t="s">
        <v>1</v>
      </c>
      <c r="D48" s="2393"/>
      <c r="E48" s="2394"/>
      <c r="F48" s="2395"/>
      <c r="G48" s="2396"/>
      <c r="H48" s="2397"/>
      <c r="I48" s="2394"/>
      <c r="J48" s="2397"/>
      <c r="K48" s="1496"/>
      <c r="L48" s="1980"/>
      <c r="M48" s="1970"/>
      <c r="N48" s="1970"/>
      <c r="O48" s="1970"/>
      <c r="P48" s="3676" t="str">
        <f>A48</f>
        <v>成交单价（元/平方米）</v>
      </c>
      <c r="Q48" s="3669"/>
      <c r="R48" s="3783">
        <f>E48</f>
        <v>0</v>
      </c>
      <c r="S48" s="3783"/>
      <c r="T48" s="3783">
        <f>G48</f>
        <v>0</v>
      </c>
      <c r="U48" s="3783"/>
      <c r="V48" s="3783">
        <f>I48</f>
        <v>0</v>
      </c>
      <c r="W48" s="3783"/>
      <c r="X48" s="1452"/>
      <c r="Y48" s="1471"/>
      <c r="Z48" s="1452"/>
      <c r="AA48" s="1452"/>
      <c r="AB48" s="1452"/>
      <c r="AC48" s="1452"/>
    </row>
    <row r="49" spans="1:29" ht="15.75" thickBot="1">
      <c r="A49" s="591"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76" t="str">
        <f>A49</f>
        <v>比较价格（元/平方米）</v>
      </c>
      <c r="Q49" s="3669"/>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452"/>
      <c r="Y49" s="1452"/>
      <c r="Z49" s="1452"/>
      <c r="AA49" s="1452"/>
      <c r="AB49" s="1452"/>
      <c r="AC49" s="1452"/>
    </row>
    <row r="50" spans="1:29" ht="15.75" thickBot="1">
      <c r="A50" s="595" t="s">
        <v>2637</v>
      </c>
      <c r="B50" s="596"/>
      <c r="C50" s="2400" t="e">
        <f>R50</f>
        <v>#DIV/0!</v>
      </c>
      <c r="D50" s="2400"/>
      <c r="E50" s="2400"/>
      <c r="F50" s="2400"/>
      <c r="G50" s="2400"/>
      <c r="H50" s="2400"/>
      <c r="I50" s="2400"/>
      <c r="J50" s="2400"/>
      <c r="K50" s="1497"/>
      <c r="L50" s="1980"/>
      <c r="M50" s="1970"/>
      <c r="N50" s="1970"/>
      <c r="O50" s="1970"/>
      <c r="P50" s="3788" t="str">
        <f>A50</f>
        <v>估价对象XX用房的比较价格（楼面单价，元/平方米）</v>
      </c>
      <c r="Q50" s="3676"/>
      <c r="R50" s="3782" t="e">
        <f>IF(F1="售价",ROUND(IF(D49="简单平均",AVERAGE(R49:V49),R49*F49+T49*H49+V49*J49),0),ROUND(IF(D49="简单平均",AVERAGE(R49:V49),R49*F49+T49*H49+V49*J49),1))</f>
        <v>#DIV/0!</v>
      </c>
      <c r="S50" s="3782"/>
      <c r="T50" s="3782"/>
      <c r="U50" s="3782"/>
      <c r="V50" s="3782"/>
      <c r="W50" s="3782"/>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19" t="s">
        <v>512</v>
      </c>
      <c r="B59" s="620"/>
      <c r="C59" s="2441" t="str">
        <f>YEAR(C7)&amp;"-"&amp;MONTH(C7)</f>
        <v>2022-9</v>
      </c>
      <c r="D59" s="2443">
        <f>EDATE(C59,-1)</f>
        <v>44774</v>
      </c>
      <c r="E59" s="2443">
        <f t="shared" ref="E59:O59" si="16">EDATE(D59,-1)</f>
        <v>44743</v>
      </c>
      <c r="F59" s="2443">
        <f t="shared" si="16"/>
        <v>44713</v>
      </c>
      <c r="G59" s="2443">
        <f t="shared" si="16"/>
        <v>44682</v>
      </c>
      <c r="H59" s="2443">
        <f t="shared" si="16"/>
        <v>44652</v>
      </c>
      <c r="I59" s="2443">
        <f t="shared" si="16"/>
        <v>44621</v>
      </c>
      <c r="J59" s="2443">
        <f t="shared" si="16"/>
        <v>44593</v>
      </c>
      <c r="K59" s="2443">
        <f t="shared" si="16"/>
        <v>44562</v>
      </c>
      <c r="L59" s="2443">
        <f t="shared" si="16"/>
        <v>44531</v>
      </c>
      <c r="M59" s="2443">
        <f t="shared" si="16"/>
        <v>44501</v>
      </c>
      <c r="N59" s="2443">
        <f t="shared" si="16"/>
        <v>44470</v>
      </c>
      <c r="O59" s="2443">
        <f t="shared" si="16"/>
        <v>44440</v>
      </c>
      <c r="P59" s="2045"/>
      <c r="Q59" s="1996"/>
      <c r="R59" s="1996"/>
      <c r="S59" s="1996"/>
      <c r="T59" s="1996"/>
      <c r="U59" s="1996"/>
      <c r="V59" s="1996"/>
      <c r="W59" s="1996"/>
      <c r="X59" s="1996"/>
      <c r="Y59" s="1996"/>
      <c r="Z59" s="1996"/>
      <c r="AA59" s="1996"/>
      <c r="AB59" s="1996"/>
      <c r="AC59" s="1996"/>
    </row>
    <row r="60" spans="1:29" s="1166" customFormat="1" ht="15">
      <c r="A60" s="621"/>
      <c r="B60" s="622"/>
      <c r="C60" s="623">
        <v>100</v>
      </c>
      <c r="D60" s="624"/>
      <c r="E60" s="624"/>
      <c r="F60" s="624"/>
      <c r="G60" s="624"/>
      <c r="H60" s="624"/>
      <c r="I60" s="624"/>
      <c r="J60" s="624"/>
      <c r="K60" s="624"/>
      <c r="L60" s="624"/>
      <c r="M60" s="625"/>
      <c r="N60" s="624"/>
      <c r="O60" s="625"/>
      <c r="P60" s="2046"/>
      <c r="Q60" s="1859"/>
      <c r="R60" s="1859"/>
      <c r="S60" s="1859"/>
      <c r="T60" s="1859"/>
      <c r="U60" s="1859"/>
      <c r="V60" s="1859"/>
      <c r="W60" s="1859"/>
      <c r="X60" s="1859"/>
      <c r="Y60" s="1859"/>
      <c r="Z60" s="1859"/>
      <c r="AA60" s="1859"/>
      <c r="AB60" s="1859"/>
      <c r="AC60" s="1859"/>
    </row>
    <row r="61" spans="1:29" s="1166" customFormat="1" ht="15.75" thickBot="1">
      <c r="A61" s="627" t="s">
        <v>557</v>
      </c>
      <c r="B61" s="628"/>
      <c r="C61" s="629"/>
      <c r="D61" s="630"/>
      <c r="E61" s="630"/>
      <c r="F61" s="630"/>
      <c r="G61" s="630"/>
      <c r="H61" s="630"/>
      <c r="I61" s="630"/>
      <c r="J61" s="630"/>
      <c r="K61" s="630"/>
      <c r="L61" s="630"/>
      <c r="M61" s="631"/>
      <c r="N61" s="630"/>
      <c r="O61" s="631"/>
      <c r="P61" s="2046"/>
      <c r="Q61" s="1993"/>
      <c r="R61" s="1859"/>
      <c r="S61" s="1859"/>
      <c r="T61" s="1859"/>
      <c r="U61" s="1859"/>
      <c r="V61" s="1859"/>
      <c r="W61" s="1859"/>
      <c r="X61" s="1859"/>
      <c r="Y61" s="1859"/>
      <c r="Z61" s="1859"/>
      <c r="AA61" s="1859"/>
      <c r="AB61" s="1859"/>
      <c r="AC61" s="1859"/>
    </row>
    <row r="62" spans="1:29" s="1166" customFormat="1" ht="15">
      <c r="A62" s="633" t="s">
        <v>514</v>
      </c>
      <c r="B62" s="622"/>
      <c r="C62" s="634" t="s">
        <v>558</v>
      </c>
      <c r="D62" s="635"/>
      <c r="E62" s="635"/>
      <c r="F62" s="635"/>
      <c r="G62" s="635"/>
      <c r="H62" s="635"/>
      <c r="I62" s="635"/>
      <c r="J62" s="635"/>
      <c r="K62" s="635"/>
      <c r="L62" s="636"/>
      <c r="M62" s="637"/>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3"/>
      <c r="B63" s="622"/>
      <c r="C63" s="860">
        <v>100</v>
      </c>
      <c r="D63" s="624"/>
      <c r="E63" s="624"/>
      <c r="F63" s="624"/>
      <c r="G63" s="624"/>
      <c r="H63" s="624"/>
      <c r="I63" s="624"/>
      <c r="J63" s="624"/>
      <c r="K63" s="624"/>
      <c r="L63" s="624"/>
      <c r="M63" s="626"/>
      <c r="N63" s="1997"/>
      <c r="O63" s="1997"/>
      <c r="P63" s="2046"/>
      <c r="Q63" s="1993"/>
      <c r="R63" s="1859"/>
      <c r="S63" s="1859"/>
      <c r="T63" s="1859"/>
      <c r="U63" s="1859"/>
      <c r="V63" s="1859"/>
      <c r="W63" s="1859"/>
      <c r="X63" s="1859"/>
      <c r="Y63" s="1859"/>
      <c r="Z63" s="1859"/>
      <c r="AA63" s="1859"/>
      <c r="AB63" s="1859"/>
      <c r="AC63" s="1859"/>
    </row>
    <row r="64" spans="1:29">
      <c r="A64" s="638" t="s">
        <v>559</v>
      </c>
      <c r="B64" s="639" t="s">
        <v>517</v>
      </c>
      <c r="C64" s="678">
        <f>C9</f>
        <v>0</v>
      </c>
      <c r="D64" s="574"/>
      <c r="E64" s="574"/>
      <c r="F64" s="574"/>
      <c r="G64" s="574"/>
      <c r="H64" s="574"/>
      <c r="I64" s="574"/>
      <c r="J64" s="574"/>
      <c r="K64" s="640"/>
      <c r="L64" s="641"/>
      <c r="M64" s="642"/>
      <c r="N64" s="1999"/>
      <c r="O64" s="1999"/>
      <c r="P64" s="2048"/>
      <c r="Q64" s="1993"/>
      <c r="R64" s="1981"/>
      <c r="S64" s="1981"/>
      <c r="T64" s="1981"/>
      <c r="U64" s="1981"/>
      <c r="V64" s="1981"/>
      <c r="W64" s="1981"/>
      <c r="X64" s="1981"/>
      <c r="Y64" s="1981"/>
      <c r="Z64" s="1981"/>
      <c r="AA64" s="1981"/>
      <c r="AB64" s="1981"/>
      <c r="AC64" s="1981"/>
    </row>
    <row r="65" spans="1:29" ht="15.75" thickBot="1">
      <c r="A65" s="643"/>
      <c r="B65" s="644"/>
      <c r="C65" s="645"/>
      <c r="D65" s="645"/>
      <c r="E65" s="645"/>
      <c r="F65" s="645"/>
      <c r="G65" s="645"/>
      <c r="H65" s="645"/>
      <c r="I65" s="645"/>
      <c r="J65" s="645"/>
      <c r="K65" s="645"/>
      <c r="L65" s="645"/>
      <c r="M65" s="646"/>
      <c r="N65" s="2001"/>
      <c r="O65" s="2001"/>
      <c r="P65" s="2048"/>
      <c r="Q65" s="1993"/>
      <c r="R65" s="1981"/>
      <c r="S65" s="1981"/>
      <c r="T65" s="1981"/>
      <c r="U65" s="1981"/>
      <c r="V65" s="1981"/>
      <c r="W65" s="1981"/>
      <c r="X65" s="1981"/>
      <c r="Y65" s="1981"/>
      <c r="Z65" s="1981"/>
      <c r="AA65" s="1981"/>
      <c r="AB65" s="1981"/>
      <c r="AC65" s="1981"/>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9"/>
      <c r="O66" s="1999"/>
      <c r="P66" s="2048"/>
      <c r="Q66" s="1993"/>
      <c r="R66" s="1981"/>
      <c r="S66" s="1981"/>
      <c r="T66" s="1981"/>
      <c r="U66" s="1981"/>
      <c r="V66" s="1981"/>
      <c r="W66" s="1981"/>
      <c r="X66" s="1981"/>
      <c r="Y66" s="1981"/>
      <c r="Z66" s="1981"/>
      <c r="AA66" s="1981"/>
      <c r="AB66" s="1981"/>
      <c r="AC66" s="1981"/>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1"/>
      <c r="O67" s="2001"/>
      <c r="P67" s="2048"/>
      <c r="Q67" s="1993"/>
      <c r="R67" s="1981"/>
      <c r="S67" s="1981"/>
      <c r="T67" s="1981"/>
      <c r="U67" s="1981"/>
      <c r="V67" s="1981"/>
      <c r="W67" s="1981"/>
      <c r="X67" s="1981"/>
      <c r="Y67" s="1981"/>
      <c r="Z67" s="1981"/>
      <c r="AA67" s="1981"/>
      <c r="AB67" s="1981"/>
      <c r="AC67" s="1981"/>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3"/>
      <c r="B69" s="657"/>
      <c r="C69" s="517"/>
      <c r="D69" s="517"/>
      <c r="E69" s="517"/>
      <c r="F69" s="517"/>
      <c r="G69" s="517"/>
      <c r="H69" s="517"/>
      <c r="I69" s="517"/>
      <c r="J69" s="517"/>
      <c r="K69" s="658"/>
      <c r="L69" s="659"/>
      <c r="M69" s="660"/>
      <c r="N69" s="1999"/>
      <c r="O69" s="1999"/>
      <c r="P69" s="2048"/>
      <c r="Q69" s="1993"/>
      <c r="R69" s="1981"/>
      <c r="S69" s="1981"/>
      <c r="T69" s="1981"/>
      <c r="U69" s="1981"/>
      <c r="V69" s="1981"/>
      <c r="W69" s="1981"/>
      <c r="X69" s="1981"/>
      <c r="Y69" s="1981"/>
      <c r="Z69" s="1981"/>
      <c r="AA69" s="1981"/>
      <c r="AB69" s="1981"/>
      <c r="AC69" s="1981"/>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1"/>
      <c r="B71" s="647">
        <f>B12</f>
        <v>111</v>
      </c>
      <c r="C71" s="662"/>
      <c r="D71" s="662"/>
      <c r="E71" s="662"/>
      <c r="F71" s="662"/>
      <c r="G71" s="662"/>
      <c r="H71" s="663"/>
      <c r="I71" s="663"/>
      <c r="J71" s="663"/>
      <c r="K71" s="663"/>
      <c r="L71" s="664"/>
      <c r="M71" s="665"/>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1"/>
      <c r="B72" s="652"/>
      <c r="C72" s="666"/>
      <c r="D72" s="645"/>
      <c r="E72" s="645"/>
      <c r="F72" s="645"/>
      <c r="G72" s="645"/>
      <c r="H72" s="645"/>
      <c r="I72" s="645"/>
      <c r="J72" s="645"/>
      <c r="K72" s="645"/>
      <c r="L72" s="645"/>
      <c r="M72" s="646"/>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1"/>
      <c r="B73" s="647">
        <f>B13</f>
        <v>111</v>
      </c>
      <c r="C73" s="662"/>
      <c r="D73" s="662"/>
      <c r="E73" s="662"/>
      <c r="F73" s="662"/>
      <c r="G73" s="662"/>
      <c r="H73" s="663"/>
      <c r="I73" s="663"/>
      <c r="J73" s="663"/>
      <c r="K73" s="663"/>
      <c r="L73" s="664"/>
      <c r="M73" s="665"/>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1"/>
      <c r="B74" s="652"/>
      <c r="C74" s="666"/>
      <c r="D74" s="666"/>
      <c r="E74" s="666"/>
      <c r="F74" s="666"/>
      <c r="G74" s="666"/>
      <c r="H74" s="667"/>
      <c r="I74" s="667"/>
      <c r="J74" s="667"/>
      <c r="K74" s="667"/>
      <c r="L74" s="667"/>
      <c r="M74" s="668"/>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1"/>
      <c r="B75" s="655">
        <f>B14</f>
        <v>111</v>
      </c>
      <c r="C75" s="635"/>
      <c r="D75" s="635"/>
      <c r="E75" s="635"/>
      <c r="F75" s="635"/>
      <c r="G75" s="635"/>
      <c r="H75" s="669"/>
      <c r="I75" s="669"/>
      <c r="J75" s="669"/>
      <c r="K75" s="669"/>
      <c r="L75" s="670"/>
      <c r="M75" s="671"/>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2"/>
      <c r="B76" s="673"/>
      <c r="C76" s="674"/>
      <c r="D76" s="674"/>
      <c r="E76" s="674"/>
      <c r="F76" s="674"/>
      <c r="G76" s="674"/>
      <c r="H76" s="675"/>
      <c r="I76" s="675"/>
      <c r="J76" s="675"/>
      <c r="K76" s="675"/>
      <c r="L76" s="675"/>
      <c r="M76" s="676"/>
      <c r="N76" s="2002"/>
      <c r="O76" s="2002"/>
      <c r="P76" s="2049"/>
      <c r="Q76" s="2004"/>
      <c r="R76" s="2005"/>
      <c r="S76" s="2005"/>
      <c r="T76" s="2005"/>
      <c r="U76" s="2005"/>
      <c r="V76" s="2005"/>
      <c r="W76" s="2005"/>
      <c r="X76" s="2005"/>
      <c r="Y76" s="2005"/>
      <c r="Z76" s="2005"/>
      <c r="AA76" s="2005"/>
      <c r="AB76" s="2005"/>
      <c r="AC76" s="2005"/>
    </row>
    <row r="77" spans="1:29">
      <c r="A77" s="638" t="s">
        <v>522</v>
      </c>
      <c r="B77" s="639" t="s">
        <v>567</v>
      </c>
      <c r="C77" s="677" t="s">
        <v>561</v>
      </c>
      <c r="D77" s="677" t="s">
        <v>562</v>
      </c>
      <c r="E77" s="677" t="s">
        <v>563</v>
      </c>
      <c r="F77" s="677" t="s">
        <v>564</v>
      </c>
      <c r="G77" s="677" t="s">
        <v>565</v>
      </c>
      <c r="H77" s="678"/>
      <c r="I77" s="678"/>
      <c r="J77" s="678"/>
      <c r="K77" s="679"/>
      <c r="L77" s="680"/>
      <c r="M77" s="681"/>
      <c r="N77" s="1999"/>
      <c r="O77" s="1999"/>
      <c r="P77" s="2052"/>
      <c r="Q77" s="1993"/>
      <c r="R77" s="1981"/>
      <c r="S77" s="1981"/>
      <c r="T77" s="1981"/>
      <c r="U77" s="1981"/>
      <c r="V77" s="1981"/>
      <c r="W77" s="1981"/>
      <c r="X77" s="1981"/>
      <c r="Y77" s="1981"/>
      <c r="Z77" s="1981"/>
      <c r="AA77" s="1981"/>
      <c r="AB77" s="1981"/>
      <c r="AC77" s="1981"/>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1"/>
      <c r="O78" s="2001"/>
      <c r="P78" s="2048"/>
      <c r="Q78" s="1993"/>
      <c r="R78" s="1981"/>
      <c r="S78" s="1981"/>
      <c r="T78" s="1981"/>
      <c r="U78" s="1981"/>
      <c r="V78" s="1981"/>
      <c r="W78" s="1981"/>
      <c r="X78" s="1981"/>
      <c r="Y78" s="1981"/>
      <c r="Z78" s="1981"/>
      <c r="AA78" s="1981"/>
      <c r="AB78" s="1981"/>
      <c r="AC78" s="1981"/>
    </row>
    <row r="79" spans="1:29" ht="15.75" thickTop="1">
      <c r="A79" s="643"/>
      <c r="B79" s="647" t="s">
        <v>568</v>
      </c>
      <c r="C79" s="682" t="s">
        <v>561</v>
      </c>
      <c r="D79" s="682" t="s">
        <v>562</v>
      </c>
      <c r="E79" s="682" t="s">
        <v>563</v>
      </c>
      <c r="F79" s="682" t="s">
        <v>564</v>
      </c>
      <c r="G79" s="682" t="s">
        <v>565</v>
      </c>
      <c r="H79" s="648"/>
      <c r="I79" s="648"/>
      <c r="J79" s="648"/>
      <c r="K79" s="649"/>
      <c r="L79" s="650"/>
      <c r="M79" s="651"/>
      <c r="N79" s="1999"/>
      <c r="O79" s="1999"/>
      <c r="P79" s="2048"/>
      <c r="Q79" s="1993"/>
      <c r="R79" s="1981"/>
      <c r="S79" s="1981"/>
      <c r="T79" s="1981"/>
      <c r="U79" s="1981"/>
      <c r="V79" s="1981"/>
      <c r="W79" s="1981"/>
      <c r="X79" s="1981"/>
      <c r="Y79" s="1981"/>
      <c r="Z79" s="1981"/>
      <c r="AA79" s="1981"/>
      <c r="AB79" s="1981"/>
      <c r="AC79" s="1981"/>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1"/>
      <c r="O80" s="2001"/>
      <c r="P80" s="2048"/>
      <c r="Q80" s="1993"/>
      <c r="R80" s="1981"/>
      <c r="S80" s="1981"/>
      <c r="T80" s="1981"/>
      <c r="U80" s="1981"/>
      <c r="V80" s="1981"/>
      <c r="W80" s="1981"/>
      <c r="X80" s="1981"/>
      <c r="Y80" s="1981"/>
      <c r="Z80" s="1981"/>
      <c r="AA80" s="1981"/>
      <c r="AB80" s="1981"/>
      <c r="AC80" s="1981"/>
    </row>
    <row r="81" spans="1:29" ht="15.75" thickTop="1">
      <c r="A81" s="643"/>
      <c r="B81" s="1765" t="s">
        <v>2275</v>
      </c>
      <c r="C81" s="682" t="s">
        <v>561</v>
      </c>
      <c r="D81" s="682" t="s">
        <v>562</v>
      </c>
      <c r="E81" s="682" t="s">
        <v>563</v>
      </c>
      <c r="F81" s="682" t="s">
        <v>564</v>
      </c>
      <c r="G81" s="682" t="s">
        <v>565</v>
      </c>
      <c r="H81" s="648"/>
      <c r="I81" s="648"/>
      <c r="J81" s="648"/>
      <c r="K81" s="649"/>
      <c r="L81" s="650"/>
      <c r="M81" s="651"/>
      <c r="N81" s="1999"/>
      <c r="O81" s="1999"/>
      <c r="P81" s="2048"/>
      <c r="Q81" s="1993"/>
      <c r="R81" s="1981"/>
      <c r="S81" s="1981"/>
      <c r="T81" s="1981"/>
      <c r="U81" s="1981"/>
      <c r="V81" s="1981"/>
      <c r="W81" s="1981"/>
      <c r="X81" s="1981"/>
      <c r="Y81" s="1981"/>
      <c r="Z81" s="1981"/>
      <c r="AA81" s="1981"/>
      <c r="AB81" s="1981"/>
      <c r="AC81" s="1981"/>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1"/>
      <c r="O82" s="2001"/>
      <c r="P82" s="2048"/>
      <c r="Q82" s="1993"/>
      <c r="R82" s="1981"/>
      <c r="S82" s="1981"/>
      <c r="T82" s="1981"/>
      <c r="U82" s="1981"/>
      <c r="V82" s="1981"/>
      <c r="W82" s="1981"/>
      <c r="X82" s="1981"/>
      <c r="Y82" s="1981"/>
      <c r="Z82" s="1981"/>
      <c r="AA82" s="1981"/>
      <c r="AB82" s="1981"/>
      <c r="AC82" s="1981"/>
    </row>
    <row r="83" spans="1:29" ht="15.75" thickTop="1">
      <c r="A83" s="643"/>
      <c r="B83" s="2363" t="s">
        <v>2276</v>
      </c>
      <c r="C83" s="2364" t="s">
        <v>2277</v>
      </c>
      <c r="D83" s="2364" t="s">
        <v>2278</v>
      </c>
      <c r="E83" s="2364" t="s">
        <v>2279</v>
      </c>
      <c r="F83" s="2364" t="s">
        <v>2280</v>
      </c>
      <c r="G83" s="2364" t="s">
        <v>2281</v>
      </c>
      <c r="H83" s="648"/>
      <c r="I83" s="648"/>
      <c r="J83" s="648"/>
      <c r="K83" s="648"/>
      <c r="L83" s="648"/>
      <c r="M83" s="2367"/>
      <c r="N83" s="2001"/>
      <c r="O83" s="2001"/>
      <c r="P83" s="2048"/>
      <c r="Q83" s="1993"/>
      <c r="R83" s="1981"/>
      <c r="S83" s="1981"/>
      <c r="T83" s="1981"/>
      <c r="U83" s="1981"/>
      <c r="V83" s="1981"/>
      <c r="W83" s="1981"/>
      <c r="X83" s="1981"/>
      <c r="Y83" s="1981"/>
      <c r="Z83" s="1981"/>
      <c r="AA83" s="1981"/>
      <c r="AB83" s="1981"/>
      <c r="AC83" s="1981"/>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1"/>
      <c r="O84" s="2001"/>
      <c r="P84" s="2048"/>
      <c r="Q84" s="1993"/>
      <c r="R84" s="1981"/>
      <c r="S84" s="1981"/>
      <c r="T84" s="1981"/>
      <c r="U84" s="1981"/>
      <c r="V84" s="1981"/>
      <c r="W84" s="1981"/>
      <c r="X84" s="1981"/>
      <c r="Y84" s="1981"/>
      <c r="Z84" s="1981"/>
      <c r="AA84" s="1981"/>
      <c r="AB84" s="1981"/>
      <c r="AC84" s="1981"/>
    </row>
    <row r="85" spans="1:29" ht="15.75" thickTop="1">
      <c r="A85" s="643"/>
      <c r="B85" s="647" t="s">
        <v>766</v>
      </c>
      <c r="C85" s="682" t="s">
        <v>561</v>
      </c>
      <c r="D85" s="682" t="s">
        <v>562</v>
      </c>
      <c r="E85" s="682" t="s">
        <v>563</v>
      </c>
      <c r="F85" s="682" t="s">
        <v>564</v>
      </c>
      <c r="G85" s="682" t="s">
        <v>565</v>
      </c>
      <c r="H85" s="648"/>
      <c r="I85" s="648"/>
      <c r="J85" s="648"/>
      <c r="K85" s="649"/>
      <c r="L85" s="650"/>
      <c r="M85" s="651"/>
      <c r="N85" s="1999"/>
      <c r="O85" s="1999"/>
      <c r="P85" s="2048"/>
      <c r="Q85" s="1993"/>
      <c r="R85" s="1981"/>
      <c r="S85" s="1981"/>
      <c r="T85" s="1981"/>
      <c r="U85" s="1981"/>
      <c r="V85" s="1981"/>
      <c r="W85" s="1981"/>
      <c r="X85" s="1981"/>
      <c r="Y85" s="1981"/>
      <c r="Z85" s="1981"/>
      <c r="AA85" s="1981"/>
      <c r="AB85" s="1981"/>
      <c r="AC85" s="1981"/>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3"/>
      <c r="B87" s="647" t="s">
        <v>767</v>
      </c>
      <c r="C87" s="662"/>
      <c r="D87" s="662"/>
      <c r="E87" s="662"/>
      <c r="F87" s="662"/>
      <c r="G87" s="662"/>
      <c r="H87" s="662"/>
      <c r="I87" s="662"/>
      <c r="J87" s="662"/>
      <c r="K87" s="662"/>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3"/>
      <c r="B89" s="647" t="str">
        <f>B27</f>
        <v>楼层</v>
      </c>
      <c r="C89" s="662"/>
      <c r="D89" s="662"/>
      <c r="E89" s="662"/>
      <c r="F89" s="863"/>
      <c r="G89" s="662"/>
      <c r="H89" s="662"/>
      <c r="I89" s="662"/>
      <c r="J89" s="662"/>
      <c r="K89" s="662"/>
      <c r="L89" s="662"/>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1"/>
      <c r="B91" s="647" t="str">
        <f>B28</f>
        <v>朝向</v>
      </c>
      <c r="C91" s="662"/>
      <c r="D91" s="662"/>
      <c r="E91" s="662"/>
      <c r="F91" s="662"/>
      <c r="G91" s="662"/>
      <c r="H91" s="663"/>
      <c r="I91" s="663"/>
      <c r="J91" s="663"/>
      <c r="K91" s="663"/>
      <c r="L91" s="664"/>
      <c r="M91" s="665"/>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3"/>
      <c r="B93" s="647">
        <f>B29</f>
        <v>111</v>
      </c>
      <c r="C93" s="662"/>
      <c r="D93" s="662"/>
      <c r="E93" s="662"/>
      <c r="F93" s="662"/>
      <c r="G93" s="662"/>
      <c r="H93" s="662"/>
      <c r="I93" s="662"/>
      <c r="J93" s="662"/>
      <c r="K93" s="662"/>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45"/>
      <c r="H94" s="645"/>
      <c r="I94" s="645"/>
      <c r="J94" s="645"/>
      <c r="K94" s="645"/>
      <c r="L94" s="645"/>
      <c r="M94" s="646"/>
      <c r="N94" s="2001"/>
      <c r="O94" s="2001"/>
      <c r="P94" s="2048"/>
      <c r="Q94" s="1993"/>
      <c r="R94" s="1981"/>
      <c r="S94" s="1981"/>
      <c r="T94" s="1981"/>
      <c r="U94" s="1981"/>
      <c r="V94" s="1981"/>
      <c r="W94" s="1981"/>
      <c r="X94" s="1981"/>
      <c r="Y94" s="1981"/>
      <c r="Z94" s="1981"/>
      <c r="AA94" s="1981"/>
      <c r="AB94" s="1981"/>
      <c r="AC94" s="1981"/>
    </row>
    <row r="95" spans="1:29" ht="15.75" thickTop="1">
      <c r="A95" s="643"/>
      <c r="B95" s="647">
        <f>B30</f>
        <v>111</v>
      </c>
      <c r="C95" s="662"/>
      <c r="D95" s="662"/>
      <c r="E95" s="662"/>
      <c r="F95" s="662"/>
      <c r="G95" s="692"/>
      <c r="H95" s="692"/>
      <c r="I95" s="692"/>
      <c r="J95" s="692"/>
      <c r="K95" s="693"/>
      <c r="L95" s="694"/>
      <c r="M95" s="695"/>
      <c r="N95" s="1999"/>
      <c r="O95" s="1999"/>
      <c r="P95" s="2048"/>
      <c r="Q95" s="1993"/>
      <c r="R95" s="1981"/>
      <c r="S95" s="1981"/>
      <c r="T95" s="1981"/>
      <c r="U95" s="1981"/>
      <c r="V95" s="1981"/>
      <c r="W95" s="1981"/>
      <c r="X95" s="1981"/>
      <c r="Y95" s="1981"/>
      <c r="Z95" s="1981"/>
      <c r="AA95" s="1981"/>
      <c r="AB95" s="1981"/>
      <c r="AC95" s="1981"/>
    </row>
    <row r="96" spans="1:29" ht="15.75" thickBot="1">
      <c r="A96" s="643"/>
      <c r="B96" s="652"/>
      <c r="C96" s="666"/>
      <c r="D96" s="666"/>
      <c r="E96" s="666"/>
      <c r="F96" s="666"/>
      <c r="G96" s="645"/>
      <c r="H96" s="645"/>
      <c r="I96" s="645"/>
      <c r="J96" s="645"/>
      <c r="K96" s="645"/>
      <c r="L96" s="645"/>
      <c r="M96" s="646"/>
      <c r="N96" s="2001"/>
      <c r="O96" s="2001"/>
      <c r="P96" s="2048"/>
      <c r="Q96" s="1993"/>
      <c r="R96" s="1981"/>
      <c r="S96" s="1981"/>
      <c r="T96" s="1981"/>
      <c r="U96" s="1981"/>
      <c r="V96" s="1981"/>
      <c r="W96" s="1981"/>
      <c r="X96" s="1981"/>
      <c r="Y96" s="1981"/>
      <c r="Z96" s="1981"/>
      <c r="AA96" s="1981"/>
      <c r="AB96" s="1981"/>
      <c r="AC96" s="1981"/>
    </row>
    <row r="97" spans="1:29" ht="15.75" thickTop="1">
      <c r="A97" s="643"/>
      <c r="B97" s="647">
        <f>B31</f>
        <v>111</v>
      </c>
      <c r="C97" s="662"/>
      <c r="D97" s="662"/>
      <c r="E97" s="662"/>
      <c r="F97" s="662"/>
      <c r="G97" s="692"/>
      <c r="H97" s="692"/>
      <c r="I97" s="692"/>
      <c r="J97" s="692"/>
      <c r="K97" s="693"/>
      <c r="L97" s="694"/>
      <c r="M97" s="695"/>
      <c r="N97" s="1999"/>
      <c r="O97" s="1999"/>
      <c r="P97" s="2048"/>
      <c r="Q97" s="1993"/>
      <c r="R97" s="1981"/>
      <c r="S97" s="1981"/>
      <c r="T97" s="1981"/>
      <c r="U97" s="1981"/>
      <c r="V97" s="1981"/>
      <c r="W97" s="1981"/>
      <c r="X97" s="1981"/>
      <c r="Y97" s="1981"/>
      <c r="Z97" s="1981"/>
      <c r="AA97" s="1981"/>
      <c r="AB97" s="1981"/>
      <c r="AC97" s="1981"/>
    </row>
    <row r="98" spans="1:29" ht="15.75" thickBot="1">
      <c r="A98" s="643"/>
      <c r="B98" s="652"/>
      <c r="C98" s="666"/>
      <c r="D98" s="645"/>
      <c r="E98" s="645"/>
      <c r="F98" s="645"/>
      <c r="G98" s="645"/>
      <c r="H98" s="645"/>
      <c r="I98" s="645"/>
      <c r="J98" s="645"/>
      <c r="K98" s="645"/>
      <c r="L98" s="645"/>
      <c r="M98" s="646"/>
      <c r="N98" s="2001"/>
      <c r="O98" s="2001"/>
      <c r="P98" s="2048"/>
      <c r="Q98" s="1993"/>
      <c r="R98" s="1981"/>
      <c r="S98" s="1981"/>
      <c r="T98" s="1981"/>
      <c r="U98" s="1981"/>
      <c r="V98" s="1981"/>
      <c r="W98" s="1981"/>
      <c r="X98" s="1981"/>
      <c r="Y98" s="1981"/>
      <c r="Z98" s="1981"/>
      <c r="AA98" s="1981"/>
      <c r="AB98" s="1981"/>
      <c r="AC98" s="1981"/>
    </row>
    <row r="99" spans="1:29" ht="15.75" thickTop="1">
      <c r="A99" s="643"/>
      <c r="B99" s="655">
        <f>B32</f>
        <v>111</v>
      </c>
      <c r="C99" s="635"/>
      <c r="D99" s="635"/>
      <c r="E99" s="635"/>
      <c r="F99" s="635"/>
      <c r="G99" s="696"/>
      <c r="H99" s="696"/>
      <c r="I99" s="696"/>
      <c r="J99" s="696"/>
      <c r="K99" s="697"/>
      <c r="L99" s="698"/>
      <c r="M99" s="699"/>
      <c r="N99" s="1999"/>
      <c r="O99" s="1999"/>
      <c r="P99" s="2048"/>
      <c r="Q99" s="1993"/>
      <c r="R99" s="1981"/>
      <c r="S99" s="1981"/>
      <c r="T99" s="1981"/>
      <c r="U99" s="1981"/>
      <c r="V99" s="1981"/>
      <c r="W99" s="1981"/>
      <c r="X99" s="1981"/>
      <c r="Y99" s="1981"/>
      <c r="Z99" s="1981"/>
      <c r="AA99" s="1981"/>
      <c r="AB99" s="1981"/>
      <c r="AC99" s="1981"/>
    </row>
    <row r="100" spans="1:29" ht="15.75" thickBot="1">
      <c r="A100" s="864"/>
      <c r="B100" s="673"/>
      <c r="C100" s="674"/>
      <c r="D100" s="674"/>
      <c r="E100" s="674"/>
      <c r="F100" s="674"/>
      <c r="G100" s="700"/>
      <c r="H100" s="700"/>
      <c r="I100" s="700"/>
      <c r="J100" s="700"/>
      <c r="K100" s="700"/>
      <c r="L100" s="700"/>
      <c r="M100" s="701"/>
      <c r="N100" s="2001"/>
      <c r="O100" s="2001"/>
      <c r="P100" s="2048"/>
      <c r="Q100" s="1993"/>
      <c r="R100" s="1981"/>
      <c r="S100" s="1981"/>
      <c r="T100" s="1981"/>
      <c r="U100" s="1981"/>
      <c r="V100" s="1981"/>
      <c r="W100" s="1981"/>
      <c r="X100" s="1981"/>
      <c r="Y100" s="1981"/>
      <c r="Z100" s="1981"/>
      <c r="AA100" s="1981"/>
      <c r="AB100" s="1981"/>
      <c r="AC100" s="1981"/>
    </row>
    <row r="101" spans="1:29">
      <c r="A101" s="638" t="s">
        <v>534</v>
      </c>
      <c r="B101" s="639" t="s">
        <v>729</v>
      </c>
      <c r="C101" s="574"/>
      <c r="D101" s="574"/>
      <c r="E101" s="574"/>
      <c r="F101" s="574"/>
      <c r="G101" s="574"/>
      <c r="H101" s="574"/>
      <c r="I101" s="574"/>
      <c r="J101" s="574"/>
      <c r="K101" s="640"/>
      <c r="L101" s="641"/>
      <c r="M101" s="642"/>
      <c r="N101" s="1999"/>
      <c r="O101" s="1999"/>
      <c r="P101" s="2048"/>
      <c r="Q101" s="1993"/>
      <c r="R101" s="1981"/>
      <c r="S101" s="1981"/>
      <c r="T101" s="1981"/>
      <c r="U101" s="1981"/>
      <c r="V101" s="1981"/>
      <c r="W101" s="1981"/>
      <c r="X101" s="1981"/>
      <c r="Y101" s="1981"/>
      <c r="Z101" s="1981"/>
      <c r="AA101" s="1981"/>
      <c r="AB101" s="1981"/>
      <c r="AC101" s="1981"/>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2"/>
      <c r="B104" s="703"/>
      <c r="C104" s="704"/>
      <c r="D104" s="704"/>
      <c r="E104" s="704"/>
      <c r="F104" s="704"/>
      <c r="G104" s="704"/>
      <c r="H104" s="704"/>
      <c r="I104" s="704"/>
      <c r="J104" s="705"/>
      <c r="K104" s="705"/>
      <c r="L104" s="706"/>
      <c r="M104" s="707"/>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1"/>
      <c r="B105" s="652"/>
      <c r="C105" s="666"/>
      <c r="D105" s="645"/>
      <c r="E105" s="645"/>
      <c r="F105" s="645"/>
      <c r="G105" s="645"/>
      <c r="H105" s="645"/>
      <c r="I105" s="645"/>
      <c r="J105" s="645"/>
      <c r="K105" s="645"/>
      <c r="L105" s="645"/>
      <c r="M105" s="646"/>
      <c r="N105" s="2001"/>
      <c r="O105" s="2001"/>
      <c r="P105" s="2049"/>
      <c r="Q105" s="2004"/>
      <c r="R105" s="2005"/>
      <c r="S105" s="2005"/>
      <c r="T105" s="2005"/>
      <c r="U105" s="2005"/>
      <c r="V105" s="2005"/>
      <c r="W105" s="2005"/>
      <c r="X105" s="2005"/>
      <c r="Y105" s="2005"/>
      <c r="Z105" s="2005"/>
      <c r="AA105" s="2005"/>
      <c r="AB105" s="2005"/>
      <c r="AC105" s="2005"/>
    </row>
    <row r="106" spans="1:29" ht="15" thickTop="1">
      <c r="A106" s="709"/>
      <c r="B106" s="647" t="s">
        <v>731</v>
      </c>
      <c r="C106" s="662"/>
      <c r="D106" s="662"/>
      <c r="E106" s="692"/>
      <c r="F106" s="692"/>
      <c r="G106" s="692"/>
      <c r="H106" s="692"/>
      <c r="I106" s="692"/>
      <c r="J106" s="692"/>
      <c r="K106" s="693"/>
      <c r="L106" s="694"/>
      <c r="M106" s="695"/>
      <c r="N106" s="1999"/>
      <c r="O106" s="1999"/>
      <c r="P106" s="2048"/>
      <c r="Q106" s="1993"/>
      <c r="R106" s="1981"/>
      <c r="S106" s="1981"/>
      <c r="T106" s="1981"/>
      <c r="U106" s="1981"/>
      <c r="V106" s="1981"/>
      <c r="W106" s="1981"/>
      <c r="X106" s="1981"/>
      <c r="Y106" s="1981"/>
      <c r="Z106" s="1981"/>
      <c r="AA106" s="1981"/>
      <c r="AB106" s="1981"/>
      <c r="AC106" s="1981"/>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09"/>
      <c r="B108" s="647" t="s">
        <v>733</v>
      </c>
      <c r="C108" s="662"/>
      <c r="D108" s="662"/>
      <c r="E108" s="662"/>
      <c r="F108" s="692"/>
      <c r="G108" s="692"/>
      <c r="H108" s="692"/>
      <c r="I108" s="692"/>
      <c r="J108" s="692"/>
      <c r="K108" s="693"/>
      <c r="L108" s="694"/>
      <c r="M108" s="695"/>
      <c r="N108" s="1999"/>
      <c r="O108" s="1999"/>
      <c r="P108" s="2048"/>
      <c r="Q108" s="1993"/>
      <c r="R108" s="1981"/>
      <c r="S108" s="1981"/>
      <c r="T108" s="1981"/>
      <c r="U108" s="1981"/>
      <c r="V108" s="1981"/>
      <c r="W108" s="1981"/>
      <c r="X108" s="1981"/>
      <c r="Y108" s="1981"/>
      <c r="Z108" s="1981"/>
      <c r="AA108" s="1981"/>
      <c r="AB108" s="1981"/>
      <c r="AC108" s="1981"/>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9"/>
      <c r="O110" s="1999"/>
      <c r="P110" s="2048"/>
      <c r="Q110" s="1993"/>
      <c r="R110" s="1981"/>
      <c r="S110" s="1981"/>
      <c r="T110" s="1981"/>
      <c r="U110" s="1981"/>
      <c r="V110" s="1981"/>
      <c r="W110" s="1981"/>
      <c r="X110" s="1981"/>
      <c r="Y110" s="1981"/>
      <c r="Z110" s="1981"/>
      <c r="AA110" s="1981"/>
      <c r="AB110" s="1981"/>
      <c r="AC110" s="1981"/>
    </row>
    <row r="111" spans="1:29">
      <c r="A111" s="709"/>
      <c r="B111" s="655"/>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2"/>
      <c r="B113" s="647" t="s">
        <v>768</v>
      </c>
      <c r="C113" s="662"/>
      <c r="D113" s="662"/>
      <c r="E113" s="662"/>
      <c r="F113" s="662"/>
      <c r="G113" s="662"/>
      <c r="H113" s="692"/>
      <c r="I113" s="692"/>
      <c r="J113" s="692"/>
      <c r="K113" s="693"/>
      <c r="L113" s="694"/>
      <c r="M113" s="695"/>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09"/>
      <c r="B115" s="647" t="s">
        <v>735</v>
      </c>
      <c r="C115" s="662"/>
      <c r="D115" s="662"/>
      <c r="E115" s="692"/>
      <c r="F115" s="692"/>
      <c r="G115" s="692"/>
      <c r="H115" s="692"/>
      <c r="I115" s="692"/>
      <c r="J115" s="692"/>
      <c r="K115" s="693"/>
      <c r="L115" s="694"/>
      <c r="M115" s="695"/>
      <c r="N115" s="1999"/>
      <c r="O115" s="1999"/>
      <c r="P115" s="2048"/>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09"/>
      <c r="B117" s="1765" t="s">
        <v>2274</v>
      </c>
      <c r="C117" s="662"/>
      <c r="D117" s="662"/>
      <c r="E117" s="662"/>
      <c r="F117" s="662"/>
      <c r="G117" s="662"/>
      <c r="H117" s="692"/>
      <c r="I117" s="692"/>
      <c r="J117" s="692"/>
      <c r="K117" s="693"/>
      <c r="L117" s="694"/>
      <c r="M117" s="695"/>
      <c r="N117" s="1999"/>
      <c r="O117" s="1999"/>
      <c r="P117" s="2048"/>
      <c r="Q117" s="1993"/>
      <c r="R117" s="1981"/>
      <c r="S117" s="1981"/>
      <c r="T117" s="1981"/>
      <c r="U117" s="1981"/>
      <c r="V117" s="1981"/>
      <c r="W117" s="1981"/>
      <c r="X117" s="1981"/>
      <c r="Y117" s="1981"/>
      <c r="Z117" s="1981"/>
      <c r="AA117" s="1981"/>
      <c r="AB117" s="1981"/>
      <c r="AC117" s="1981"/>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1"/>
      <c r="O118" s="2001"/>
      <c r="P118" s="2048"/>
      <c r="Q118" s="1993"/>
      <c r="R118" s="1981"/>
      <c r="S118" s="1981"/>
      <c r="T118" s="1981"/>
      <c r="U118" s="1981"/>
      <c r="V118" s="1981"/>
      <c r="W118" s="1981"/>
      <c r="X118" s="1981"/>
      <c r="Y118" s="1981"/>
      <c r="Z118" s="1981"/>
      <c r="AA118" s="1981"/>
      <c r="AB118" s="1981"/>
      <c r="AC118" s="1981"/>
    </row>
    <row r="119" spans="1:29" ht="15" thickTop="1">
      <c r="A119" s="709"/>
      <c r="B119" s="888" t="s">
        <v>769</v>
      </c>
      <c r="C119" s="692"/>
      <c r="D119" s="692"/>
      <c r="E119" s="692"/>
      <c r="F119" s="692"/>
      <c r="G119" s="692"/>
      <c r="H119" s="692"/>
      <c r="I119" s="692"/>
      <c r="J119" s="692"/>
      <c r="K119" s="692"/>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2"/>
      <c r="B121" s="647" t="s">
        <v>757</v>
      </c>
      <c r="C121" s="662"/>
      <c r="D121" s="662"/>
      <c r="E121" s="662"/>
      <c r="F121" s="692"/>
      <c r="G121" s="663"/>
      <c r="H121" s="663"/>
      <c r="I121" s="663"/>
      <c r="J121" s="663"/>
      <c r="K121" s="663"/>
      <c r="L121" s="664"/>
      <c r="M121" s="665"/>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1"/>
      <c r="B122" s="644"/>
      <c r="C122" s="666"/>
      <c r="D122" s="666"/>
      <c r="E122" s="666"/>
      <c r="F122" s="666"/>
      <c r="G122" s="666"/>
      <c r="H122" s="666"/>
      <c r="I122" s="666"/>
      <c r="J122" s="666"/>
      <c r="K122" s="666"/>
      <c r="L122" s="666"/>
      <c r="M122" s="666"/>
      <c r="N122" s="2002"/>
      <c r="O122" s="2002"/>
      <c r="P122" s="2049"/>
      <c r="Q122" s="2004"/>
      <c r="R122" s="2005"/>
      <c r="S122" s="2005"/>
      <c r="T122" s="2005"/>
      <c r="U122" s="2005"/>
      <c r="V122" s="2005"/>
      <c r="W122" s="2005"/>
      <c r="X122" s="2005"/>
      <c r="Y122" s="2005"/>
      <c r="Z122" s="2005"/>
      <c r="AA122" s="2005"/>
      <c r="AB122" s="2005"/>
      <c r="AC122" s="2005"/>
    </row>
    <row r="123" spans="1:29" ht="15" thickTop="1">
      <c r="A123" s="709"/>
      <c r="B123" s="647" t="s">
        <v>737</v>
      </c>
      <c r="C123" s="662"/>
      <c r="D123" s="662"/>
      <c r="E123" s="662"/>
      <c r="F123" s="692"/>
      <c r="G123" s="692"/>
      <c r="H123" s="692"/>
      <c r="I123" s="692"/>
      <c r="J123" s="692"/>
      <c r="K123" s="693"/>
      <c r="L123" s="694"/>
      <c r="M123" s="695"/>
      <c r="N123" s="1999"/>
      <c r="O123" s="1999"/>
      <c r="P123" s="2048"/>
      <c r="Q123" s="1993"/>
      <c r="R123" s="1981"/>
      <c r="S123" s="1981"/>
      <c r="T123" s="1981"/>
      <c r="U123" s="1981"/>
      <c r="V123" s="1981"/>
      <c r="W123" s="1981"/>
      <c r="X123" s="1981"/>
      <c r="Y123" s="1981"/>
      <c r="Z123" s="1981"/>
      <c r="AA123" s="1981"/>
      <c r="AB123" s="1981"/>
      <c r="AC123" s="1981"/>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9"/>
      <c r="O125" s="1999"/>
      <c r="P125" s="2049"/>
      <c r="Q125" s="1993"/>
      <c r="R125" s="1981"/>
      <c r="S125" s="1981"/>
      <c r="T125" s="1981"/>
      <c r="U125" s="1981"/>
      <c r="V125" s="1981"/>
      <c r="W125" s="1981"/>
      <c r="X125" s="1981"/>
      <c r="Y125" s="1981"/>
      <c r="Z125" s="1981"/>
      <c r="AA125" s="1981"/>
      <c r="AB125" s="1981"/>
      <c r="AC125" s="1981"/>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2"/>
      <c r="B127" s="647">
        <f>B45</f>
        <v>111</v>
      </c>
      <c r="C127" s="662"/>
      <c r="D127" s="662"/>
      <c r="E127" s="662"/>
      <c r="F127" s="662"/>
      <c r="G127" s="662"/>
      <c r="H127" s="663"/>
      <c r="I127" s="663"/>
      <c r="J127" s="663"/>
      <c r="K127" s="663"/>
      <c r="L127" s="664"/>
      <c r="M127" s="665"/>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1"/>
      <c r="B128" s="652"/>
      <c r="C128" s="666"/>
      <c r="D128" s="645"/>
      <c r="E128" s="645"/>
      <c r="F128" s="645"/>
      <c r="G128" s="666"/>
      <c r="H128" s="667"/>
      <c r="I128" s="667"/>
      <c r="J128" s="667"/>
      <c r="K128" s="667"/>
      <c r="L128" s="667"/>
      <c r="M128" s="668"/>
      <c r="N128" s="2002"/>
      <c r="O128" s="2002"/>
      <c r="P128" s="2049"/>
      <c r="Q128" s="2004"/>
      <c r="R128" s="2005"/>
      <c r="S128" s="2005"/>
      <c r="T128" s="2005"/>
      <c r="U128" s="2005"/>
      <c r="V128" s="2005"/>
      <c r="W128" s="2005"/>
      <c r="X128" s="2005"/>
      <c r="Y128" s="2005"/>
      <c r="Z128" s="2005"/>
      <c r="AA128" s="2005"/>
      <c r="AB128" s="2005"/>
      <c r="AC128" s="2005"/>
    </row>
    <row r="129" spans="1:29" ht="15" thickTop="1">
      <c r="A129" s="709"/>
      <c r="B129" s="647">
        <f>B46</f>
        <v>111</v>
      </c>
      <c r="C129" s="662"/>
      <c r="D129" s="662"/>
      <c r="E129" s="662"/>
      <c r="F129" s="662"/>
      <c r="G129" s="692"/>
      <c r="H129" s="692"/>
      <c r="I129" s="692"/>
      <c r="J129" s="692"/>
      <c r="K129" s="693"/>
      <c r="L129" s="694"/>
      <c r="M129" s="695"/>
      <c r="N129" s="1999"/>
      <c r="O129" s="1999"/>
      <c r="P129" s="2048"/>
      <c r="Q129" s="1993"/>
      <c r="R129" s="1981"/>
      <c r="S129" s="1981"/>
      <c r="T129" s="1981"/>
      <c r="U129" s="1981"/>
      <c r="V129" s="1981"/>
      <c r="W129" s="1981"/>
      <c r="X129" s="1981"/>
      <c r="Y129" s="1981"/>
      <c r="Z129" s="1981"/>
      <c r="AA129" s="1981"/>
      <c r="AB129" s="1981"/>
      <c r="AC129" s="1981"/>
    </row>
    <row r="130" spans="1:29" ht="15.75" thickBot="1">
      <c r="A130" s="643"/>
      <c r="B130" s="652"/>
      <c r="C130" s="666"/>
      <c r="D130" s="666"/>
      <c r="E130" s="666"/>
      <c r="F130" s="666"/>
      <c r="G130" s="645"/>
      <c r="H130" s="645"/>
      <c r="I130" s="645"/>
      <c r="J130" s="645"/>
      <c r="K130" s="645"/>
      <c r="L130" s="645"/>
      <c r="M130" s="646"/>
      <c r="N130" s="2001"/>
      <c r="O130" s="2001"/>
      <c r="P130" s="2048"/>
      <c r="Q130" s="1993"/>
      <c r="R130" s="1981"/>
      <c r="S130" s="1981"/>
      <c r="T130" s="1981"/>
      <c r="U130" s="1981"/>
      <c r="V130" s="1981"/>
      <c r="W130" s="1981"/>
      <c r="X130" s="1981"/>
      <c r="Y130" s="1981"/>
      <c r="Z130" s="1981"/>
      <c r="AA130" s="1981"/>
      <c r="AB130" s="1981"/>
      <c r="AC130" s="1981"/>
    </row>
    <row r="131" spans="1:29" ht="15" thickTop="1">
      <c r="A131" s="709"/>
      <c r="B131" s="655">
        <f>B47</f>
        <v>111</v>
      </c>
      <c r="C131" s="635"/>
      <c r="D131" s="635"/>
      <c r="E131" s="635"/>
      <c r="F131" s="635"/>
      <c r="G131" s="696"/>
      <c r="H131" s="696"/>
      <c r="I131" s="696"/>
      <c r="J131" s="696"/>
      <c r="K131" s="635"/>
      <c r="L131" s="636"/>
      <c r="M131" s="699"/>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3"/>
      <c r="C132" s="674"/>
      <c r="D132" s="674"/>
      <c r="E132" s="674"/>
      <c r="F132" s="674"/>
      <c r="G132" s="700"/>
      <c r="H132" s="700"/>
      <c r="I132" s="700"/>
      <c r="J132" s="700"/>
      <c r="K132" s="700"/>
      <c r="L132" s="700"/>
      <c r="M132" s="701"/>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6" t="s">
        <v>461</v>
      </c>
      <c r="B2" s="821"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5" t="s">
        <v>502</v>
      </c>
      <c r="B3" s="486" t="e">
        <f>C43</f>
        <v>#DIV/0!</v>
      </c>
      <c r="C3" s="823" t="s">
        <v>704</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504</v>
      </c>
      <c r="B4" s="489"/>
      <c r="C4" s="3677" t="s">
        <v>505</v>
      </c>
      <c r="D4" s="3678"/>
      <c r="E4" s="3699" t="s">
        <v>506</v>
      </c>
      <c r="F4" s="3700"/>
      <c r="G4" s="3677" t="s">
        <v>507</v>
      </c>
      <c r="H4" s="3678"/>
      <c r="I4" s="3677" t="s">
        <v>508</v>
      </c>
      <c r="J4" s="3678"/>
      <c r="K4" s="490"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59"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SUMIF(52:52,YEAR(E7)&amp;"-"&amp;MONTH(E7),53:53)</f>
        <v>0</v>
      </c>
      <c r="G7" s="497"/>
      <c r="H7" s="496">
        <f>SUMIF(52:52,YEAR(G7)&amp;"-"&amp;MONTH(G7),53:53)</f>
        <v>0</v>
      </c>
      <c r="I7" s="497"/>
      <c r="J7" s="496">
        <f>SUMIF(52:52,YEAR(I7)&amp;"-"&amp;MONTH(I7),53:53)</f>
        <v>0</v>
      </c>
      <c r="K7" s="500"/>
      <c r="L7" s="1971"/>
      <c r="M7" s="1972"/>
      <c r="N7" s="1972"/>
      <c r="O7" s="1972"/>
      <c r="P7" s="3661"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SUMIF(55:55,E8,56:56)-SUMIF(55:55,C8,56:56)+100</f>
        <v>0</v>
      </c>
      <c r="G8" s="501"/>
      <c r="H8" s="496">
        <f>SUMIF(55:55,G8,56:56)-SUMIF(55:55,C8,56:56)+100</f>
        <v>0</v>
      </c>
      <c r="I8" s="501"/>
      <c r="J8" s="496">
        <f>SUMIF(55:55,I8,56:56)-SUMIF(55:55,C8,56:56)+100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40" si="3">D8/F8</f>
        <v>#DIV/0!</v>
      </c>
      <c r="AB8" s="1461" t="e">
        <f t="shared" ref="AB8:AB40" si="4">D8/H8</f>
        <v>#DIV/0!</v>
      </c>
      <c r="AC8" s="1461" t="e">
        <f t="shared" ref="AC8:AC40" si="5">D8/J8</f>
        <v>#DIV/0!</v>
      </c>
    </row>
    <row r="9" spans="1:29" s="1166" customFormat="1" ht="15">
      <c r="A9" s="2553"/>
      <c r="B9" s="2560" t="s">
        <v>2473</v>
      </c>
      <c r="C9" s="828"/>
      <c r="D9" s="251">
        <v>100</v>
      </c>
      <c r="E9" s="831"/>
      <c r="F9" s="251">
        <f>SUMIF(57:57,E9,58:58)-SUMIF(57:57,C9,58:58)+100</f>
        <v>100</v>
      </c>
      <c r="G9" s="829"/>
      <c r="H9" s="251">
        <f>SUMIF(57:57,G9,58:58)-SUMIF(57:57,C9,58:58)+100</f>
        <v>100</v>
      </c>
      <c r="I9" s="829"/>
      <c r="J9" s="251">
        <f>SUMIF(57:57,I9,58:58)-SUMIF(57:57,C9,58:58)+100</f>
        <v>100</v>
      </c>
      <c r="K9" s="500"/>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SUMIF(59:59,E10,60:60)-SUMIF(59:59,C10,60:60)+100</f>
        <v>100</v>
      </c>
      <c r="G10" s="833"/>
      <c r="H10" s="252">
        <f>SUMIF(59:59,G10,60:60)-SUMIF(59:59,C10,60:60)+100</f>
        <v>100</v>
      </c>
      <c r="I10" s="832"/>
      <c r="J10" s="252">
        <f>SUMIF(59:59,I10,60:60)-SUMIF(59:59,C10,60:60)+100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SUMIF(64:64,E12,65:65)-SUMIF(64:64,C12,65:65)+100</f>
        <v>100</v>
      </c>
      <c r="G12" s="891"/>
      <c r="H12" s="252">
        <f>SUMIF(64:64,G12,65:65)-SUMIF(64:64,C12,65:65)+100</f>
        <v>100</v>
      </c>
      <c r="I12" s="851"/>
      <c r="J12" s="252">
        <f>SUMIF(64:64,I12,65:65)-SUMIF(64:64,C12,65:65)+100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252">
        <f>SUMIF(66:66,E13,67:67)-SUMIF(66:66,C13,67:67)+100</f>
        <v>100</v>
      </c>
      <c r="G13" s="891"/>
      <c r="H13" s="516">
        <f>SUMIF(66:66,G13,67:67)-SUMIF(66:66,C13,67:67)+100</f>
        <v>100</v>
      </c>
      <c r="I13" s="851"/>
      <c r="J13" s="516">
        <f>SUMIF(66:66,I13,67:67)-SUMIF(66:66,C13,67:67)+100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522">
        <f>SUMIF(68:68,E14,69:69)-SUMIF(68:68,C14,69:69)+100</f>
        <v>100</v>
      </c>
      <c r="G14" s="891"/>
      <c r="H14" s="522">
        <f>SUMIF(68:68,G14,69:69)-SUMIF(68:68,C14,69:69)+100</f>
        <v>100</v>
      </c>
      <c r="I14" s="851"/>
      <c r="J14" s="522">
        <f>SUMIF(68:68,I14,69:69)-SUMIF(68:68,C14,69:69)+100</f>
        <v>100</v>
      </c>
      <c r="K14" s="557"/>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8"/>
      <c r="M15" s="1970"/>
      <c r="N15" s="1970"/>
      <c r="O15" s="1977"/>
      <c r="P15" s="3671" t="s">
        <v>523</v>
      </c>
      <c r="Q15" s="1462" t="str">
        <f t="shared" si="6"/>
        <v>产业集聚程度</v>
      </c>
      <c r="R15" s="1463" t="s">
        <v>8</v>
      </c>
      <c r="S15" s="1464">
        <f t="shared" si="0"/>
        <v>100</v>
      </c>
      <c r="T15" s="1463" t="s">
        <v>8</v>
      </c>
      <c r="U15" s="1464">
        <f t="shared" si="1"/>
        <v>100</v>
      </c>
      <c r="V15" s="1463" t="s">
        <v>8</v>
      </c>
      <c r="W15" s="1464">
        <f t="shared" si="2"/>
        <v>100</v>
      </c>
      <c r="X15" s="1457"/>
      <c r="Y15" s="3671" t="s">
        <v>523</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8"/>
      <c r="M17" s="1970"/>
      <c r="N17" s="1970"/>
      <c r="O17" s="1977"/>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9"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8"/>
      <c r="M19" s="1970"/>
      <c r="N19" s="1970"/>
      <c r="O19" s="1977"/>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7"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8"/>
      <c r="M21" s="1970"/>
      <c r="N21" s="1970"/>
      <c r="O21" s="1977"/>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68"/>
      <c r="L22" s="1978"/>
      <c r="M22" s="1970"/>
      <c r="N22" s="1970"/>
      <c r="O22" s="1977"/>
      <c r="P22" s="3672"/>
      <c r="Q22" s="2351"/>
      <c r="R22" s="1463"/>
      <c r="S22" s="1464"/>
      <c r="T22" s="1463"/>
      <c r="U22" s="1464"/>
      <c r="V22" s="1463"/>
      <c r="W22" s="1464"/>
      <c r="X22" s="2353"/>
      <c r="Y22" s="3672"/>
      <c r="Z22" s="2352"/>
      <c r="AA22" s="1466">
        <v>1</v>
      </c>
      <c r="AB22" s="1466">
        <v>1</v>
      </c>
      <c r="AC22" s="1466">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8"/>
      <c r="M23" s="1970"/>
      <c r="N23" s="1970"/>
      <c r="O23" s="1977"/>
      <c r="P23" s="3672"/>
      <c r="Q23" s="1462" t="str">
        <f>B23</f>
        <v>环境质量</v>
      </c>
      <c r="R23" s="1463" t="s">
        <v>8</v>
      </c>
      <c r="S23" s="1464">
        <f>F23</f>
        <v>100</v>
      </c>
      <c r="T23" s="1463" t="s">
        <v>8</v>
      </c>
      <c r="U23" s="1464">
        <f>H23</f>
        <v>100</v>
      </c>
      <c r="V23" s="1463" t="s">
        <v>8</v>
      </c>
      <c r="W23" s="1464">
        <f>J23</f>
        <v>100</v>
      </c>
      <c r="X23" s="1457"/>
      <c r="Y23" s="3672"/>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8"/>
      <c r="M25" s="1970"/>
      <c r="N25" s="1970"/>
      <c r="O25" s="1977"/>
      <c r="P25" s="3672"/>
      <c r="Q25" s="1462">
        <f>B25</f>
        <v>111</v>
      </c>
      <c r="R25" s="1463" t="s">
        <v>8</v>
      </c>
      <c r="S25" s="1464">
        <f>F25</f>
        <v>100</v>
      </c>
      <c r="T25" s="1463" t="s">
        <v>8</v>
      </c>
      <c r="U25" s="1464">
        <f>H25</f>
        <v>100</v>
      </c>
      <c r="V25" s="1463" t="s">
        <v>8</v>
      </c>
      <c r="W25" s="1464">
        <f>J25</f>
        <v>100</v>
      </c>
      <c r="X25" s="1457"/>
      <c r="Y25" s="3672"/>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8"/>
      <c r="M26" s="1970"/>
      <c r="N26" s="1970"/>
      <c r="O26" s="1977"/>
      <c r="P26" s="3672"/>
      <c r="Q26" s="1462">
        <f t="shared" ref="Q26:Q40" si="11">B26</f>
        <v>111</v>
      </c>
      <c r="R26" s="1463" t="s">
        <v>8</v>
      </c>
      <c r="S26" s="1464">
        <f>F26</f>
        <v>100</v>
      </c>
      <c r="T26" s="1463" t="s">
        <v>8</v>
      </c>
      <c r="U26" s="1464">
        <f>H26</f>
        <v>100</v>
      </c>
      <c r="V26" s="1463" t="s">
        <v>8</v>
      </c>
      <c r="W26" s="1464">
        <f>J26</f>
        <v>100</v>
      </c>
      <c r="X26" s="1457"/>
      <c r="Y26" s="3672"/>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1"/>
      <c r="M27" s="1972"/>
      <c r="N27" s="1972"/>
      <c r="O27" s="1973"/>
      <c r="P27" s="3672"/>
      <c r="Q27" s="1097">
        <f t="shared" si="11"/>
        <v>111</v>
      </c>
      <c r="R27" s="1458" t="s">
        <v>8</v>
      </c>
      <c r="S27" s="1459">
        <f>F27</f>
        <v>100</v>
      </c>
      <c r="T27" s="1458" t="s">
        <v>8</v>
      </c>
      <c r="U27" s="1459">
        <f>H27</f>
        <v>100</v>
      </c>
      <c r="V27" s="1458" t="s">
        <v>8</v>
      </c>
      <c r="W27" s="1459">
        <f>J27</f>
        <v>100</v>
      </c>
      <c r="X27" s="1460"/>
      <c r="Y27" s="3672"/>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8"/>
      <c r="M28" s="1970"/>
      <c r="N28" s="1970"/>
      <c r="O28" s="1977"/>
      <c r="P28" s="3672"/>
      <c r="Q28" s="1462">
        <f t="shared" si="11"/>
        <v>111</v>
      </c>
      <c r="R28" s="1463" t="s">
        <v>8</v>
      </c>
      <c r="S28" s="1464">
        <f t="shared" ref="S28:S40" si="12">F28</f>
        <v>100</v>
      </c>
      <c r="T28" s="1463" t="s">
        <v>8</v>
      </c>
      <c r="U28" s="1464">
        <f t="shared" ref="U28:U40" si="13">H28</f>
        <v>100</v>
      </c>
      <c r="V28" s="1463" t="s">
        <v>8</v>
      </c>
      <c r="W28" s="1464">
        <f t="shared" ref="W28:W40" si="14">J28</f>
        <v>100</v>
      </c>
      <c r="X28" s="1457"/>
      <c r="Y28" s="3672"/>
      <c r="Z28" s="1465">
        <f t="shared" ref="Z28:Z40" si="15">Q28</f>
        <v>111</v>
      </c>
      <c r="AA28" s="1466">
        <f t="shared" si="3"/>
        <v>1</v>
      </c>
      <c r="AB28" s="1466">
        <f t="shared" si="4"/>
        <v>1</v>
      </c>
      <c r="AC28" s="1466">
        <f t="shared" si="5"/>
        <v>1</v>
      </c>
    </row>
    <row r="29" spans="1:29" ht="15">
      <c r="A29" s="2546" t="s">
        <v>2472</v>
      </c>
      <c r="B29" s="170" t="s">
        <v>762</v>
      </c>
      <c r="C29" s="887"/>
      <c r="D29" s="573">
        <v>100</v>
      </c>
      <c r="E29" s="887"/>
      <c r="F29" s="551">
        <f>SUMIF(88:88,E29,89:89)-SUMIF(88:88,C29,89:89)+100</f>
        <v>100</v>
      </c>
      <c r="G29" s="887"/>
      <c r="H29" s="516">
        <f>SUMIF(88:88,G29,89:89)-SUMIF(88:88,C29,89:89)+100</f>
        <v>100</v>
      </c>
      <c r="I29" s="887"/>
      <c r="J29" s="573">
        <f>SUMIF(88:88,I29,89:89)-SUMIF(88:88,C29,89:89)+100</f>
        <v>100</v>
      </c>
      <c r="K29" s="560"/>
      <c r="L29" s="1978"/>
      <c r="M29" s="1970"/>
      <c r="N29" s="1970"/>
      <c r="O29" s="1977"/>
      <c r="P29" s="3673" t="s">
        <v>533</v>
      </c>
      <c r="Q29" s="1462" t="str">
        <f t="shared" si="11"/>
        <v>建筑类型</v>
      </c>
      <c r="R29" s="1463" t="s">
        <v>8</v>
      </c>
      <c r="S29" s="1464">
        <f t="shared" si="12"/>
        <v>100</v>
      </c>
      <c r="T29" s="1463" t="s">
        <v>8</v>
      </c>
      <c r="U29" s="1464">
        <f t="shared" si="13"/>
        <v>100</v>
      </c>
      <c r="V29" s="1463" t="s">
        <v>8</v>
      </c>
      <c r="W29" s="1464">
        <f t="shared" si="14"/>
        <v>100</v>
      </c>
      <c r="X29" s="1457"/>
      <c r="Y29" s="3674" t="s">
        <v>533</v>
      </c>
      <c r="Z29" s="1465" t="str">
        <f t="shared" si="15"/>
        <v>建筑类型</v>
      </c>
      <c r="AA29" s="1466">
        <f t="shared" si="3"/>
        <v>1</v>
      </c>
      <c r="AB29" s="1466">
        <f t="shared" si="4"/>
        <v>1</v>
      </c>
      <c r="AC29" s="1466">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6"/>
      <c r="M30" s="2006"/>
      <c r="N30" s="2006"/>
      <c r="O30" s="1979"/>
      <c r="P30" s="3674"/>
      <c r="Q30" s="1491" t="str">
        <f t="shared" si="11"/>
        <v>项目建筑规模</v>
      </c>
      <c r="R30" s="1467" t="s">
        <v>8</v>
      </c>
      <c r="S30" s="1468" t="e">
        <f t="shared" si="12"/>
        <v>#N/A</v>
      </c>
      <c r="T30" s="1467" t="s">
        <v>8</v>
      </c>
      <c r="U30" s="1468" t="e">
        <f t="shared" si="13"/>
        <v>#N/A</v>
      </c>
      <c r="V30" s="1467" t="s">
        <v>8</v>
      </c>
      <c r="W30" s="1468" t="e">
        <f t="shared" si="14"/>
        <v>#N/A</v>
      </c>
      <c r="X30" s="1469"/>
      <c r="Y30" s="3674"/>
      <c r="Z30" s="1470" t="str">
        <f t="shared" si="15"/>
        <v>项目建筑规模</v>
      </c>
      <c r="AA30" s="1466" t="e">
        <f t="shared" si="3"/>
        <v>#N/A</v>
      </c>
      <c r="AB30" s="1466" t="e">
        <f t="shared" si="4"/>
        <v>#N/A</v>
      </c>
      <c r="AC30" s="1466"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8"/>
      <c r="M31" s="1970"/>
      <c r="N31" s="1970"/>
      <c r="O31" s="1977"/>
      <c r="P31" s="3674"/>
      <c r="Q31" s="1462" t="str">
        <f t="shared" si="11"/>
        <v>建筑结构</v>
      </c>
      <c r="R31" s="1463" t="s">
        <v>8</v>
      </c>
      <c r="S31" s="1464">
        <f t="shared" si="12"/>
        <v>100</v>
      </c>
      <c r="T31" s="1463" t="s">
        <v>8</v>
      </c>
      <c r="U31" s="1464">
        <f t="shared" si="13"/>
        <v>100</v>
      </c>
      <c r="V31" s="1463" t="s">
        <v>8</v>
      </c>
      <c r="W31" s="1464">
        <f t="shared" si="14"/>
        <v>100</v>
      </c>
      <c r="X31" s="1457"/>
      <c r="Y31" s="3674"/>
      <c r="Z31" s="1465" t="str">
        <f t="shared" si="15"/>
        <v>建筑结构</v>
      </c>
      <c r="AA31" s="1466">
        <f t="shared" si="3"/>
        <v>1</v>
      </c>
      <c r="AB31" s="1466">
        <f t="shared" si="4"/>
        <v>1</v>
      </c>
      <c r="AC31" s="1466">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8"/>
      <c r="M32" s="1970"/>
      <c r="N32" s="1970"/>
      <c r="O32" s="1977"/>
      <c r="P32" s="3674"/>
      <c r="Q32" s="1462" t="str">
        <f t="shared" si="11"/>
        <v>公共部分装修</v>
      </c>
      <c r="R32" s="1463" t="s">
        <v>8</v>
      </c>
      <c r="S32" s="1464">
        <f t="shared" si="12"/>
        <v>100</v>
      </c>
      <c r="T32" s="1463" t="s">
        <v>8</v>
      </c>
      <c r="U32" s="1464">
        <f t="shared" si="13"/>
        <v>100</v>
      </c>
      <c r="V32" s="1463" t="s">
        <v>8</v>
      </c>
      <c r="W32" s="1464">
        <f t="shared" si="14"/>
        <v>100</v>
      </c>
      <c r="X32" s="1457"/>
      <c r="Y32" s="3674"/>
      <c r="Z32" s="1465" t="str">
        <f t="shared" si="15"/>
        <v>公共部分装修</v>
      </c>
      <c r="AA32" s="1466">
        <f t="shared" si="3"/>
        <v>1</v>
      </c>
      <c r="AB32" s="1466">
        <f t="shared" si="4"/>
        <v>1</v>
      </c>
      <c r="AC32" s="1466">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8"/>
      <c r="M33" s="1970"/>
      <c r="N33" s="1970"/>
      <c r="O33" s="1977"/>
      <c r="P33" s="3674"/>
      <c r="Q33" s="1462" t="str">
        <f t="shared" si="11"/>
        <v>成新度</v>
      </c>
      <c r="R33" s="1463" t="s">
        <v>8</v>
      </c>
      <c r="S33" s="1464" t="e">
        <f t="shared" si="12"/>
        <v>#N/A</v>
      </c>
      <c r="T33" s="1463" t="s">
        <v>8</v>
      </c>
      <c r="U33" s="1464" t="e">
        <f t="shared" si="13"/>
        <v>#N/A</v>
      </c>
      <c r="V33" s="1463" t="s">
        <v>8</v>
      </c>
      <c r="W33" s="1464" t="e">
        <f t="shared" si="14"/>
        <v>#N/A</v>
      </c>
      <c r="X33" s="1457"/>
      <c r="Y33" s="3674"/>
      <c r="Z33" s="1465" t="str">
        <f t="shared" si="15"/>
        <v>成新度</v>
      </c>
      <c r="AA33" s="1466" t="e">
        <f t="shared" si="3"/>
        <v>#N/A</v>
      </c>
      <c r="AB33" s="1466" t="e">
        <f t="shared" si="4"/>
        <v>#N/A</v>
      </c>
      <c r="AC33" s="1466"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1"/>
      <c r="M34" s="1972"/>
      <c r="N34" s="1972"/>
      <c r="O34" s="1973"/>
      <c r="P34" s="3674"/>
      <c r="Q34" s="1097" t="str">
        <f t="shared" si="11"/>
        <v>物业管理</v>
      </c>
      <c r="R34" s="1458" t="s">
        <v>8</v>
      </c>
      <c r="S34" s="1459">
        <f t="shared" si="12"/>
        <v>100</v>
      </c>
      <c r="T34" s="1458" t="s">
        <v>8</v>
      </c>
      <c r="U34" s="1459">
        <f t="shared" si="13"/>
        <v>100</v>
      </c>
      <c r="V34" s="1458" t="s">
        <v>8</v>
      </c>
      <c r="W34" s="1459">
        <f t="shared" si="14"/>
        <v>100</v>
      </c>
      <c r="X34" s="1460"/>
      <c r="Y34" s="3674"/>
      <c r="Z34" s="1096" t="str">
        <f t="shared" si="15"/>
        <v>物业管理</v>
      </c>
      <c r="AA34" s="1461">
        <f t="shared" si="3"/>
        <v>1</v>
      </c>
      <c r="AB34" s="1461">
        <f t="shared" si="4"/>
        <v>1</v>
      </c>
      <c r="AC34" s="1461">
        <f t="shared" si="5"/>
        <v>1</v>
      </c>
    </row>
    <row r="35" spans="1:29" ht="15">
      <c r="A35" s="570"/>
      <c r="B35" s="1764"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8"/>
      <c r="M35" s="1970"/>
      <c r="N35" s="1970"/>
      <c r="O35" s="1977"/>
      <c r="P35" s="3674" t="s">
        <v>533</v>
      </c>
      <c r="Q35" s="1462" t="str">
        <f t="shared" si="11"/>
        <v>市政基础设施</v>
      </c>
      <c r="R35" s="1463" t="s">
        <v>8</v>
      </c>
      <c r="S35" s="1464">
        <f t="shared" si="12"/>
        <v>100</v>
      </c>
      <c r="T35" s="1463" t="s">
        <v>8</v>
      </c>
      <c r="U35" s="1464">
        <f t="shared" si="13"/>
        <v>100</v>
      </c>
      <c r="V35" s="1463" t="s">
        <v>8</v>
      </c>
      <c r="W35" s="1464">
        <f t="shared" si="14"/>
        <v>100</v>
      </c>
      <c r="X35" s="1457"/>
      <c r="Y35" s="3674" t="s">
        <v>533</v>
      </c>
      <c r="Z35" s="1465" t="str">
        <f t="shared" si="15"/>
        <v>市政基础设施</v>
      </c>
      <c r="AA35" s="1466">
        <f t="shared" si="3"/>
        <v>1</v>
      </c>
      <c r="AB35" s="1466">
        <f t="shared" si="4"/>
        <v>1</v>
      </c>
      <c r="AC35" s="1466">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8"/>
      <c r="M36" s="1970"/>
      <c r="N36" s="1970"/>
      <c r="O36" s="1977"/>
      <c r="P36" s="3674"/>
      <c r="Q36" s="1462" t="str">
        <f t="shared" si="11"/>
        <v>内部装修</v>
      </c>
      <c r="R36" s="1463" t="s">
        <v>8</v>
      </c>
      <c r="S36" s="1464">
        <f t="shared" si="12"/>
        <v>100</v>
      </c>
      <c r="T36" s="1463" t="s">
        <v>8</v>
      </c>
      <c r="U36" s="1464">
        <f t="shared" si="13"/>
        <v>100</v>
      </c>
      <c r="V36" s="1463" t="s">
        <v>8</v>
      </c>
      <c r="W36" s="1464">
        <f t="shared" si="14"/>
        <v>100</v>
      </c>
      <c r="X36" s="1457"/>
      <c r="Y36" s="3674"/>
      <c r="Z36" s="1465" t="str">
        <f t="shared" si="15"/>
        <v>内部装修</v>
      </c>
      <c r="AA36" s="1466">
        <f t="shared" si="3"/>
        <v>1</v>
      </c>
      <c r="AB36" s="1466">
        <f t="shared" si="4"/>
        <v>1</v>
      </c>
      <c r="AC36" s="1466">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8"/>
      <c r="M37" s="1970"/>
      <c r="N37" s="1970"/>
      <c r="O37" s="1977"/>
      <c r="P37" s="3674"/>
      <c r="Q37" s="1462" t="str">
        <f t="shared" si="11"/>
        <v>内部装修状况</v>
      </c>
      <c r="R37" s="1463" t="s">
        <v>8</v>
      </c>
      <c r="S37" s="1464">
        <f t="shared" si="12"/>
        <v>100</v>
      </c>
      <c r="T37" s="1463" t="s">
        <v>8</v>
      </c>
      <c r="U37" s="1464">
        <f t="shared" si="13"/>
        <v>100</v>
      </c>
      <c r="V37" s="1463" t="s">
        <v>8</v>
      </c>
      <c r="W37" s="1464">
        <f t="shared" si="14"/>
        <v>100</v>
      </c>
      <c r="X37" s="1457"/>
      <c r="Y37" s="3674"/>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6"/>
      <c r="M38" s="2006"/>
      <c r="N38" s="2006"/>
      <c r="O38" s="1979"/>
      <c r="P38" s="3674"/>
      <c r="Q38" s="1491">
        <f t="shared" si="11"/>
        <v>111</v>
      </c>
      <c r="R38" s="1467" t="s">
        <v>8</v>
      </c>
      <c r="S38" s="1468">
        <f t="shared" si="12"/>
        <v>100</v>
      </c>
      <c r="T38" s="1467" t="s">
        <v>8</v>
      </c>
      <c r="U38" s="1468">
        <f t="shared" si="13"/>
        <v>100</v>
      </c>
      <c r="V38" s="1467" t="s">
        <v>8</v>
      </c>
      <c r="W38" s="1468">
        <f t="shared" si="14"/>
        <v>100</v>
      </c>
      <c r="X38" s="1469"/>
      <c r="Y38" s="3674"/>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8"/>
      <c r="M39" s="1970"/>
      <c r="N39" s="1970"/>
      <c r="O39" s="1977"/>
      <c r="P39" s="3674"/>
      <c r="Q39" s="1462">
        <f t="shared" si="11"/>
        <v>111</v>
      </c>
      <c r="R39" s="1463" t="s">
        <v>8</v>
      </c>
      <c r="S39" s="1464">
        <f t="shared" si="12"/>
        <v>100</v>
      </c>
      <c r="T39" s="1463" t="s">
        <v>8</v>
      </c>
      <c r="U39" s="1464">
        <f t="shared" si="13"/>
        <v>100</v>
      </c>
      <c r="V39" s="1463" t="s">
        <v>8</v>
      </c>
      <c r="W39" s="1464">
        <f t="shared" si="14"/>
        <v>100</v>
      </c>
      <c r="X39" s="1457"/>
      <c r="Y39" s="3674"/>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8"/>
      <c r="M40" s="1970"/>
      <c r="N40" s="1970"/>
      <c r="O40" s="1977"/>
      <c r="P40" s="3784"/>
      <c r="Q40" s="1462">
        <f t="shared" si="11"/>
        <v>111</v>
      </c>
      <c r="R40" s="1463" t="s">
        <v>8</v>
      </c>
      <c r="S40" s="1464">
        <f t="shared" si="12"/>
        <v>100</v>
      </c>
      <c r="T40" s="1463" t="s">
        <v>8</v>
      </c>
      <c r="U40" s="1464">
        <f t="shared" si="13"/>
        <v>100</v>
      </c>
      <c r="V40" s="1463" t="s">
        <v>8</v>
      </c>
      <c r="W40" s="1464">
        <f t="shared" si="14"/>
        <v>100</v>
      </c>
      <c r="X40" s="1457"/>
      <c r="Y40" s="3784"/>
      <c r="Z40" s="1465">
        <f t="shared" si="15"/>
        <v>111</v>
      </c>
      <c r="AA40" s="1466">
        <f t="shared" si="3"/>
        <v>1</v>
      </c>
      <c r="AB40" s="1466">
        <f t="shared" si="4"/>
        <v>1</v>
      </c>
      <c r="AC40" s="1466">
        <f t="shared" si="5"/>
        <v>1</v>
      </c>
    </row>
    <row r="41" spans="1:29" ht="15">
      <c r="A41" s="583" t="s">
        <v>718</v>
      </c>
      <c r="B41" s="858"/>
      <c r="C41" s="2392" t="s">
        <v>1</v>
      </c>
      <c r="D41" s="2393"/>
      <c r="E41" s="2394"/>
      <c r="F41" s="2395"/>
      <c r="G41" s="2396"/>
      <c r="H41" s="2397"/>
      <c r="I41" s="2394"/>
      <c r="J41" s="2397"/>
      <c r="K41" s="1496"/>
      <c r="L41" s="1980"/>
      <c r="M41" s="1981"/>
      <c r="N41" s="1970"/>
      <c r="O41" s="1981"/>
      <c r="P41" s="3669" t="str">
        <f>A41</f>
        <v>成交单价（元/平方米）</v>
      </c>
      <c r="Q41" s="3669"/>
      <c r="R41" s="3783">
        <f>E41</f>
        <v>0</v>
      </c>
      <c r="S41" s="3783"/>
      <c r="T41" s="3783">
        <f>G41</f>
        <v>0</v>
      </c>
      <c r="U41" s="3783"/>
      <c r="V41" s="3783">
        <f>I41</f>
        <v>0</v>
      </c>
      <c r="W41" s="3783"/>
      <c r="X41" s="1452"/>
      <c r="Y41" s="1471"/>
      <c r="Z41" s="1452"/>
      <c r="AA41" s="1452"/>
      <c r="AB41" s="1452"/>
      <c r="AC41" s="1452"/>
    </row>
    <row r="42" spans="1:29" ht="15.75" thickBot="1">
      <c r="A42" s="591"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69" t="str">
        <f>A42</f>
        <v>比较价格（元/平方米）</v>
      </c>
      <c r="Q42" s="3669"/>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452"/>
      <c r="Y42" s="1452"/>
      <c r="Z42" s="1452"/>
      <c r="AA42" s="1452"/>
      <c r="AB42" s="1452"/>
      <c r="AC42" s="1452"/>
    </row>
    <row r="43" spans="1:29" ht="15.75" thickBot="1">
      <c r="A43" s="595" t="s">
        <v>2637</v>
      </c>
      <c r="B43" s="596"/>
      <c r="C43" s="2400" t="e">
        <f>R43</f>
        <v>#DIV/0!</v>
      </c>
      <c r="D43" s="2400"/>
      <c r="E43" s="2400"/>
      <c r="F43" s="2400"/>
      <c r="G43" s="2400"/>
      <c r="H43" s="2400"/>
      <c r="I43" s="2400"/>
      <c r="J43" s="2400"/>
      <c r="K43" s="1497"/>
      <c r="L43" s="1980"/>
      <c r="M43" s="1981"/>
      <c r="N43" s="1981"/>
      <c r="O43" s="1981"/>
      <c r="P43" s="3675" t="str">
        <f>A43</f>
        <v>估价对象XX用房的比较价格（楼面单价，元/平方米）</v>
      </c>
      <c r="Q43" s="3676"/>
      <c r="R43" s="3782" t="e">
        <f>IF(F1="售价",ROUND(IF(D42="简单平均",AVERAGE(R42:V42),R42*F42+T42*H42+V42*J42),0),ROUND(IF(D42="简单平均",AVERAGE(R42:V42),R42*F42+T42*H42+V42*J42),1))</f>
        <v>#DIV/0!</v>
      </c>
      <c r="S43" s="3782"/>
      <c r="T43" s="3782"/>
      <c r="U43" s="3782"/>
      <c r="V43" s="3782"/>
      <c r="W43" s="3782"/>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19" t="s">
        <v>512</v>
      </c>
      <c r="B52" s="620"/>
      <c r="C52" s="2441" t="str">
        <f>YEAR(C7)&amp;"-"&amp;MONTH(C7)</f>
        <v>2022-9</v>
      </c>
      <c r="D52" s="2443">
        <f>EDATE(C52,-1)</f>
        <v>44774</v>
      </c>
      <c r="E52" s="2443">
        <f t="shared" ref="E52:O52" si="16">EDATE(D52,-1)</f>
        <v>44743</v>
      </c>
      <c r="F52" s="2443">
        <f t="shared" si="16"/>
        <v>44713</v>
      </c>
      <c r="G52" s="2443">
        <f t="shared" si="16"/>
        <v>44682</v>
      </c>
      <c r="H52" s="2443">
        <f t="shared" si="16"/>
        <v>44652</v>
      </c>
      <c r="I52" s="2443">
        <f t="shared" si="16"/>
        <v>44621</v>
      </c>
      <c r="J52" s="2443">
        <f t="shared" si="16"/>
        <v>44593</v>
      </c>
      <c r="K52" s="2443">
        <f t="shared" si="16"/>
        <v>44562</v>
      </c>
      <c r="L52" s="2443">
        <f t="shared" si="16"/>
        <v>44531</v>
      </c>
      <c r="M52" s="2443">
        <f t="shared" si="16"/>
        <v>44501</v>
      </c>
      <c r="N52" s="2443">
        <f t="shared" si="16"/>
        <v>44470</v>
      </c>
      <c r="O52" s="2443">
        <f t="shared" si="16"/>
        <v>44440</v>
      </c>
      <c r="P52" s="1995"/>
      <c r="Q52" s="1996"/>
      <c r="R52" s="1996"/>
      <c r="S52" s="1996"/>
      <c r="T52" s="1996"/>
      <c r="U52" s="1996"/>
      <c r="V52" s="1996"/>
      <c r="W52" s="1996"/>
      <c r="X52" s="1996"/>
      <c r="Y52" s="1996"/>
      <c r="Z52" s="1996"/>
      <c r="AA52" s="1996"/>
      <c r="AB52" s="1996"/>
      <c r="AC52" s="1996"/>
    </row>
    <row r="53" spans="1:29" s="1166" customFormat="1" ht="15">
      <c r="A53" s="621"/>
      <c r="B53" s="622"/>
      <c r="C53" s="623">
        <v>100</v>
      </c>
      <c r="D53" s="624"/>
      <c r="E53" s="624"/>
      <c r="F53" s="624"/>
      <c r="G53" s="624"/>
      <c r="H53" s="624"/>
      <c r="I53" s="624"/>
      <c r="J53" s="624"/>
      <c r="K53" s="624"/>
      <c r="L53" s="624"/>
      <c r="M53" s="625"/>
      <c r="N53" s="624"/>
      <c r="O53" s="626"/>
      <c r="P53" s="1993"/>
      <c r="Q53" s="1859"/>
      <c r="R53" s="1859"/>
      <c r="S53" s="1859"/>
      <c r="T53" s="1859"/>
      <c r="U53" s="1859"/>
      <c r="V53" s="1859"/>
      <c r="W53" s="1859"/>
      <c r="X53" s="1859"/>
      <c r="Y53" s="1859"/>
      <c r="Z53" s="1859"/>
      <c r="AA53" s="1859"/>
      <c r="AB53" s="1859"/>
      <c r="AC53" s="1859"/>
    </row>
    <row r="54" spans="1:29" s="1166" customFormat="1" ht="15.75" thickBot="1">
      <c r="A54" s="627" t="s">
        <v>557</v>
      </c>
      <c r="B54" s="628"/>
      <c r="C54" s="629"/>
      <c r="D54" s="630"/>
      <c r="E54" s="630"/>
      <c r="F54" s="630"/>
      <c r="G54" s="630"/>
      <c r="H54" s="630"/>
      <c r="I54" s="630"/>
      <c r="J54" s="630"/>
      <c r="K54" s="630"/>
      <c r="L54" s="630"/>
      <c r="M54" s="631"/>
      <c r="N54" s="630"/>
      <c r="O54" s="632"/>
      <c r="P54" s="1993"/>
      <c r="Q54" s="1993"/>
      <c r="R54" s="1859"/>
      <c r="S54" s="1859"/>
      <c r="T54" s="1859"/>
      <c r="U54" s="1859"/>
      <c r="V54" s="1859"/>
      <c r="W54" s="1859"/>
      <c r="X54" s="1859"/>
      <c r="Y54" s="1859"/>
      <c r="Z54" s="1859"/>
      <c r="AA54" s="1859"/>
      <c r="AB54" s="1859"/>
      <c r="AC54" s="1859"/>
    </row>
    <row r="55" spans="1:29" s="1166" customFormat="1" ht="15">
      <c r="A55" s="633" t="s">
        <v>514</v>
      </c>
      <c r="B55" s="622"/>
      <c r="C55" s="634" t="s">
        <v>558</v>
      </c>
      <c r="D55" s="635"/>
      <c r="E55" s="635"/>
      <c r="F55" s="635"/>
      <c r="G55" s="635"/>
      <c r="H55" s="635"/>
      <c r="I55" s="635"/>
      <c r="J55" s="635"/>
      <c r="K55" s="635"/>
      <c r="L55" s="636"/>
      <c r="M55" s="637"/>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3"/>
      <c r="B56" s="622"/>
      <c r="C56" s="623">
        <v>100</v>
      </c>
      <c r="D56" s="624"/>
      <c r="E56" s="624"/>
      <c r="F56" s="624"/>
      <c r="G56" s="624"/>
      <c r="H56" s="624"/>
      <c r="I56" s="624"/>
      <c r="J56" s="624"/>
      <c r="K56" s="624"/>
      <c r="L56" s="624"/>
      <c r="M56" s="626"/>
      <c r="N56" s="1997"/>
      <c r="O56" s="1997"/>
      <c r="P56" s="1993"/>
      <c r="Q56" s="1993"/>
      <c r="R56" s="1859"/>
      <c r="S56" s="1859"/>
      <c r="T56" s="1859"/>
      <c r="U56" s="1859"/>
      <c r="V56" s="1859"/>
      <c r="W56" s="1859"/>
      <c r="X56" s="1859"/>
      <c r="Y56" s="1859"/>
      <c r="Z56" s="1859"/>
      <c r="AA56" s="1859"/>
      <c r="AB56" s="1859"/>
      <c r="AC56" s="1859"/>
    </row>
    <row r="57" spans="1:29">
      <c r="A57" s="638" t="s">
        <v>559</v>
      </c>
      <c r="B57" s="639" t="s">
        <v>517</v>
      </c>
      <c r="C57" s="678">
        <f>C9</f>
        <v>0</v>
      </c>
      <c r="D57" s="574"/>
      <c r="E57" s="574"/>
      <c r="F57" s="574"/>
      <c r="G57" s="574"/>
      <c r="H57" s="574"/>
      <c r="I57" s="574"/>
      <c r="J57" s="574"/>
      <c r="K57" s="640"/>
      <c r="L57" s="641"/>
      <c r="M57" s="642"/>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45"/>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9"/>
      <c r="O59" s="1999"/>
      <c r="P59" s="2000"/>
      <c r="Q59" s="1993"/>
      <c r="R59" s="1981"/>
      <c r="S59" s="1981"/>
      <c r="T59" s="1981"/>
      <c r="U59" s="1981"/>
      <c r="V59" s="1981"/>
      <c r="W59" s="1981"/>
      <c r="X59" s="1981"/>
      <c r="Y59" s="1981"/>
      <c r="Z59" s="1981"/>
      <c r="AA59" s="1981"/>
      <c r="AB59" s="1981"/>
      <c r="AC59" s="1981"/>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1"/>
      <c r="O60" s="2001"/>
      <c r="P60" s="2000"/>
      <c r="Q60" s="1993"/>
      <c r="R60" s="1981"/>
      <c r="S60" s="1981"/>
      <c r="T60" s="1981"/>
      <c r="U60" s="1981"/>
      <c r="V60" s="1981"/>
      <c r="W60" s="1981"/>
      <c r="X60" s="1981"/>
      <c r="Y60" s="1981"/>
      <c r="Z60" s="1981"/>
      <c r="AA60" s="1981"/>
      <c r="AB60" s="1981"/>
      <c r="AC60" s="1981"/>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3"/>
      <c r="B62" s="657"/>
      <c r="C62" s="517"/>
      <c r="D62" s="517"/>
      <c r="E62" s="517"/>
      <c r="F62" s="517"/>
      <c r="G62" s="517"/>
      <c r="H62" s="517"/>
      <c r="I62" s="517"/>
      <c r="J62" s="517"/>
      <c r="K62" s="658"/>
      <c r="L62" s="659"/>
      <c r="M62" s="660"/>
      <c r="N62" s="1999"/>
      <c r="O62" s="1999"/>
      <c r="P62" s="2000"/>
      <c r="Q62" s="1993"/>
      <c r="R62" s="1981"/>
      <c r="S62" s="1981"/>
      <c r="T62" s="1981"/>
      <c r="U62" s="1981"/>
      <c r="V62" s="1981"/>
      <c r="W62" s="1981"/>
      <c r="X62" s="1981"/>
      <c r="Y62" s="1981"/>
      <c r="Z62" s="1981"/>
      <c r="AA62" s="1981"/>
      <c r="AB62" s="1981"/>
      <c r="AC62" s="1981"/>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1"/>
      <c r="B64" s="647">
        <f>B12</f>
        <v>111</v>
      </c>
      <c r="C64" s="662"/>
      <c r="D64" s="662"/>
      <c r="E64" s="662"/>
      <c r="F64" s="662"/>
      <c r="G64" s="662"/>
      <c r="H64" s="663"/>
      <c r="I64" s="663"/>
      <c r="J64" s="663"/>
      <c r="K64" s="663"/>
      <c r="L64" s="664"/>
      <c r="M64" s="665"/>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1"/>
      <c r="B65" s="652"/>
      <c r="C65" s="666"/>
      <c r="D65" s="645"/>
      <c r="E65" s="645"/>
      <c r="F65" s="645"/>
      <c r="G65" s="645"/>
      <c r="H65" s="645"/>
      <c r="I65" s="645"/>
      <c r="J65" s="645"/>
      <c r="K65" s="645"/>
      <c r="L65" s="645"/>
      <c r="M65" s="646"/>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1"/>
      <c r="B66" s="647">
        <f>B13</f>
        <v>111</v>
      </c>
      <c r="C66" s="662"/>
      <c r="D66" s="662"/>
      <c r="E66" s="662"/>
      <c r="F66" s="662"/>
      <c r="G66" s="662"/>
      <c r="H66" s="663"/>
      <c r="I66" s="663"/>
      <c r="J66" s="663"/>
      <c r="K66" s="663"/>
      <c r="L66" s="664"/>
      <c r="M66" s="665"/>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1"/>
      <c r="B67" s="652"/>
      <c r="C67" s="666"/>
      <c r="D67" s="645"/>
      <c r="E67" s="645"/>
      <c r="F67" s="645"/>
      <c r="G67" s="666"/>
      <c r="H67" s="667"/>
      <c r="I67" s="667"/>
      <c r="J67" s="667"/>
      <c r="K67" s="667"/>
      <c r="L67" s="667"/>
      <c r="M67" s="668"/>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1"/>
      <c r="B68" s="655">
        <f>B14</f>
        <v>111</v>
      </c>
      <c r="C68" s="635"/>
      <c r="D68" s="635"/>
      <c r="E68" s="635"/>
      <c r="F68" s="635"/>
      <c r="G68" s="635"/>
      <c r="H68" s="669"/>
      <c r="I68" s="669"/>
      <c r="J68" s="669"/>
      <c r="K68" s="669"/>
      <c r="L68" s="670"/>
      <c r="M68" s="671"/>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2"/>
      <c r="B69" s="673"/>
      <c r="C69" s="674"/>
      <c r="D69" s="674"/>
      <c r="E69" s="674"/>
      <c r="F69" s="674"/>
      <c r="G69" s="674"/>
      <c r="H69" s="675"/>
      <c r="I69" s="675"/>
      <c r="J69" s="675"/>
      <c r="K69" s="675"/>
      <c r="L69" s="675"/>
      <c r="M69" s="676"/>
      <c r="N69" s="2002"/>
      <c r="O69" s="2002"/>
      <c r="P69" s="2003"/>
      <c r="Q69" s="2004"/>
      <c r="R69" s="2005"/>
      <c r="S69" s="2005"/>
      <c r="T69" s="2005"/>
      <c r="U69" s="2005"/>
      <c r="V69" s="2005"/>
      <c r="W69" s="2005"/>
      <c r="X69" s="2005"/>
      <c r="Y69" s="2005"/>
      <c r="Z69" s="2005"/>
      <c r="AA69" s="2005"/>
      <c r="AB69" s="2005"/>
      <c r="AC69" s="2005"/>
    </row>
    <row r="70" spans="1:29">
      <c r="A70" s="638" t="s">
        <v>522</v>
      </c>
      <c r="B70" s="639" t="s">
        <v>567</v>
      </c>
      <c r="C70" s="677" t="s">
        <v>561</v>
      </c>
      <c r="D70" s="677" t="s">
        <v>562</v>
      </c>
      <c r="E70" s="677" t="s">
        <v>563</v>
      </c>
      <c r="F70" s="677" t="s">
        <v>564</v>
      </c>
      <c r="G70" s="677" t="s">
        <v>565</v>
      </c>
      <c r="H70" s="678"/>
      <c r="I70" s="678"/>
      <c r="J70" s="678"/>
      <c r="K70" s="679"/>
      <c r="L70" s="680"/>
      <c r="M70" s="681"/>
      <c r="N70" s="1999"/>
      <c r="O70" s="1999"/>
      <c r="P70" s="2009"/>
      <c r="Q70" s="1993"/>
      <c r="R70" s="1981"/>
      <c r="S70" s="1981"/>
      <c r="T70" s="1981"/>
      <c r="U70" s="1981"/>
      <c r="V70" s="1981"/>
      <c r="W70" s="1981"/>
      <c r="X70" s="1981"/>
      <c r="Y70" s="1981"/>
      <c r="Z70" s="1981"/>
      <c r="AA70" s="1981"/>
      <c r="AB70" s="1981"/>
      <c r="AC70" s="1981"/>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1"/>
      <c r="O71" s="2001"/>
      <c r="P71" s="2000"/>
      <c r="Q71" s="1993"/>
      <c r="R71" s="1981"/>
      <c r="S71" s="1981"/>
      <c r="T71" s="1981"/>
      <c r="U71" s="1981"/>
      <c r="V71" s="1981"/>
      <c r="W71" s="1981"/>
      <c r="X71" s="1981"/>
      <c r="Y71" s="1981"/>
      <c r="Z71" s="1981"/>
      <c r="AA71" s="1981"/>
      <c r="AB71" s="1981"/>
      <c r="AC71" s="1981"/>
    </row>
    <row r="72" spans="1:29" ht="15.75" thickTop="1">
      <c r="A72" s="643"/>
      <c r="B72" s="647" t="s">
        <v>568</v>
      </c>
      <c r="C72" s="682" t="s">
        <v>561</v>
      </c>
      <c r="D72" s="682" t="s">
        <v>562</v>
      </c>
      <c r="E72" s="682" t="s">
        <v>563</v>
      </c>
      <c r="F72" s="682" t="s">
        <v>564</v>
      </c>
      <c r="G72" s="682" t="s">
        <v>565</v>
      </c>
      <c r="H72" s="648"/>
      <c r="I72" s="648"/>
      <c r="J72" s="648"/>
      <c r="K72" s="649"/>
      <c r="L72" s="650"/>
      <c r="M72" s="651"/>
      <c r="N72" s="1999"/>
      <c r="O72" s="1999"/>
      <c r="P72" s="2000"/>
      <c r="Q72" s="1993"/>
      <c r="R72" s="1981"/>
      <c r="S72" s="1981"/>
      <c r="T72" s="1981"/>
      <c r="U72" s="1981"/>
      <c r="V72" s="1981"/>
      <c r="W72" s="1981"/>
      <c r="X72" s="1981"/>
      <c r="Y72" s="1981"/>
      <c r="Z72" s="1981"/>
      <c r="AA72" s="1981"/>
      <c r="AB72" s="1981"/>
      <c r="AC72" s="1981"/>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1"/>
      <c r="O73" s="2001"/>
      <c r="P73" s="2000"/>
      <c r="Q73" s="1993"/>
      <c r="R73" s="1981"/>
      <c r="S73" s="1981"/>
      <c r="T73" s="1981"/>
      <c r="U73" s="1981"/>
      <c r="V73" s="1981"/>
      <c r="W73" s="1981"/>
      <c r="X73" s="1981"/>
      <c r="Y73" s="1981"/>
      <c r="Z73" s="1981"/>
      <c r="AA73" s="1981"/>
      <c r="AB73" s="1981"/>
      <c r="AC73" s="1981"/>
    </row>
    <row r="74" spans="1:29" ht="15.75" thickTop="1">
      <c r="A74" s="643"/>
      <c r="B74" s="1765" t="s">
        <v>2275</v>
      </c>
      <c r="C74" s="682" t="s">
        <v>561</v>
      </c>
      <c r="D74" s="682" t="s">
        <v>562</v>
      </c>
      <c r="E74" s="682" t="s">
        <v>563</v>
      </c>
      <c r="F74" s="682" t="s">
        <v>564</v>
      </c>
      <c r="G74" s="682" t="s">
        <v>565</v>
      </c>
      <c r="H74" s="648"/>
      <c r="I74" s="648"/>
      <c r="J74" s="648"/>
      <c r="K74" s="649"/>
      <c r="L74" s="650"/>
      <c r="M74" s="651"/>
      <c r="N74" s="1999"/>
      <c r="O74" s="1999"/>
      <c r="P74" s="2000"/>
      <c r="Q74" s="1993"/>
      <c r="R74" s="1981"/>
      <c r="S74" s="1981"/>
      <c r="T74" s="1981"/>
      <c r="U74" s="1981"/>
      <c r="V74" s="1981"/>
      <c r="W74" s="1981"/>
      <c r="X74" s="1981"/>
      <c r="Y74" s="1981"/>
      <c r="Z74" s="1981"/>
      <c r="AA74" s="1981"/>
      <c r="AB74" s="1981"/>
      <c r="AC74" s="1981"/>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1"/>
      <c r="O75" s="2001"/>
      <c r="P75" s="2000"/>
      <c r="Q75" s="1993"/>
      <c r="R75" s="1981"/>
      <c r="S75" s="1981"/>
      <c r="T75" s="1981"/>
      <c r="U75" s="1981"/>
      <c r="V75" s="1981"/>
      <c r="W75" s="1981"/>
      <c r="X75" s="1981"/>
      <c r="Y75" s="1981"/>
      <c r="Z75" s="1981"/>
      <c r="AA75" s="1981"/>
      <c r="AB75" s="1981"/>
      <c r="AC75" s="1981"/>
    </row>
    <row r="76" spans="1:29" ht="15.75" thickTop="1">
      <c r="A76" s="643"/>
      <c r="B76" s="2363" t="s">
        <v>2276</v>
      </c>
      <c r="C76" s="2364" t="s">
        <v>2277</v>
      </c>
      <c r="D76" s="2364" t="s">
        <v>2278</v>
      </c>
      <c r="E76" s="2364" t="s">
        <v>2279</v>
      </c>
      <c r="F76" s="2364" t="s">
        <v>2280</v>
      </c>
      <c r="G76" s="2364" t="s">
        <v>2281</v>
      </c>
      <c r="H76" s="906"/>
      <c r="I76" s="906"/>
      <c r="J76" s="906"/>
      <c r="K76" s="906"/>
      <c r="L76" s="906"/>
      <c r="M76" s="535"/>
      <c r="N76" s="2001"/>
      <c r="O76" s="2001"/>
      <c r="P76" s="2000"/>
      <c r="Q76" s="1993"/>
      <c r="R76" s="1981"/>
      <c r="S76" s="1981"/>
      <c r="T76" s="1981"/>
      <c r="U76" s="1981"/>
      <c r="V76" s="1981"/>
      <c r="W76" s="1981"/>
      <c r="X76" s="1981"/>
      <c r="Y76" s="1981"/>
      <c r="Z76" s="1981"/>
      <c r="AA76" s="1981"/>
      <c r="AB76" s="1981"/>
      <c r="AC76" s="1981"/>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766</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3"/>
      <c r="B80" s="647">
        <f>B25</f>
        <v>111</v>
      </c>
      <c r="C80" s="662"/>
      <c r="D80" s="662"/>
      <c r="E80" s="662"/>
      <c r="F80" s="662"/>
      <c r="G80" s="662"/>
      <c r="H80" s="662"/>
      <c r="I80" s="662"/>
      <c r="J80" s="662"/>
      <c r="K80" s="662"/>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3"/>
      <c r="B81" s="652"/>
      <c r="C81" s="666"/>
      <c r="D81" s="645"/>
      <c r="E81" s="645"/>
      <c r="F81" s="645"/>
      <c r="G81" s="645"/>
      <c r="H81" s="645"/>
      <c r="I81" s="645"/>
      <c r="J81" s="645"/>
      <c r="K81" s="645"/>
      <c r="L81" s="645"/>
      <c r="M81" s="646"/>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3"/>
      <c r="B82" s="647">
        <f>B26</f>
        <v>111</v>
      </c>
      <c r="C82" s="662"/>
      <c r="D82" s="662"/>
      <c r="E82" s="662"/>
      <c r="F82" s="662"/>
      <c r="G82" s="662"/>
      <c r="H82" s="662"/>
      <c r="I82" s="662"/>
      <c r="J82" s="662"/>
      <c r="K82" s="662"/>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3"/>
      <c r="B83" s="652"/>
      <c r="C83" s="666"/>
      <c r="D83" s="645"/>
      <c r="E83" s="645"/>
      <c r="F83" s="645"/>
      <c r="G83" s="645"/>
      <c r="H83" s="645"/>
      <c r="I83" s="645"/>
      <c r="J83" s="645"/>
      <c r="K83" s="645"/>
      <c r="L83" s="645"/>
      <c r="M83" s="646"/>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1"/>
      <c r="B84" s="647">
        <f>B27</f>
        <v>111</v>
      </c>
      <c r="C84" s="662"/>
      <c r="D84" s="662"/>
      <c r="E84" s="662"/>
      <c r="F84" s="662"/>
      <c r="G84" s="662"/>
      <c r="H84" s="662"/>
      <c r="I84" s="662"/>
      <c r="J84" s="662"/>
      <c r="K84" s="662"/>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1"/>
      <c r="B85" s="652"/>
      <c r="C85" s="666"/>
      <c r="D85" s="645"/>
      <c r="E85" s="645"/>
      <c r="F85" s="645"/>
      <c r="G85" s="645"/>
      <c r="H85" s="645"/>
      <c r="I85" s="645"/>
      <c r="J85" s="645"/>
      <c r="K85" s="645"/>
      <c r="L85" s="645"/>
      <c r="M85" s="646"/>
      <c r="N85" s="2002"/>
      <c r="O85" s="2002"/>
      <c r="P85" s="2003"/>
      <c r="Q85" s="2004"/>
      <c r="R85" s="2005"/>
      <c r="S85" s="2005"/>
      <c r="T85" s="2005"/>
      <c r="U85" s="2005"/>
      <c r="V85" s="2005"/>
      <c r="W85" s="2005"/>
      <c r="X85" s="2005"/>
      <c r="Y85" s="2005"/>
      <c r="Z85" s="2005"/>
      <c r="AA85" s="2005"/>
      <c r="AB85" s="2005"/>
      <c r="AC85" s="2005"/>
    </row>
    <row r="86" spans="1:29" ht="15.75" thickTop="1">
      <c r="A86" s="643"/>
      <c r="B86" s="655">
        <f>B28</f>
        <v>111</v>
      </c>
      <c r="C86" s="635"/>
      <c r="D86" s="635"/>
      <c r="E86" s="635"/>
      <c r="F86" s="635"/>
      <c r="G86" s="696"/>
      <c r="H86" s="696"/>
      <c r="I86" s="696"/>
      <c r="J86" s="696"/>
      <c r="K86" s="697"/>
      <c r="L86" s="698"/>
      <c r="M86" s="699"/>
      <c r="N86" s="1999"/>
      <c r="O86" s="1999"/>
      <c r="P86" s="2000"/>
      <c r="Q86" s="1993"/>
      <c r="R86" s="1981"/>
      <c r="S86" s="1981"/>
      <c r="T86" s="1981"/>
      <c r="U86" s="1981"/>
      <c r="V86" s="1981"/>
      <c r="W86" s="1981"/>
      <c r="X86" s="1981"/>
      <c r="Y86" s="1981"/>
      <c r="Z86" s="1981"/>
      <c r="AA86" s="1981"/>
      <c r="AB86" s="1981"/>
      <c r="AC86" s="1981"/>
    </row>
    <row r="87" spans="1:29" ht="15.75" thickBot="1">
      <c r="A87" s="864"/>
      <c r="B87" s="673"/>
      <c r="C87" s="674"/>
      <c r="D87" s="674"/>
      <c r="E87" s="674"/>
      <c r="F87" s="674"/>
      <c r="G87" s="700"/>
      <c r="H87" s="700"/>
      <c r="I87" s="700"/>
      <c r="J87" s="700"/>
      <c r="K87" s="700"/>
      <c r="L87" s="700"/>
      <c r="M87" s="701"/>
      <c r="N87" s="2001"/>
      <c r="O87" s="2001"/>
      <c r="P87" s="2000"/>
      <c r="Q87" s="1993"/>
      <c r="R87" s="1981"/>
      <c r="S87" s="1981"/>
      <c r="T87" s="1981"/>
      <c r="U87" s="1981"/>
      <c r="V87" s="1981"/>
      <c r="W87" s="1981"/>
      <c r="X87" s="1981"/>
      <c r="Y87" s="1981"/>
      <c r="Z87" s="1981"/>
      <c r="AA87" s="1981"/>
      <c r="AB87" s="1981"/>
      <c r="AC87" s="1981"/>
    </row>
    <row r="88" spans="1:29">
      <c r="A88" s="638" t="s">
        <v>534</v>
      </c>
      <c r="B88" s="639" t="s">
        <v>729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2"/>
      <c r="B91" s="703"/>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1"/>
      <c r="O92" s="2001"/>
      <c r="P92" s="2003"/>
      <c r="Q92" s="2004"/>
      <c r="R92" s="2005"/>
      <c r="S92" s="2005"/>
      <c r="T92" s="2005"/>
      <c r="U92" s="2005"/>
      <c r="V92" s="2005"/>
      <c r="W92" s="2005"/>
      <c r="X92" s="2005"/>
      <c r="Y92" s="2005"/>
      <c r="Z92" s="2005"/>
      <c r="AA92" s="2005"/>
      <c r="AB92" s="2005"/>
      <c r="AC92" s="2005"/>
    </row>
    <row r="93" spans="1:29" ht="15" thickTop="1">
      <c r="A93" s="709"/>
      <c r="B93" s="647" t="s">
        <v>731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733</v>
      </c>
      <c r="C95" s="662"/>
      <c r="D95" s="662"/>
      <c r="E95" s="662"/>
      <c r="F95" s="692"/>
      <c r="G95" s="692"/>
      <c r="H95" s="692"/>
      <c r="I95" s="692"/>
      <c r="J95" s="692"/>
      <c r="K95" s="693"/>
      <c r="L95" s="694"/>
      <c r="M95" s="695"/>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9"/>
      <c r="O97" s="1999"/>
      <c r="P97" s="2000"/>
      <c r="Q97" s="1993"/>
      <c r="R97" s="1981"/>
      <c r="S97" s="1981"/>
      <c r="T97" s="1981"/>
      <c r="U97" s="1981"/>
      <c r="V97" s="1981"/>
      <c r="W97" s="1981"/>
      <c r="X97" s="1981"/>
      <c r="Y97" s="1981"/>
      <c r="Z97" s="1981"/>
      <c r="AA97" s="1981"/>
      <c r="AB97" s="1981"/>
      <c r="AC97" s="1981"/>
    </row>
    <row r="98" spans="1:29">
      <c r="A98" s="709"/>
      <c r="B98" s="655"/>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2"/>
      <c r="B100" s="647" t="s">
        <v>735</v>
      </c>
      <c r="C100" s="662"/>
      <c r="D100" s="662"/>
      <c r="E100" s="662"/>
      <c r="F100" s="662"/>
      <c r="G100" s="662"/>
      <c r="H100" s="692"/>
      <c r="I100" s="692"/>
      <c r="J100" s="692"/>
      <c r="K100" s="693"/>
      <c r="L100" s="694"/>
      <c r="M100" s="695"/>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09"/>
      <c r="B102" s="1765" t="s">
        <v>2274</v>
      </c>
      <c r="C102" s="662"/>
      <c r="D102" s="662"/>
      <c r="E102" s="662"/>
      <c r="F102" s="662"/>
      <c r="G102" s="662"/>
      <c r="H102" s="692"/>
      <c r="I102" s="692"/>
      <c r="J102" s="692"/>
      <c r="K102" s="693"/>
      <c r="L102" s="694"/>
      <c r="M102" s="695"/>
      <c r="N102" s="1999"/>
      <c r="O102" s="1999"/>
      <c r="P102" s="2000"/>
      <c r="Q102" s="1993"/>
      <c r="R102" s="1981"/>
      <c r="S102" s="1981"/>
      <c r="T102" s="1981"/>
      <c r="U102" s="1981"/>
      <c r="V102" s="1981"/>
      <c r="W102" s="1981"/>
      <c r="X102" s="1981"/>
      <c r="Y102" s="1981"/>
      <c r="Z102" s="1981"/>
      <c r="AA102" s="1981"/>
      <c r="AB102" s="1981"/>
      <c r="AC102" s="1981"/>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09"/>
      <c r="B104" s="647" t="s">
        <v>737</v>
      </c>
      <c r="C104" s="662"/>
      <c r="D104" s="662"/>
      <c r="E104" s="662"/>
      <c r="F104" s="662"/>
      <c r="G104" s="662"/>
      <c r="H104" s="692"/>
      <c r="I104" s="692"/>
      <c r="J104" s="692"/>
      <c r="K104" s="693"/>
      <c r="L104" s="694"/>
      <c r="M104" s="695"/>
      <c r="N104" s="1999"/>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1"/>
      <c r="O105" s="2001"/>
      <c r="P105" s="2000"/>
      <c r="Q105" s="1993"/>
      <c r="R105" s="1981"/>
      <c r="S105" s="1981"/>
      <c r="T105" s="1981"/>
      <c r="U105" s="1981"/>
      <c r="V105" s="1981"/>
      <c r="W105" s="1981"/>
      <c r="X105" s="1981"/>
      <c r="Y105" s="1981"/>
      <c r="Z105" s="1981"/>
      <c r="AA105" s="1981"/>
      <c r="AB105" s="1981"/>
      <c r="AC105" s="1981"/>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1"/>
      <c r="O106" s="2001"/>
      <c r="P106" s="2040"/>
      <c r="Q106" s="2041"/>
      <c r="R106" s="1981"/>
      <c r="S106" s="1981"/>
      <c r="T106" s="1981"/>
      <c r="U106" s="1981"/>
      <c r="V106" s="1981"/>
      <c r="W106" s="1981"/>
      <c r="X106" s="1981"/>
      <c r="Y106" s="1981"/>
      <c r="Z106" s="1981"/>
      <c r="AA106" s="1981"/>
      <c r="AB106" s="1981"/>
      <c r="AC106" s="1981"/>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2"/>
      <c r="B108" s="647">
        <f>B38</f>
        <v>111</v>
      </c>
      <c r="C108" s="662"/>
      <c r="D108" s="662"/>
      <c r="E108" s="662"/>
      <c r="F108" s="662"/>
      <c r="G108" s="662"/>
      <c r="H108" s="663"/>
      <c r="I108" s="663"/>
      <c r="J108" s="663"/>
      <c r="K108" s="663"/>
      <c r="L108" s="664"/>
      <c r="M108" s="665"/>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1"/>
      <c r="B109" s="644"/>
      <c r="C109" s="666"/>
      <c r="D109" s="645"/>
      <c r="E109" s="645"/>
      <c r="F109" s="645"/>
      <c r="G109" s="666"/>
      <c r="H109" s="667"/>
      <c r="I109" s="667"/>
      <c r="J109" s="667"/>
      <c r="K109" s="667"/>
      <c r="L109" s="667"/>
      <c r="M109" s="668"/>
      <c r="N109" s="2002"/>
      <c r="O109" s="2002"/>
      <c r="P109" s="2003"/>
      <c r="Q109" s="2004"/>
      <c r="R109" s="2005"/>
      <c r="S109" s="2005"/>
      <c r="T109" s="2005"/>
      <c r="U109" s="2005"/>
      <c r="V109" s="2005"/>
      <c r="W109" s="2005"/>
      <c r="X109" s="2005"/>
      <c r="Y109" s="2005"/>
      <c r="Z109" s="2005"/>
      <c r="AA109" s="2005"/>
      <c r="AB109" s="2005"/>
      <c r="AC109" s="2005"/>
    </row>
    <row r="110" spans="1:29" ht="15" thickTop="1">
      <c r="A110" s="709"/>
      <c r="B110" s="647">
        <f>B39</f>
        <v>111</v>
      </c>
      <c r="C110" s="662"/>
      <c r="D110" s="662"/>
      <c r="E110" s="662"/>
      <c r="F110" s="662"/>
      <c r="G110" s="662"/>
      <c r="H110" s="663"/>
      <c r="I110" s="663"/>
      <c r="J110" s="663"/>
      <c r="K110" s="663"/>
      <c r="L110" s="664"/>
      <c r="M110" s="665"/>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66"/>
      <c r="D111" s="645"/>
      <c r="E111" s="645"/>
      <c r="F111" s="645"/>
      <c r="G111" s="666"/>
      <c r="H111" s="667"/>
      <c r="I111" s="667"/>
      <c r="J111" s="667"/>
      <c r="K111" s="667"/>
      <c r="L111" s="667"/>
      <c r="M111" s="668"/>
      <c r="N111" s="2001"/>
      <c r="O111" s="2001"/>
      <c r="P111" s="2000"/>
      <c r="Q111" s="1993"/>
      <c r="R111" s="1981"/>
      <c r="S111" s="1981"/>
      <c r="T111" s="1981"/>
      <c r="U111" s="1981"/>
      <c r="V111" s="1981"/>
      <c r="W111" s="1981"/>
      <c r="X111" s="1981"/>
      <c r="Y111" s="1981"/>
      <c r="Z111" s="1981"/>
      <c r="AA111" s="1981"/>
      <c r="AB111" s="1981"/>
      <c r="AC111" s="1981"/>
    </row>
    <row r="112" spans="1:29" ht="15" thickTop="1">
      <c r="A112" s="709"/>
      <c r="B112" s="655">
        <f>B40</f>
        <v>111</v>
      </c>
      <c r="C112" s="635"/>
      <c r="D112" s="635"/>
      <c r="E112" s="635"/>
      <c r="F112" s="635"/>
      <c r="G112" s="696"/>
      <c r="H112" s="696"/>
      <c r="I112" s="696"/>
      <c r="J112" s="696"/>
      <c r="K112" s="635"/>
      <c r="L112" s="636"/>
      <c r="M112" s="699"/>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3"/>
      <c r="C113" s="674"/>
      <c r="D113" s="674"/>
      <c r="E113" s="674"/>
      <c r="F113" s="674"/>
      <c r="G113" s="700"/>
      <c r="H113" s="700"/>
      <c r="I113" s="700"/>
      <c r="J113" s="700"/>
      <c r="K113" s="700"/>
      <c r="L113" s="700"/>
      <c r="M113" s="701"/>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IF(B37="元/平方米",C39,ROUND(B2*10000/D3,0))</f>
        <v>#DIV/0!</v>
      </c>
      <c r="C3" s="823" t="s">
        <v>778</v>
      </c>
      <c r="D3" s="822">
        <f>SUMIF('数据-汇总表'!$C19:$C33,D1,'数据-汇总表'!$E19:$E33)</f>
        <v>0</v>
      </c>
      <c r="E3" s="1717" t="s">
        <v>1868</v>
      </c>
      <c r="F3" s="822">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77" t="s">
        <v>780</v>
      </c>
      <c r="D4" s="3678"/>
      <c r="E4" s="3677" t="s">
        <v>781</v>
      </c>
      <c r="F4" s="3678"/>
      <c r="G4" s="3677" t="s">
        <v>782</v>
      </c>
      <c r="H4" s="3678"/>
      <c r="I4" s="3677" t="s">
        <v>783</v>
      </c>
      <c r="J4" s="3678"/>
      <c r="K4" s="490" t="s">
        <v>784</v>
      </c>
      <c r="L4" s="1969"/>
      <c r="M4" s="1970"/>
      <c r="N4" s="1970"/>
      <c r="O4" s="1970"/>
      <c r="P4" s="3679" t="s">
        <v>785</v>
      </c>
      <c r="Q4" s="3680"/>
      <c r="R4" s="3663" t="s">
        <v>781</v>
      </c>
      <c r="S4" s="3664"/>
      <c r="T4" s="3663" t="s">
        <v>782</v>
      </c>
      <c r="U4" s="3664"/>
      <c r="V4" s="3685" t="s">
        <v>783</v>
      </c>
      <c r="W4" s="3685"/>
      <c r="X4" s="1457"/>
      <c r="Y4" s="3663" t="s">
        <v>785</v>
      </c>
      <c r="Z4" s="3664"/>
      <c r="AA4" s="3658" t="s">
        <v>781</v>
      </c>
      <c r="AB4" s="3659" t="s">
        <v>782</v>
      </c>
      <c r="AC4" s="3658" t="s">
        <v>783</v>
      </c>
    </row>
    <row r="5" spans="1:29" ht="15">
      <c r="A5" s="491"/>
      <c r="B5" s="492"/>
      <c r="C5" s="3688" t="s">
        <v>2631</v>
      </c>
      <c r="D5" s="3689"/>
      <c r="E5" s="3688" t="s">
        <v>2632</v>
      </c>
      <c r="F5" s="3689"/>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690" t="s">
        <v>2635</v>
      </c>
      <c r="F6" s="3691"/>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SUMIF(48:48,YEAR(E7)&amp;"-"&amp;MONTH(E7),49:49)</f>
        <v>0</v>
      </c>
      <c r="G7" s="499"/>
      <c r="H7" s="496">
        <f>SUMIF(48:48,YEAR(G7)&amp;"-"&amp;MONTH(G7),49:49)</f>
        <v>0</v>
      </c>
      <c r="I7" s="499"/>
      <c r="J7" s="496">
        <f>SUMIF(48:48,YEAR(I7)&amp;"-"&amp;MONTH(I7),49:49)</f>
        <v>0</v>
      </c>
      <c r="K7" s="500"/>
      <c r="L7" s="1971"/>
      <c r="M7" s="1972"/>
      <c r="N7" s="1972"/>
      <c r="O7" s="1972"/>
      <c r="P7" s="3661" t="s">
        <v>513</v>
      </c>
      <c r="Q7" s="3670"/>
      <c r="R7" s="1458" t="s">
        <v>8</v>
      </c>
      <c r="S7" s="1459">
        <f t="shared" ref="S7:S14" si="0">F7</f>
        <v>0</v>
      </c>
      <c r="T7" s="1458" t="s">
        <v>8</v>
      </c>
      <c r="U7" s="1459">
        <f t="shared" ref="U7:U14" si="1">H7</f>
        <v>0</v>
      </c>
      <c r="V7" s="1458" t="s">
        <v>8</v>
      </c>
      <c r="W7" s="1459">
        <f t="shared" ref="W7:W14"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SUMIF(51:51,E8,52:52)-SUMIF(51:51,C8,52:52)+100</f>
        <v>0</v>
      </c>
      <c r="G8" s="501"/>
      <c r="H8" s="496">
        <f>SUMIF(51:51,G8,52:52)-SUMIF(51:51,C8,52:52)+100</f>
        <v>0</v>
      </c>
      <c r="I8" s="501"/>
      <c r="J8" s="496">
        <f>SUMIF(51:51,I8,52:52)-SUMIF(51:51,C8,52:52)+100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36" si="3">D8/F8</f>
        <v>#DIV/0!</v>
      </c>
      <c r="AB8" s="1461" t="e">
        <f t="shared" ref="AB8:AB36" si="4">D8/H8</f>
        <v>#DIV/0!</v>
      </c>
      <c r="AC8" s="1461" t="e">
        <f t="shared" ref="AC8:AC36" si="5">D8/J8</f>
        <v>#DIV/0!</v>
      </c>
    </row>
    <row r="9" spans="1:29" s="1166" customFormat="1" ht="15">
      <c r="A9" s="2553"/>
      <c r="B9" s="2560" t="s">
        <v>2473</v>
      </c>
      <c r="C9" s="828"/>
      <c r="D9" s="251">
        <v>100</v>
      </c>
      <c r="E9" s="831"/>
      <c r="F9" s="251">
        <f>SUMIF(53:53,E9,54:54)-SUMIF(53:53,C9,54:54)+100</f>
        <v>100</v>
      </c>
      <c r="G9" s="829"/>
      <c r="H9" s="251">
        <f>SUMIF(53:53,G9,54:54)-SUMIF(53:53,C9,54:54)+100</f>
        <v>100</v>
      </c>
      <c r="I9" s="829"/>
      <c r="J9" s="251">
        <f>SUMIF(53:53,I9,54:54)-SUMIF(53:53,C9,54:54)+100</f>
        <v>100</v>
      </c>
      <c r="K9" s="500"/>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7"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SUMIF(55:55,E10,56:56)-SUMIF(55:55,C10,56:56)+100</f>
        <v>100</v>
      </c>
      <c r="G10" s="833"/>
      <c r="H10" s="252">
        <f>SUMIF(55:55,G10,56:56)-SUMIF(55:55,C10,56:56)+100</f>
        <v>100</v>
      </c>
      <c r="I10" s="832"/>
      <c r="J10" s="252">
        <f>SUMIF(55:55,I10,56:56)-SUMIF(55:55,C10,56:56)+100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6"/>
      <c r="B11" s="2562">
        <v>111</v>
      </c>
      <c r="C11" s="504"/>
      <c r="D11" s="252">
        <v>100</v>
      </c>
      <c r="E11" s="504"/>
      <c r="F11" s="252">
        <f>SUMIF(57:57,E11,58:58)-SUMIF(57:57,C11,58:58)+100</f>
        <v>100</v>
      </c>
      <c r="G11" s="504"/>
      <c r="H11" s="252">
        <f>SUMIF(57:57,G11,58:58)-SUMIF(57:57,C11,58:58)+100</f>
        <v>100</v>
      </c>
      <c r="I11" s="504"/>
      <c r="J11" s="252">
        <f>SUMIF(57:57,I11,58:58)-SUMIF(57:57,C11,58:58)+100</f>
        <v>100</v>
      </c>
      <c r="K11" s="557"/>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7"/>
      <c r="Z11" s="1096">
        <f t="shared" si="7"/>
        <v>111</v>
      </c>
      <c r="AA11" s="1461">
        <f t="shared" si="3"/>
        <v>1</v>
      </c>
      <c r="AB11" s="1461">
        <f t="shared" si="4"/>
        <v>1</v>
      </c>
      <c r="AC11" s="1461">
        <f t="shared" si="5"/>
        <v>1</v>
      </c>
    </row>
    <row r="12" spans="1:29" s="1166" customFormat="1" ht="15">
      <c r="A12" s="2556"/>
      <c r="B12" s="2562">
        <v>111</v>
      </c>
      <c r="C12" s="504"/>
      <c r="D12" s="514">
        <v>100</v>
      </c>
      <c r="E12" s="504"/>
      <c r="F12" s="252">
        <f>SUMIF(59:59,E12,60:60)-SUMIF(59:59,C12,60:60)+100</f>
        <v>100</v>
      </c>
      <c r="G12" s="504"/>
      <c r="H12" s="252">
        <f>SUMIF(59:59,G12,60:60)-SUMIF(59:59,C12,60:60)+100</f>
        <v>100</v>
      </c>
      <c r="I12" s="504"/>
      <c r="J12" s="252">
        <f>SUMIF(59:59,I12,60:60)-SUMIF(59:59,C12,60:60)+100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75" thickBot="1">
      <c r="A13" s="2557"/>
      <c r="B13" s="2563">
        <v>111</v>
      </c>
      <c r="C13" s="515"/>
      <c r="D13" s="516">
        <v>100</v>
      </c>
      <c r="E13" s="504"/>
      <c r="F13" s="252">
        <f>SUMIF(61:61,E13,62:62)-SUMIF(61:61,C13,62:62)+100</f>
        <v>100</v>
      </c>
      <c r="G13" s="504"/>
      <c r="H13" s="516">
        <f>SUMIF(61:61,G13,62:62)-SUMIF(61:61,C13,62:62)+100</f>
        <v>100</v>
      </c>
      <c r="I13" s="504"/>
      <c r="J13" s="516">
        <f>SUMIF(61:61,I13,62:62)-SUMIF(61:61,C13,62:62)+100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85.5">
      <c r="A14" s="2549"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8"/>
      <c r="M14" s="1970"/>
      <c r="N14" s="1970"/>
      <c r="O14" s="1977"/>
      <c r="P14" s="3671" t="s">
        <v>523</v>
      </c>
      <c r="Q14" s="1462" t="str">
        <f t="shared" si="6"/>
        <v>交通便捷度</v>
      </c>
      <c r="R14" s="1463" t="s">
        <v>8</v>
      </c>
      <c r="S14" s="1464">
        <f t="shared" si="0"/>
        <v>100</v>
      </c>
      <c r="T14" s="1463" t="s">
        <v>8</v>
      </c>
      <c r="U14" s="1464">
        <f t="shared" si="1"/>
        <v>100</v>
      </c>
      <c r="V14" s="1463" t="s">
        <v>8</v>
      </c>
      <c r="W14" s="1464">
        <f t="shared" si="2"/>
        <v>100</v>
      </c>
      <c r="X14" s="1457"/>
      <c r="Y14" s="3671" t="s">
        <v>523</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8"/>
      <c r="M15" s="1970"/>
      <c r="N15" s="1970"/>
      <c r="O15" s="1977"/>
      <c r="P15" s="3672"/>
      <c r="Q15" s="1462"/>
      <c r="R15" s="1463"/>
      <c r="S15" s="1464"/>
      <c r="T15" s="1463"/>
      <c r="U15" s="1464"/>
      <c r="V15" s="1463"/>
      <c r="W15" s="1464"/>
      <c r="X15" s="1457"/>
      <c r="Y15" s="3672"/>
      <c r="Z15" s="1465"/>
      <c r="AA15" s="1466">
        <v>1</v>
      </c>
      <c r="AB15" s="1466">
        <v>1</v>
      </c>
      <c r="AC15" s="1466">
        <v>1</v>
      </c>
    </row>
    <row r="16" spans="1:29" ht="42.75">
      <c r="A16" s="491"/>
      <c r="B16" s="2369"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8"/>
      <c r="M16" s="1970"/>
      <c r="N16" s="1970"/>
      <c r="O16" s="1977"/>
      <c r="P16" s="3672"/>
      <c r="Q16" s="1462" t="str">
        <f>B16</f>
        <v>公共配套设施</v>
      </c>
      <c r="R16" s="1463" t="s">
        <v>8</v>
      </c>
      <c r="S16" s="1464">
        <f>F16</f>
        <v>100</v>
      </c>
      <c r="T16" s="1463" t="s">
        <v>8</v>
      </c>
      <c r="U16" s="1464">
        <f>H16</f>
        <v>100</v>
      </c>
      <c r="V16" s="1463" t="s">
        <v>8</v>
      </c>
      <c r="W16" s="1464">
        <f>J16</f>
        <v>100</v>
      </c>
      <c r="X16" s="1457"/>
      <c r="Y16" s="3672"/>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8"/>
      <c r="M17" s="1970"/>
      <c r="N17" s="1970"/>
      <c r="O17" s="1977"/>
      <c r="P17" s="3672"/>
      <c r="Q17" s="1462"/>
      <c r="R17" s="1463"/>
      <c r="S17" s="1464"/>
      <c r="T17" s="1463"/>
      <c r="U17" s="1464"/>
      <c r="V17" s="1463"/>
      <c r="W17" s="1464"/>
      <c r="X17" s="1457"/>
      <c r="Y17" s="3672"/>
      <c r="Z17" s="1465"/>
      <c r="AA17" s="1466">
        <v>1</v>
      </c>
      <c r="AB17" s="1466">
        <v>1</v>
      </c>
      <c r="AC17" s="1466">
        <v>1</v>
      </c>
    </row>
    <row r="18" spans="1:29" ht="28.5">
      <c r="A18" s="491"/>
      <c r="B18" s="2357"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8"/>
      <c r="M18" s="1970"/>
      <c r="N18" s="1970"/>
      <c r="O18" s="1977"/>
      <c r="P18" s="3672"/>
      <c r="Q18" s="2351" t="str">
        <f>B18</f>
        <v>基础设施水平</v>
      </c>
      <c r="R18" s="1463" t="s">
        <v>8</v>
      </c>
      <c r="S18" s="1464">
        <f>F18</f>
        <v>100</v>
      </c>
      <c r="T18" s="1463" t="s">
        <v>8</v>
      </c>
      <c r="U18" s="1464">
        <f>H18</f>
        <v>100</v>
      </c>
      <c r="V18" s="1463" t="s">
        <v>8</v>
      </c>
      <c r="W18" s="1464">
        <f>J18</f>
        <v>100</v>
      </c>
      <c r="X18" s="2353"/>
      <c r="Y18" s="3672"/>
      <c r="Z18" s="2352"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68"/>
      <c r="L19" s="1978"/>
      <c r="M19" s="1970"/>
      <c r="N19" s="1970"/>
      <c r="O19" s="1977"/>
      <c r="P19" s="3672"/>
      <c r="Q19" s="2351"/>
      <c r="R19" s="1463"/>
      <c r="S19" s="1464"/>
      <c r="T19" s="1463"/>
      <c r="U19" s="1464"/>
      <c r="V19" s="1463"/>
      <c r="W19" s="1464"/>
      <c r="X19" s="2353"/>
      <c r="Y19" s="3672"/>
      <c r="Z19" s="2352"/>
      <c r="AA19" s="1466">
        <v>1</v>
      </c>
      <c r="AB19" s="1466">
        <v>1</v>
      </c>
      <c r="AC19" s="1466">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8"/>
      <c r="M20" s="1970"/>
      <c r="N20" s="1970"/>
      <c r="O20" s="1977"/>
      <c r="P20" s="3672"/>
      <c r="Q20" s="1462" t="str">
        <f>B20</f>
        <v>自然及人文环境</v>
      </c>
      <c r="R20" s="1463" t="s">
        <v>8</v>
      </c>
      <c r="S20" s="1464">
        <f>F20</f>
        <v>100</v>
      </c>
      <c r="T20" s="1463" t="s">
        <v>8</v>
      </c>
      <c r="U20" s="1464">
        <f>H20</f>
        <v>100</v>
      </c>
      <c r="V20" s="1463" t="s">
        <v>8</v>
      </c>
      <c r="W20" s="1464">
        <f>J20</f>
        <v>100</v>
      </c>
      <c r="X20" s="1457"/>
      <c r="Y20" s="3672"/>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8"/>
      <c r="M21" s="1970"/>
      <c r="N21" s="1970"/>
      <c r="O21" s="1977"/>
      <c r="P21" s="3672"/>
      <c r="Q21" s="1462"/>
      <c r="R21" s="1463"/>
      <c r="S21" s="1464"/>
      <c r="T21" s="1463"/>
      <c r="U21" s="1464"/>
      <c r="V21" s="1463"/>
      <c r="W21" s="1464"/>
      <c r="X21" s="1457"/>
      <c r="Y21" s="3672"/>
      <c r="Z21" s="1465"/>
      <c r="AA21" s="1466">
        <v>1</v>
      </c>
      <c r="AB21" s="1466">
        <v>1</v>
      </c>
      <c r="AC21" s="1466">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8"/>
      <c r="M22" s="1970"/>
      <c r="N22" s="1970"/>
      <c r="O22" s="1977"/>
      <c r="P22" s="3672"/>
      <c r="Q22" s="1462" t="str">
        <f>B22</f>
        <v>楼层</v>
      </c>
      <c r="R22" s="1463" t="s">
        <v>8</v>
      </c>
      <c r="S22" s="1464">
        <f>F22</f>
        <v>100</v>
      </c>
      <c r="T22" s="1463" t="s">
        <v>8</v>
      </c>
      <c r="U22" s="1464">
        <f>H22</f>
        <v>100</v>
      </c>
      <c r="V22" s="1463" t="s">
        <v>8</v>
      </c>
      <c r="W22" s="1464">
        <f>J22</f>
        <v>100</v>
      </c>
      <c r="X22" s="1457"/>
      <c r="Y22" s="3672"/>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8"/>
      <c r="M23" s="1970"/>
      <c r="N23" s="1970"/>
      <c r="O23" s="1977"/>
      <c r="P23" s="3672"/>
      <c r="Q23" s="1462">
        <f>B23</f>
        <v>111</v>
      </c>
      <c r="R23" s="1463" t="s">
        <v>8</v>
      </c>
      <c r="S23" s="1464">
        <f>F23</f>
        <v>100</v>
      </c>
      <c r="T23" s="1463" t="s">
        <v>8</v>
      </c>
      <c r="U23" s="1464">
        <f>H23</f>
        <v>100</v>
      </c>
      <c r="V23" s="1463" t="s">
        <v>8</v>
      </c>
      <c r="W23" s="1464">
        <f>J23</f>
        <v>100</v>
      </c>
      <c r="X23" s="1457"/>
      <c r="Y23" s="3672"/>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8"/>
      <c r="M24" s="1970"/>
      <c r="N24" s="1970"/>
      <c r="O24" s="1977"/>
      <c r="P24" s="3672"/>
      <c r="Q24" s="1462">
        <f t="shared" ref="Q24:Q36" si="11">B24</f>
        <v>111</v>
      </c>
      <c r="R24" s="1463" t="s">
        <v>8</v>
      </c>
      <c r="S24" s="1464">
        <f>F24</f>
        <v>100</v>
      </c>
      <c r="T24" s="1463" t="s">
        <v>8</v>
      </c>
      <c r="U24" s="1464">
        <f>H24</f>
        <v>100</v>
      </c>
      <c r="V24" s="1463" t="s">
        <v>8</v>
      </c>
      <c r="W24" s="1464">
        <f>J24</f>
        <v>100</v>
      </c>
      <c r="X24" s="1457"/>
      <c r="Y24" s="3672"/>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1"/>
      <c r="M25" s="1972"/>
      <c r="N25" s="1972"/>
      <c r="O25" s="1973"/>
      <c r="P25" s="3672"/>
      <c r="Q25" s="1097">
        <f t="shared" si="11"/>
        <v>111</v>
      </c>
      <c r="R25" s="1458" t="s">
        <v>8</v>
      </c>
      <c r="S25" s="1459">
        <f>F25</f>
        <v>100</v>
      </c>
      <c r="T25" s="1458" t="s">
        <v>8</v>
      </c>
      <c r="U25" s="1459">
        <f>H25</f>
        <v>100</v>
      </c>
      <c r="V25" s="1458" t="s">
        <v>8</v>
      </c>
      <c r="W25" s="1459">
        <f>J25</f>
        <v>100</v>
      </c>
      <c r="X25" s="1460"/>
      <c r="Y25" s="3672"/>
      <c r="Z25" s="1096">
        <f>Q25</f>
        <v>111</v>
      </c>
      <c r="AA25" s="1466">
        <f>D25/F25</f>
        <v>1</v>
      </c>
      <c r="AB25" s="1466">
        <f>D25/H25</f>
        <v>1</v>
      </c>
      <c r="AC25" s="1466">
        <f>D25/J25</f>
        <v>1</v>
      </c>
    </row>
    <row r="26" spans="1:29" ht="15">
      <c r="A26" s="2546" t="s">
        <v>2472</v>
      </c>
      <c r="B26" s="168" t="s">
        <v>788</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8"/>
      <c r="M26" s="1970"/>
      <c r="N26" s="1970"/>
      <c r="O26" s="1977"/>
      <c r="P26" s="3673"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74" t="s">
        <v>533</v>
      </c>
      <c r="Z26" s="1465" t="str">
        <f t="shared" ref="Z26:Z36" si="15">Q26</f>
        <v>配套类型</v>
      </c>
      <c r="AA26" s="1466">
        <f t="shared" si="3"/>
        <v>1</v>
      </c>
      <c r="AB26" s="1466">
        <f t="shared" si="4"/>
        <v>1</v>
      </c>
      <c r="AC26" s="1466">
        <f t="shared" si="5"/>
        <v>1</v>
      </c>
    </row>
    <row r="27" spans="1:29" s="1248" customFormat="1" ht="15">
      <c r="A27" s="900"/>
      <c r="B27" s="558" t="s">
        <v>789</v>
      </c>
      <c r="C27" s="901"/>
      <c r="D27" s="252">
        <v>100</v>
      </c>
      <c r="E27" s="901"/>
      <c r="F27" s="551">
        <f>SUMIF(81:81,E27,82:82)-SUMIF(81:81,C27,82:82)+100</f>
        <v>100</v>
      </c>
      <c r="G27" s="901"/>
      <c r="H27" s="516">
        <f>SUMIF(81:81,G27,82:82)-SUMIF(81:81,C27,82:82)+100</f>
        <v>100</v>
      </c>
      <c r="I27" s="901"/>
      <c r="J27" s="516">
        <f>SUMIF(81:81,I27,82:82)-SUMIF(81:81,C27,82:82)+100</f>
        <v>100</v>
      </c>
      <c r="K27" s="557"/>
      <c r="L27" s="1976"/>
      <c r="M27" s="2006"/>
      <c r="N27" s="2006"/>
      <c r="O27" s="1979"/>
      <c r="P27" s="3674"/>
      <c r="Q27" s="1491" t="str">
        <f t="shared" si="11"/>
        <v>项目停车位配比</v>
      </c>
      <c r="R27" s="1467" t="s">
        <v>8</v>
      </c>
      <c r="S27" s="1468">
        <f t="shared" si="12"/>
        <v>100</v>
      </c>
      <c r="T27" s="1467" t="s">
        <v>8</v>
      </c>
      <c r="U27" s="1468">
        <f t="shared" si="13"/>
        <v>100</v>
      </c>
      <c r="V27" s="1467" t="s">
        <v>8</v>
      </c>
      <c r="W27" s="1468">
        <f t="shared" si="14"/>
        <v>100</v>
      </c>
      <c r="X27" s="1469"/>
      <c r="Y27" s="3674"/>
      <c r="Z27" s="1470" t="str">
        <f t="shared" si="15"/>
        <v>项目停车位配比</v>
      </c>
      <c r="AA27" s="1466">
        <f t="shared" si="3"/>
        <v>1</v>
      </c>
      <c r="AB27" s="1466">
        <f t="shared" si="4"/>
        <v>1</v>
      </c>
      <c r="AC27" s="1466">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8"/>
      <c r="M28" s="1970"/>
      <c r="N28" s="1970"/>
      <c r="O28" s="1977"/>
      <c r="P28" s="3674"/>
      <c r="Q28" s="1462" t="str">
        <f t="shared" si="11"/>
        <v>公共部分装修</v>
      </c>
      <c r="R28" s="1463" t="s">
        <v>8</v>
      </c>
      <c r="S28" s="1464">
        <f t="shared" si="12"/>
        <v>100</v>
      </c>
      <c r="T28" s="1463" t="s">
        <v>8</v>
      </c>
      <c r="U28" s="1464">
        <f t="shared" si="13"/>
        <v>100</v>
      </c>
      <c r="V28" s="1463" t="s">
        <v>8</v>
      </c>
      <c r="W28" s="1464">
        <f t="shared" si="14"/>
        <v>100</v>
      </c>
      <c r="X28" s="1457"/>
      <c r="Y28" s="3674"/>
      <c r="Z28" s="1465" t="str">
        <f t="shared" si="15"/>
        <v>公共部分装修</v>
      </c>
      <c r="AA28" s="1466">
        <f t="shared" si="3"/>
        <v>1</v>
      </c>
      <c r="AB28" s="1466">
        <f t="shared" si="4"/>
        <v>1</v>
      </c>
      <c r="AC28" s="1466">
        <f t="shared" si="5"/>
        <v>1</v>
      </c>
    </row>
    <row r="29" spans="1:29" ht="15">
      <c r="A29" s="902"/>
      <c r="B29" s="558" t="s">
        <v>791</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8"/>
      <c r="M29" s="1970"/>
      <c r="N29" s="1970"/>
      <c r="O29" s="1977"/>
      <c r="P29" s="3674"/>
      <c r="Q29" s="1462" t="str">
        <f t="shared" si="11"/>
        <v>成新率</v>
      </c>
      <c r="R29" s="1463" t="s">
        <v>8</v>
      </c>
      <c r="S29" s="1464" t="e">
        <f t="shared" si="12"/>
        <v>#N/A</v>
      </c>
      <c r="T29" s="1463" t="s">
        <v>8</v>
      </c>
      <c r="U29" s="1464" t="e">
        <f t="shared" si="13"/>
        <v>#N/A</v>
      </c>
      <c r="V29" s="1463" t="s">
        <v>8</v>
      </c>
      <c r="W29" s="1464" t="e">
        <f t="shared" si="14"/>
        <v>#N/A</v>
      </c>
      <c r="X29" s="1457"/>
      <c r="Y29" s="3674"/>
      <c r="Z29" s="1465" t="str">
        <f t="shared" si="15"/>
        <v>成新率</v>
      </c>
      <c r="AA29" s="1466" t="e">
        <f t="shared" si="3"/>
        <v>#N/A</v>
      </c>
      <c r="AB29" s="1466" t="e">
        <f t="shared" si="4"/>
        <v>#N/A</v>
      </c>
      <c r="AC29" s="1466" t="e">
        <f t="shared" si="5"/>
        <v>#N/A</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8"/>
      <c r="M30" s="1970"/>
      <c r="N30" s="1970"/>
      <c r="O30" s="1977"/>
      <c r="P30" s="3674"/>
      <c r="Q30" s="1462" t="str">
        <f t="shared" si="11"/>
        <v>物业等级</v>
      </c>
      <c r="R30" s="1463" t="s">
        <v>8</v>
      </c>
      <c r="S30" s="1464">
        <f t="shared" si="12"/>
        <v>100</v>
      </c>
      <c r="T30" s="1463" t="s">
        <v>8</v>
      </c>
      <c r="U30" s="1464">
        <f t="shared" si="13"/>
        <v>100</v>
      </c>
      <c r="V30" s="1463" t="s">
        <v>8</v>
      </c>
      <c r="W30" s="1464">
        <f t="shared" si="14"/>
        <v>100</v>
      </c>
      <c r="X30" s="1457"/>
      <c r="Y30" s="3674"/>
      <c r="Z30" s="1465" t="str">
        <f t="shared" si="15"/>
        <v>物业等级</v>
      </c>
      <c r="AA30" s="1466">
        <f t="shared" si="3"/>
        <v>1</v>
      </c>
      <c r="AB30" s="1466">
        <f t="shared" si="4"/>
        <v>1</v>
      </c>
      <c r="AC30" s="1466">
        <f t="shared" si="5"/>
        <v>1</v>
      </c>
    </row>
    <row r="31" spans="1:29" s="1166" customFormat="1" ht="15">
      <c r="A31" s="904"/>
      <c r="B31" s="558" t="s">
        <v>793</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71"/>
      <c r="M31" s="1972"/>
      <c r="N31" s="1972"/>
      <c r="O31" s="1973"/>
      <c r="P31" s="3674"/>
      <c r="Q31" s="1097" t="str">
        <f t="shared" si="11"/>
        <v>停车位面积</v>
      </c>
      <c r="R31" s="1458" t="s">
        <v>8</v>
      </c>
      <c r="S31" s="1459" t="e">
        <f t="shared" si="12"/>
        <v>#N/A</v>
      </c>
      <c r="T31" s="1458" t="s">
        <v>8</v>
      </c>
      <c r="U31" s="1459" t="e">
        <f t="shared" si="13"/>
        <v>#N/A</v>
      </c>
      <c r="V31" s="1458" t="s">
        <v>8</v>
      </c>
      <c r="W31" s="1459" t="e">
        <f t="shared" si="14"/>
        <v>#N/A</v>
      </c>
      <c r="X31" s="1460"/>
      <c r="Y31" s="3674"/>
      <c r="Z31" s="1096" t="str">
        <f t="shared" si="15"/>
        <v>停车位面积</v>
      </c>
      <c r="AA31" s="1461" t="e">
        <f t="shared" si="3"/>
        <v>#N/A</v>
      </c>
      <c r="AB31" s="1461" t="e">
        <f t="shared" si="4"/>
        <v>#N/A</v>
      </c>
      <c r="AC31" s="1461" t="e">
        <f t="shared" si="5"/>
        <v>#N/A</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8"/>
      <c r="M32" s="1970"/>
      <c r="N32" s="1970"/>
      <c r="O32" s="1977"/>
      <c r="P32" s="3674" t="s">
        <v>533</v>
      </c>
      <c r="Q32" s="1462" t="str">
        <f t="shared" si="11"/>
        <v>车位类型</v>
      </c>
      <c r="R32" s="1463" t="s">
        <v>8</v>
      </c>
      <c r="S32" s="1464">
        <f t="shared" si="12"/>
        <v>100</v>
      </c>
      <c r="T32" s="1463" t="s">
        <v>8</v>
      </c>
      <c r="U32" s="1464">
        <f t="shared" si="13"/>
        <v>100</v>
      </c>
      <c r="V32" s="1463" t="s">
        <v>8</v>
      </c>
      <c r="W32" s="1464">
        <f t="shared" si="14"/>
        <v>100</v>
      </c>
      <c r="X32" s="1457"/>
      <c r="Y32" s="3674" t="s">
        <v>533</v>
      </c>
      <c r="Z32" s="1465" t="str">
        <f t="shared" si="15"/>
        <v>车位类型</v>
      </c>
      <c r="AA32" s="1466">
        <f t="shared" si="3"/>
        <v>1</v>
      </c>
      <c r="AB32" s="1466">
        <f t="shared" si="4"/>
        <v>1</v>
      </c>
      <c r="AC32" s="1466">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8"/>
      <c r="M33" s="1970"/>
      <c r="N33" s="1970"/>
      <c r="O33" s="1977"/>
      <c r="P33" s="3674"/>
      <c r="Q33" s="1462" t="str">
        <f t="shared" si="11"/>
        <v>是否直接入户</v>
      </c>
      <c r="R33" s="1463" t="s">
        <v>8</v>
      </c>
      <c r="S33" s="1464">
        <f t="shared" si="12"/>
        <v>100</v>
      </c>
      <c r="T33" s="1463" t="s">
        <v>8</v>
      </c>
      <c r="U33" s="1464">
        <f t="shared" si="13"/>
        <v>100</v>
      </c>
      <c r="V33" s="1463" t="s">
        <v>8</v>
      </c>
      <c r="W33" s="1464">
        <f t="shared" si="14"/>
        <v>100</v>
      </c>
      <c r="X33" s="1457"/>
      <c r="Y33" s="3674"/>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8"/>
      <c r="M34" s="1970"/>
      <c r="N34" s="1970"/>
      <c r="O34" s="1977"/>
      <c r="P34" s="3674"/>
      <c r="Q34" s="1462">
        <f t="shared" si="11"/>
        <v>111</v>
      </c>
      <c r="R34" s="1463" t="s">
        <v>8</v>
      </c>
      <c r="S34" s="1464">
        <f t="shared" si="12"/>
        <v>100</v>
      </c>
      <c r="T34" s="1463" t="s">
        <v>8</v>
      </c>
      <c r="U34" s="1464">
        <f t="shared" si="13"/>
        <v>100</v>
      </c>
      <c r="V34" s="1463" t="s">
        <v>8</v>
      </c>
      <c r="W34" s="1464">
        <f t="shared" si="14"/>
        <v>100</v>
      </c>
      <c r="X34" s="1457"/>
      <c r="Y34" s="3674"/>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6"/>
      <c r="M35" s="2006"/>
      <c r="N35" s="2006"/>
      <c r="O35" s="1979"/>
      <c r="P35" s="3674"/>
      <c r="Q35" s="1491">
        <f t="shared" si="11"/>
        <v>111</v>
      </c>
      <c r="R35" s="1467" t="s">
        <v>8</v>
      </c>
      <c r="S35" s="1468">
        <f t="shared" si="12"/>
        <v>100</v>
      </c>
      <c r="T35" s="1467" t="s">
        <v>8</v>
      </c>
      <c r="U35" s="1468">
        <f t="shared" si="13"/>
        <v>100</v>
      </c>
      <c r="V35" s="1467" t="s">
        <v>8</v>
      </c>
      <c r="W35" s="1468">
        <f t="shared" si="14"/>
        <v>100</v>
      </c>
      <c r="X35" s="1469"/>
      <c r="Y35" s="3674"/>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8"/>
      <c r="M36" s="1970"/>
      <c r="N36" s="1970"/>
      <c r="O36" s="1977"/>
      <c r="P36" s="3674"/>
      <c r="Q36" s="1462">
        <f t="shared" si="11"/>
        <v>111</v>
      </c>
      <c r="R36" s="1463" t="s">
        <v>8</v>
      </c>
      <c r="S36" s="1464">
        <f t="shared" si="12"/>
        <v>100</v>
      </c>
      <c r="T36" s="1463" t="s">
        <v>8</v>
      </c>
      <c r="U36" s="1464">
        <f t="shared" si="13"/>
        <v>100</v>
      </c>
      <c r="V36" s="1463" t="s">
        <v>8</v>
      </c>
      <c r="W36" s="1464">
        <f t="shared" si="14"/>
        <v>100</v>
      </c>
      <c r="X36" s="1457"/>
      <c r="Y36" s="3674"/>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69" t="str">
        <f>A37</f>
        <v>成交单价</v>
      </c>
      <c r="Q37" s="3669"/>
      <c r="R37" s="3783">
        <f>E37</f>
        <v>0</v>
      </c>
      <c r="S37" s="3783"/>
      <c r="T37" s="3783">
        <f>G37</f>
        <v>0</v>
      </c>
      <c r="U37" s="3783"/>
      <c r="V37" s="3783">
        <f>I37</f>
        <v>0</v>
      </c>
      <c r="W37" s="3783"/>
      <c r="X37" s="1452"/>
      <c r="Y37" s="1471"/>
      <c r="Z37" s="1452"/>
      <c r="AA37" s="1452"/>
      <c r="AB37" s="1452"/>
      <c r="AC37" s="1452"/>
    </row>
    <row r="38" spans="1:29" ht="15.75" thickBot="1">
      <c r="A38" s="591"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69" t="str">
        <f>A38</f>
        <v>比较价格（元/平方米）</v>
      </c>
      <c r="Q38" s="3669"/>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452"/>
      <c r="Y38" s="1452"/>
      <c r="Z38" s="1452"/>
      <c r="AA38" s="1452"/>
      <c r="AB38" s="1452"/>
      <c r="AC38" s="1452"/>
    </row>
    <row r="39" spans="1:29" ht="15.75" thickBot="1">
      <c r="A39" s="595" t="s">
        <v>2637</v>
      </c>
      <c r="B39" s="596"/>
      <c r="C39" s="2400" t="e">
        <f>R39</f>
        <v>#DIV/0!</v>
      </c>
      <c r="D39" s="2400"/>
      <c r="E39" s="2400"/>
      <c r="F39" s="2400"/>
      <c r="G39" s="2400"/>
      <c r="H39" s="2400"/>
      <c r="I39" s="2400"/>
      <c r="J39" s="2400"/>
      <c r="K39" s="1497"/>
      <c r="L39" s="1980"/>
      <c r="M39" s="1981"/>
      <c r="N39" s="1981"/>
      <c r="O39" s="1981"/>
      <c r="P39" s="3675" t="str">
        <f>A39</f>
        <v>估价对象XX用房的比较价格（楼面单价，元/平方米）</v>
      </c>
      <c r="Q39" s="3676"/>
      <c r="R39" s="3782" t="e">
        <f>IF(F1="售价",ROUND(IF(D38="简单平均",AVERAGE(R38:W38),R38*F38+T38*H38+V38*J38),0),ROUND(IF(D38="简单平均",AVERAGE(R38:V38),R38*F38+T38*H38+V38*J38),1))</f>
        <v>#DIV/0!</v>
      </c>
      <c r="S39" s="3782"/>
      <c r="T39" s="3782"/>
      <c r="U39" s="3782"/>
      <c r="V39" s="3782"/>
      <c r="W39" s="3782"/>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19" t="s">
        <v>512</v>
      </c>
      <c r="B48" s="620"/>
      <c r="C48" s="2441" t="str">
        <f>YEAR(C7)&amp;"-"&amp;MONTH(C7)</f>
        <v>2022-9</v>
      </c>
      <c r="D48" s="2443">
        <f>EDATE(C48,-1)</f>
        <v>44774</v>
      </c>
      <c r="E48" s="2443">
        <f t="shared" ref="E48:O48" si="16">EDATE(D48,-1)</f>
        <v>44743</v>
      </c>
      <c r="F48" s="2443">
        <f t="shared" si="16"/>
        <v>44713</v>
      </c>
      <c r="G48" s="2443">
        <f t="shared" si="16"/>
        <v>44682</v>
      </c>
      <c r="H48" s="2443">
        <f t="shared" si="16"/>
        <v>44652</v>
      </c>
      <c r="I48" s="2443">
        <f t="shared" si="16"/>
        <v>44621</v>
      </c>
      <c r="J48" s="2443">
        <f t="shared" si="16"/>
        <v>44593</v>
      </c>
      <c r="K48" s="2443">
        <f t="shared" si="16"/>
        <v>44562</v>
      </c>
      <c r="L48" s="2443">
        <f t="shared" si="16"/>
        <v>44531</v>
      </c>
      <c r="M48" s="2443">
        <f t="shared" si="16"/>
        <v>44501</v>
      </c>
      <c r="N48" s="2443">
        <f t="shared" si="16"/>
        <v>44470</v>
      </c>
      <c r="O48" s="2443">
        <f t="shared" si="16"/>
        <v>44440</v>
      </c>
      <c r="P48" s="1995"/>
      <c r="Q48" s="1996"/>
      <c r="R48" s="1996"/>
      <c r="S48" s="1996"/>
      <c r="T48" s="1996"/>
      <c r="U48" s="1996"/>
      <c r="V48" s="1996"/>
      <c r="W48" s="1996"/>
      <c r="X48" s="1996"/>
      <c r="Y48" s="1996"/>
      <c r="Z48" s="1996"/>
      <c r="AA48" s="1996"/>
      <c r="AB48" s="1996"/>
      <c r="AC48" s="1996"/>
    </row>
    <row r="49" spans="1:29" s="1166" customFormat="1" ht="15">
      <c r="A49" s="621"/>
      <c r="B49" s="622"/>
      <c r="C49" s="2442">
        <v>100</v>
      </c>
      <c r="D49" s="624"/>
      <c r="E49" s="624"/>
      <c r="F49" s="624"/>
      <c r="G49" s="624"/>
      <c r="H49" s="624"/>
      <c r="I49" s="624"/>
      <c r="J49" s="624"/>
      <c r="K49" s="624"/>
      <c r="L49" s="624"/>
      <c r="M49" s="625"/>
      <c r="N49" s="624"/>
      <c r="O49" s="626"/>
      <c r="P49" s="1993"/>
      <c r="Q49" s="1859"/>
      <c r="R49" s="1859"/>
      <c r="S49" s="1859"/>
      <c r="T49" s="1859"/>
      <c r="U49" s="1859"/>
      <c r="V49" s="1859"/>
      <c r="W49" s="1859"/>
      <c r="X49" s="1859"/>
      <c r="Y49" s="1859"/>
      <c r="Z49" s="1859"/>
      <c r="AA49" s="1859"/>
      <c r="AB49" s="1859"/>
      <c r="AC49" s="1859"/>
    </row>
    <row r="50" spans="1:29" s="1166" customFormat="1" ht="15.75" thickBot="1">
      <c r="A50" s="627" t="s">
        <v>557</v>
      </c>
      <c r="B50" s="628"/>
      <c r="C50" s="629"/>
      <c r="D50" s="630"/>
      <c r="E50" s="630"/>
      <c r="F50" s="630"/>
      <c r="G50" s="630"/>
      <c r="H50" s="630"/>
      <c r="I50" s="630"/>
      <c r="J50" s="630"/>
      <c r="K50" s="630"/>
      <c r="L50" s="630"/>
      <c r="M50" s="631"/>
      <c r="N50" s="630"/>
      <c r="O50" s="632"/>
      <c r="P50" s="1993"/>
      <c r="Q50" s="1993"/>
      <c r="R50" s="1859"/>
      <c r="S50" s="1859"/>
      <c r="T50" s="1859"/>
      <c r="U50" s="1859"/>
      <c r="V50" s="1859"/>
      <c r="W50" s="1859"/>
      <c r="X50" s="1859"/>
      <c r="Y50" s="1859"/>
      <c r="Z50" s="1859"/>
      <c r="AA50" s="1859"/>
      <c r="AB50" s="1859"/>
      <c r="AC50" s="1859"/>
    </row>
    <row r="51" spans="1:29" s="1166" customFormat="1" ht="15">
      <c r="A51" s="633" t="s">
        <v>514</v>
      </c>
      <c r="B51" s="622"/>
      <c r="C51" s="634" t="s">
        <v>558</v>
      </c>
      <c r="D51" s="635"/>
      <c r="E51" s="635"/>
      <c r="F51" s="635"/>
      <c r="G51" s="635"/>
      <c r="H51" s="635"/>
      <c r="I51" s="635"/>
      <c r="J51" s="635"/>
      <c r="K51" s="635"/>
      <c r="L51" s="636"/>
      <c r="M51" s="637"/>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3"/>
      <c r="B52" s="622"/>
      <c r="C52" s="623">
        <v>100</v>
      </c>
      <c r="D52" s="624"/>
      <c r="E52" s="624"/>
      <c r="F52" s="624"/>
      <c r="G52" s="624"/>
      <c r="H52" s="624"/>
      <c r="I52" s="624"/>
      <c r="J52" s="624"/>
      <c r="K52" s="624"/>
      <c r="L52" s="624"/>
      <c r="M52" s="626"/>
      <c r="N52" s="1997"/>
      <c r="O52" s="1997"/>
      <c r="P52" s="1993"/>
      <c r="Q52" s="1993"/>
      <c r="R52" s="1859"/>
      <c r="S52" s="1859"/>
      <c r="T52" s="1859"/>
      <c r="U52" s="1859"/>
      <c r="V52" s="1859"/>
      <c r="W52" s="1859"/>
      <c r="X52" s="1859"/>
      <c r="Y52" s="1859"/>
      <c r="Z52" s="1859"/>
      <c r="AA52" s="1859"/>
      <c r="AB52" s="1859"/>
      <c r="AC52" s="1859"/>
    </row>
    <row r="53" spans="1:29">
      <c r="A53" s="638" t="s">
        <v>559</v>
      </c>
      <c r="B53" s="639" t="s">
        <v>517</v>
      </c>
      <c r="C53" s="678">
        <f>C9</f>
        <v>0</v>
      </c>
      <c r="D53" s="574"/>
      <c r="E53" s="574"/>
      <c r="F53" s="574"/>
      <c r="G53" s="574"/>
      <c r="H53" s="574"/>
      <c r="I53" s="574"/>
      <c r="J53" s="574"/>
      <c r="K53" s="640"/>
      <c r="L53" s="641"/>
      <c r="M53" s="642"/>
      <c r="N53" s="1999"/>
      <c r="O53" s="1999"/>
      <c r="P53" s="2000"/>
      <c r="Q53" s="1993"/>
      <c r="R53" s="1981"/>
      <c r="S53" s="1981"/>
      <c r="T53" s="1981"/>
      <c r="U53" s="1981"/>
      <c r="V53" s="1981"/>
      <c r="W53" s="1981"/>
      <c r="X53" s="1981"/>
      <c r="Y53" s="1981"/>
      <c r="Z53" s="1981"/>
      <c r="AA53" s="1981"/>
      <c r="AB53" s="1981"/>
      <c r="AC53" s="1981"/>
    </row>
    <row r="54" spans="1:29" ht="15.75" thickBot="1">
      <c r="A54" s="643"/>
      <c r="B54" s="644"/>
      <c r="C54" s="645"/>
      <c r="D54" s="645"/>
      <c r="E54" s="645"/>
      <c r="F54" s="645"/>
      <c r="G54" s="645"/>
      <c r="H54" s="645"/>
      <c r="I54" s="645"/>
      <c r="J54" s="645"/>
      <c r="K54" s="645"/>
      <c r="L54" s="645"/>
      <c r="M54" s="646"/>
      <c r="N54" s="2001"/>
      <c r="O54" s="2001"/>
      <c r="P54" s="2000"/>
      <c r="Q54" s="1993"/>
      <c r="R54" s="1981"/>
      <c r="S54" s="1981"/>
      <c r="T54" s="1981"/>
      <c r="U54" s="1981"/>
      <c r="V54" s="1981"/>
      <c r="W54" s="1981"/>
      <c r="X54" s="1981"/>
      <c r="Y54" s="1981"/>
      <c r="Z54" s="1981"/>
      <c r="AA54" s="1981"/>
      <c r="AB54" s="1981"/>
      <c r="AC54" s="1981"/>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9"/>
      <c r="O55" s="1999"/>
      <c r="P55" s="2000"/>
      <c r="Q55" s="1993"/>
      <c r="R55" s="1981"/>
      <c r="S55" s="1981"/>
      <c r="T55" s="1981"/>
      <c r="U55" s="1981"/>
      <c r="V55" s="1981"/>
      <c r="W55" s="1981"/>
      <c r="X55" s="1981"/>
      <c r="Y55" s="1981"/>
      <c r="Z55" s="1981"/>
      <c r="AA55" s="1981"/>
      <c r="AB55" s="1981"/>
      <c r="AC55" s="1981"/>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1"/>
      <c r="O56" s="2001"/>
      <c r="P56" s="2000"/>
      <c r="Q56" s="1993"/>
      <c r="R56" s="1981"/>
      <c r="S56" s="1981"/>
      <c r="T56" s="1981"/>
      <c r="U56" s="1981"/>
      <c r="V56" s="1981"/>
      <c r="W56" s="1981"/>
      <c r="X56" s="1981"/>
      <c r="Y56" s="1981"/>
      <c r="Z56" s="1981"/>
      <c r="AA56" s="1981"/>
      <c r="AB56" s="1981"/>
      <c r="AC56" s="1981"/>
    </row>
    <row r="57" spans="1:29" ht="15.75" thickTop="1">
      <c r="A57" s="643"/>
      <c r="B57" s="906">
        <f>B11</f>
        <v>111</v>
      </c>
      <c r="C57" s="517"/>
      <c r="D57" s="517"/>
      <c r="E57" s="517"/>
      <c r="F57" s="517"/>
      <c r="G57" s="517"/>
      <c r="H57" s="517"/>
      <c r="I57" s="517"/>
      <c r="J57" s="517"/>
      <c r="K57" s="658"/>
      <c r="L57" s="659"/>
      <c r="M57" s="660"/>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66"/>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1"/>
      <c r="B59" s="647">
        <f>B12</f>
        <v>111</v>
      </c>
      <c r="C59" s="517"/>
      <c r="D59" s="517"/>
      <c r="E59" s="517"/>
      <c r="F59" s="517"/>
      <c r="G59" s="662"/>
      <c r="H59" s="663"/>
      <c r="I59" s="663"/>
      <c r="J59" s="663"/>
      <c r="K59" s="663"/>
      <c r="L59" s="664"/>
      <c r="M59" s="665"/>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1"/>
      <c r="B60" s="652"/>
      <c r="C60" s="666"/>
      <c r="D60" s="645"/>
      <c r="E60" s="645"/>
      <c r="F60" s="645"/>
      <c r="G60" s="645"/>
      <c r="H60" s="645"/>
      <c r="I60" s="645"/>
      <c r="J60" s="645"/>
      <c r="K60" s="645"/>
      <c r="L60" s="645"/>
      <c r="M60" s="646"/>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1"/>
      <c r="B61" s="647">
        <f>B13</f>
        <v>111</v>
      </c>
      <c r="C61" s="662"/>
      <c r="D61" s="662"/>
      <c r="E61" s="662"/>
      <c r="F61" s="662"/>
      <c r="G61" s="662"/>
      <c r="H61" s="663"/>
      <c r="I61" s="663"/>
      <c r="J61" s="663"/>
      <c r="K61" s="663"/>
      <c r="L61" s="664"/>
      <c r="M61" s="665"/>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1"/>
      <c r="B62" s="652"/>
      <c r="C62" s="666"/>
      <c r="D62" s="666"/>
      <c r="E62" s="666"/>
      <c r="F62" s="666"/>
      <c r="G62" s="666"/>
      <c r="H62" s="667"/>
      <c r="I62" s="667"/>
      <c r="J62" s="667"/>
      <c r="K62" s="667"/>
      <c r="L62" s="667"/>
      <c r="M62" s="668"/>
      <c r="N62" s="2002"/>
      <c r="O62" s="2002"/>
      <c r="P62" s="2003"/>
      <c r="Q62" s="2004"/>
      <c r="R62" s="2005"/>
      <c r="S62" s="2005"/>
      <c r="T62" s="2005"/>
      <c r="U62" s="2005"/>
      <c r="V62" s="2005"/>
      <c r="W62" s="2005"/>
      <c r="X62" s="2005"/>
      <c r="Y62" s="2005"/>
      <c r="Z62" s="2005"/>
      <c r="AA62" s="2005"/>
      <c r="AB62" s="2005"/>
      <c r="AC62" s="2005"/>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9"/>
      <c r="O63" s="1999"/>
      <c r="P63" s="2009"/>
      <c r="Q63" s="1993"/>
      <c r="R63" s="1981"/>
      <c r="S63" s="1981"/>
      <c r="T63" s="1981"/>
      <c r="U63" s="1981"/>
      <c r="V63" s="1981"/>
      <c r="W63" s="1981"/>
      <c r="X63" s="1981"/>
      <c r="Y63" s="1981"/>
      <c r="Z63" s="1981"/>
      <c r="AA63" s="1981"/>
      <c r="AB63" s="1981"/>
      <c r="AC63" s="1981"/>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1765" t="s">
        <v>2275</v>
      </c>
      <c r="C65" s="682" t="s">
        <v>561</v>
      </c>
      <c r="D65" s="682" t="s">
        <v>562</v>
      </c>
      <c r="E65" s="682" t="s">
        <v>563</v>
      </c>
      <c r="F65" s="682" t="s">
        <v>564</v>
      </c>
      <c r="G65" s="682" t="s">
        <v>565</v>
      </c>
      <c r="H65" s="648"/>
      <c r="I65" s="648"/>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2363" t="s">
        <v>2276</v>
      </c>
      <c r="C67" s="2364" t="s">
        <v>2277</v>
      </c>
      <c r="D67" s="2364" t="s">
        <v>2278</v>
      </c>
      <c r="E67" s="2364" t="s">
        <v>2279</v>
      </c>
      <c r="F67" s="2364" t="s">
        <v>2280</v>
      </c>
      <c r="G67" s="2364" t="s">
        <v>2281</v>
      </c>
      <c r="H67" s="648"/>
      <c r="I67" s="648"/>
      <c r="J67" s="648"/>
      <c r="K67" s="648"/>
      <c r="L67" s="648"/>
      <c r="M67" s="2367"/>
      <c r="N67" s="2001"/>
      <c r="O67" s="2001"/>
      <c r="P67" s="2000"/>
      <c r="Q67" s="1993"/>
      <c r="R67" s="1981"/>
      <c r="S67" s="1981"/>
      <c r="T67" s="1981"/>
      <c r="U67" s="1981"/>
      <c r="V67" s="1981"/>
      <c r="W67" s="1981"/>
      <c r="X67" s="1981"/>
      <c r="Y67" s="1981"/>
      <c r="Z67" s="1981"/>
      <c r="AA67" s="1981"/>
      <c r="AB67" s="1981"/>
      <c r="AC67" s="1981"/>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726</v>
      </c>
      <c r="C69" s="682" t="s">
        <v>561</v>
      </c>
      <c r="D69" s="682" t="s">
        <v>562</v>
      </c>
      <c r="E69" s="682" t="s">
        <v>563</v>
      </c>
      <c r="F69" s="682" t="s">
        <v>564</v>
      </c>
      <c r="G69" s="682" t="s">
        <v>565</v>
      </c>
      <c r="H69" s="648"/>
      <c r="I69" s="648"/>
      <c r="J69" s="648"/>
      <c r="K69" s="649"/>
      <c r="L69" s="650"/>
      <c r="M69" s="651"/>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ht="15.75" thickTop="1">
      <c r="A71" s="643"/>
      <c r="B71" s="647" t="s">
        <v>727</v>
      </c>
      <c r="C71" s="662"/>
      <c r="D71" s="662"/>
      <c r="E71" s="662"/>
      <c r="F71" s="662"/>
      <c r="G71" s="662"/>
      <c r="H71" s="692"/>
      <c r="I71" s="692"/>
      <c r="J71" s="692"/>
      <c r="K71" s="693"/>
      <c r="L71" s="694"/>
      <c r="M71" s="695"/>
      <c r="N71" s="1999"/>
      <c r="O71" s="1999"/>
      <c r="P71" s="2000"/>
      <c r="Q71" s="1993"/>
      <c r="R71" s="1981"/>
      <c r="S71" s="1981"/>
      <c r="T71" s="1981"/>
      <c r="U71" s="1981"/>
      <c r="V71" s="1981"/>
      <c r="W71" s="1981"/>
      <c r="X71" s="1981"/>
      <c r="Y71" s="1981"/>
      <c r="Z71" s="1981"/>
      <c r="AA71" s="1981"/>
      <c r="AB71" s="1981"/>
      <c r="AC71" s="1981"/>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3"/>
      <c r="B73" s="647">
        <f>B23</f>
        <v>111</v>
      </c>
      <c r="C73" s="517"/>
      <c r="D73" s="517"/>
      <c r="E73" s="517"/>
      <c r="F73" s="517"/>
      <c r="G73" s="662"/>
      <c r="H73" s="662"/>
      <c r="I73" s="662"/>
      <c r="J73" s="662"/>
      <c r="K73" s="662"/>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3"/>
      <c r="B75" s="647">
        <f>B24</f>
        <v>111</v>
      </c>
      <c r="C75" s="517"/>
      <c r="D75" s="517"/>
      <c r="E75" s="517"/>
      <c r="F75" s="517"/>
      <c r="G75" s="662"/>
      <c r="H75" s="662"/>
      <c r="I75" s="662"/>
      <c r="J75" s="662"/>
      <c r="K75" s="662"/>
      <c r="L75" s="662"/>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3"/>
      <c r="B76" s="652"/>
      <c r="C76" s="666"/>
      <c r="D76" s="645"/>
      <c r="E76" s="645"/>
      <c r="F76" s="645"/>
      <c r="G76" s="645"/>
      <c r="H76" s="645"/>
      <c r="I76" s="645"/>
      <c r="J76" s="645"/>
      <c r="K76" s="645"/>
      <c r="L76" s="645"/>
      <c r="M76" s="646"/>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1"/>
      <c r="B77" s="647">
        <f>B25</f>
        <v>111</v>
      </c>
      <c r="C77" s="662"/>
      <c r="D77" s="662"/>
      <c r="E77" s="662"/>
      <c r="F77" s="662"/>
      <c r="G77" s="662"/>
      <c r="H77" s="663"/>
      <c r="I77" s="663"/>
      <c r="J77" s="663"/>
      <c r="K77" s="663"/>
      <c r="L77" s="664"/>
      <c r="M77" s="665"/>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1"/>
      <c r="B78" s="652"/>
      <c r="C78" s="666"/>
      <c r="D78" s="666"/>
      <c r="E78" s="666"/>
      <c r="F78" s="666"/>
      <c r="G78" s="645"/>
      <c r="H78" s="645"/>
      <c r="I78" s="645"/>
      <c r="J78" s="645"/>
      <c r="K78" s="645"/>
      <c r="L78" s="645"/>
      <c r="M78" s="646"/>
      <c r="N78" s="2002"/>
      <c r="O78" s="2002"/>
      <c r="P78" s="2003"/>
      <c r="Q78" s="2004"/>
      <c r="R78" s="2005"/>
      <c r="S78" s="2005"/>
      <c r="T78" s="2005"/>
      <c r="U78" s="2005"/>
      <c r="V78" s="2005"/>
      <c r="W78" s="2005"/>
      <c r="X78" s="2005"/>
      <c r="Y78" s="2005"/>
      <c r="Z78" s="2005"/>
      <c r="AA78" s="2005"/>
      <c r="AB78" s="2005"/>
      <c r="AC78" s="2005"/>
    </row>
    <row r="79" spans="1:29" ht="27.75" thickTop="1">
      <c r="A79" s="638" t="s">
        <v>534</v>
      </c>
      <c r="B79" s="639" t="s">
        <v>796</v>
      </c>
      <c r="C79" s="678">
        <f>C26</f>
        <v>0</v>
      </c>
      <c r="D79" s="574"/>
      <c r="E79" s="574"/>
      <c r="F79" s="574"/>
      <c r="G79" s="574"/>
      <c r="H79" s="574"/>
      <c r="I79" s="574"/>
      <c r="J79" s="574"/>
      <c r="K79" s="640"/>
      <c r="L79" s="641"/>
      <c r="M79" s="642"/>
      <c r="N79" s="1999"/>
      <c r="O79" s="1999"/>
      <c r="P79" s="2000"/>
      <c r="Q79" s="1993"/>
      <c r="R79" s="1981"/>
      <c r="S79" s="1981"/>
      <c r="T79" s="1981"/>
      <c r="U79" s="1981"/>
      <c r="V79" s="1981"/>
      <c r="W79" s="1981"/>
      <c r="X79" s="1981"/>
      <c r="Y79" s="1981"/>
      <c r="Z79" s="1981"/>
      <c r="AA79" s="1981"/>
      <c r="AB79" s="1981"/>
      <c r="AC79" s="1981"/>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3"/>
      <c r="B81" s="647"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1"/>
      <c r="B82" s="652"/>
      <c r="C82" s="666"/>
      <c r="D82" s="645"/>
      <c r="E82" s="645"/>
      <c r="F82" s="645"/>
      <c r="G82" s="645"/>
      <c r="H82" s="645"/>
      <c r="I82" s="645"/>
      <c r="J82" s="645"/>
      <c r="K82" s="645"/>
      <c r="L82" s="645"/>
      <c r="M82" s="646"/>
      <c r="N82" s="2001"/>
      <c r="O82" s="2001"/>
      <c r="P82" s="2003"/>
      <c r="Q82" s="2004"/>
      <c r="R82" s="2005"/>
      <c r="S82" s="2005"/>
      <c r="T82" s="2005"/>
      <c r="U82" s="2005"/>
      <c r="V82" s="2005"/>
      <c r="W82" s="2005"/>
      <c r="X82" s="2005"/>
      <c r="Y82" s="2005"/>
      <c r="Z82" s="2005"/>
      <c r="AA82" s="2005"/>
      <c r="AB82" s="2005"/>
      <c r="AC82" s="2005"/>
    </row>
    <row r="83" spans="1:29" ht="15" thickTop="1">
      <c r="A83" s="709"/>
      <c r="B83" s="647" t="s">
        <v>733</v>
      </c>
      <c r="C83" s="662"/>
      <c r="D83" s="662"/>
      <c r="E83" s="692"/>
      <c r="F83" s="692"/>
      <c r="G83" s="692"/>
      <c r="H83" s="692"/>
      <c r="I83" s="692"/>
      <c r="J83" s="692"/>
      <c r="K83" s="693"/>
      <c r="L83" s="694"/>
      <c r="M83" s="695"/>
      <c r="N83" s="1999"/>
      <c r="O83" s="1999"/>
      <c r="P83" s="2000"/>
      <c r="Q83" s="1993"/>
      <c r="R83" s="1981"/>
      <c r="S83" s="1981"/>
      <c r="T83" s="1981"/>
      <c r="U83" s="1981"/>
      <c r="V83" s="1981"/>
      <c r="W83" s="1981"/>
      <c r="X83" s="1981"/>
      <c r="Y83" s="1981"/>
      <c r="Z83" s="1981"/>
      <c r="AA83" s="1981"/>
      <c r="AB83" s="1981"/>
      <c r="AC83" s="1981"/>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9"/>
      <c r="O85" s="1999"/>
      <c r="P85" s="2000"/>
      <c r="Q85" s="1993"/>
      <c r="R85" s="1981"/>
      <c r="S85" s="1981"/>
      <c r="T85" s="1981"/>
      <c r="U85" s="1981"/>
      <c r="V85" s="1981"/>
      <c r="W85" s="1981"/>
      <c r="X85" s="1981"/>
      <c r="Y85" s="1981"/>
      <c r="Z85" s="1981"/>
      <c r="AA85" s="1981"/>
      <c r="AB85" s="1981"/>
      <c r="AC85" s="1981"/>
    </row>
    <row r="86" spans="1:29">
      <c r="A86" s="709"/>
      <c r="B86" s="655"/>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09"/>
      <c r="B88" s="655" t="s">
        <v>799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2"/>
      <c r="B91" s="655"/>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2"/>
      <c r="O92" s="2002"/>
      <c r="P92" s="2003"/>
      <c r="Q92" s="2004"/>
      <c r="R92" s="2005"/>
      <c r="S92" s="2005"/>
      <c r="T92" s="2005"/>
      <c r="U92" s="2005"/>
      <c r="V92" s="2005"/>
      <c r="W92" s="2005"/>
      <c r="X92" s="2005"/>
      <c r="Y92" s="2005"/>
      <c r="Z92" s="2005"/>
      <c r="AA92" s="2005"/>
      <c r="AB92" s="2005"/>
      <c r="AC92" s="2005"/>
    </row>
    <row r="93" spans="1:29" ht="15" thickTop="1">
      <c r="A93" s="709"/>
      <c r="B93" s="647" t="s">
        <v>801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802</v>
      </c>
      <c r="C95" s="574"/>
      <c r="D95" s="574"/>
      <c r="E95" s="574"/>
      <c r="F95" s="574"/>
      <c r="G95" s="574"/>
      <c r="H95" s="574"/>
      <c r="I95" s="574"/>
      <c r="J95" s="574"/>
      <c r="K95" s="640"/>
      <c r="L95" s="641"/>
      <c r="M95" s="642"/>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ht="15" thickTop="1">
      <c r="A97" s="709"/>
      <c r="B97" s="888">
        <f>B34</f>
        <v>111</v>
      </c>
      <c r="C97" s="517"/>
      <c r="D97" s="517"/>
      <c r="E97" s="517"/>
      <c r="F97" s="517"/>
      <c r="G97" s="662"/>
      <c r="H97" s="663"/>
      <c r="I97" s="663"/>
      <c r="J97" s="663"/>
      <c r="K97" s="663"/>
      <c r="L97" s="664"/>
      <c r="M97" s="665"/>
      <c r="N97" s="2001"/>
      <c r="O97" s="2001"/>
      <c r="P97" s="2040"/>
      <c r="Q97" s="2041"/>
      <c r="R97" s="1981"/>
      <c r="S97" s="1981"/>
      <c r="T97" s="1981"/>
      <c r="U97" s="1981"/>
      <c r="V97" s="1981"/>
      <c r="W97" s="1981"/>
      <c r="X97" s="1981"/>
      <c r="Y97" s="1981"/>
      <c r="Z97" s="1981"/>
      <c r="AA97" s="1981"/>
      <c r="AB97" s="1981"/>
      <c r="AC97" s="1981"/>
    </row>
    <row r="98" spans="1:29" ht="15.75" thickBot="1">
      <c r="A98" s="643"/>
      <c r="B98" s="652"/>
      <c r="C98" s="666"/>
      <c r="D98" s="645"/>
      <c r="E98" s="645"/>
      <c r="F98" s="645"/>
      <c r="G98" s="666"/>
      <c r="H98" s="667"/>
      <c r="I98" s="667"/>
      <c r="J98" s="667"/>
      <c r="K98" s="667"/>
      <c r="L98" s="667"/>
      <c r="M98" s="668"/>
      <c r="N98" s="2001"/>
      <c r="O98" s="2001"/>
      <c r="P98" s="2000"/>
      <c r="Q98" s="1993"/>
      <c r="R98" s="1981"/>
      <c r="S98" s="1981"/>
      <c r="T98" s="1981"/>
      <c r="U98" s="1981"/>
      <c r="V98" s="1981"/>
      <c r="W98" s="1981"/>
      <c r="X98" s="1981"/>
      <c r="Y98" s="1981"/>
      <c r="Z98" s="1981"/>
      <c r="AA98" s="1981"/>
      <c r="AB98" s="1981"/>
      <c r="AC98" s="1981"/>
    </row>
    <row r="99" spans="1:29" s="1248" customFormat="1" ht="15" thickTop="1">
      <c r="A99" s="702"/>
      <c r="B99" s="647">
        <f>B35</f>
        <v>111</v>
      </c>
      <c r="C99" s="517"/>
      <c r="D99" s="517"/>
      <c r="E99" s="517"/>
      <c r="F99" s="517"/>
      <c r="G99" s="662"/>
      <c r="H99" s="663"/>
      <c r="I99" s="663"/>
      <c r="J99" s="663"/>
      <c r="K99" s="663"/>
      <c r="L99" s="664"/>
      <c r="M99" s="665"/>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1"/>
      <c r="B100" s="644"/>
      <c r="C100" s="666"/>
      <c r="D100" s="645"/>
      <c r="E100" s="645"/>
      <c r="F100" s="645"/>
      <c r="G100" s="666"/>
      <c r="H100" s="667"/>
      <c r="I100" s="667"/>
      <c r="J100" s="667"/>
      <c r="K100" s="667"/>
      <c r="L100" s="667"/>
      <c r="M100" s="668"/>
      <c r="N100" s="2002"/>
      <c r="O100" s="2002"/>
      <c r="P100" s="2003"/>
      <c r="Q100" s="2004"/>
      <c r="R100" s="2005"/>
      <c r="S100" s="2005"/>
      <c r="T100" s="2005"/>
      <c r="U100" s="2005"/>
      <c r="V100" s="2005"/>
      <c r="W100" s="2005"/>
      <c r="X100" s="2005"/>
      <c r="Y100" s="2005"/>
      <c r="Z100" s="2005"/>
      <c r="AA100" s="2005"/>
      <c r="AB100" s="2005"/>
      <c r="AC100" s="2005"/>
    </row>
    <row r="101" spans="1:29" ht="15" thickTop="1">
      <c r="A101" s="709"/>
      <c r="B101" s="647">
        <f>B36</f>
        <v>111</v>
      </c>
      <c r="C101" s="662"/>
      <c r="D101" s="662"/>
      <c r="E101" s="662"/>
      <c r="F101" s="662"/>
      <c r="G101" s="662"/>
      <c r="H101" s="663"/>
      <c r="I101" s="663"/>
      <c r="J101" s="663"/>
      <c r="K101" s="663"/>
      <c r="L101" s="664"/>
      <c r="M101" s="665"/>
      <c r="N101" s="1999"/>
      <c r="O101" s="1999"/>
      <c r="P101" s="2000"/>
      <c r="Q101" s="1993"/>
      <c r="R101" s="1981"/>
      <c r="S101" s="1981"/>
      <c r="T101" s="1981"/>
      <c r="U101" s="1981"/>
      <c r="V101" s="1981"/>
      <c r="W101" s="1981"/>
      <c r="X101" s="1981"/>
      <c r="Y101" s="1981"/>
      <c r="Z101" s="1981"/>
      <c r="AA101" s="1981"/>
      <c r="AB101" s="1981"/>
      <c r="AC101" s="1981"/>
    </row>
    <row r="102" spans="1:29" ht="15.75" thickBot="1">
      <c r="A102" s="643"/>
      <c r="B102" s="652"/>
      <c r="C102" s="666"/>
      <c r="D102" s="666"/>
      <c r="E102" s="666"/>
      <c r="F102" s="666"/>
      <c r="G102" s="666"/>
      <c r="H102" s="667"/>
      <c r="I102" s="667"/>
      <c r="J102" s="667"/>
      <c r="K102" s="667"/>
      <c r="L102" s="667"/>
      <c r="M102" s="668"/>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C37</f>
        <v>#DIV/0!</v>
      </c>
      <c r="C3" s="823" t="s">
        <v>778</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77" t="s">
        <v>780</v>
      </c>
      <c r="D4" s="3678"/>
      <c r="E4" s="3699" t="s">
        <v>781</v>
      </c>
      <c r="F4" s="3700"/>
      <c r="G4" s="3677" t="s">
        <v>782</v>
      </c>
      <c r="H4" s="3678"/>
      <c r="I4" s="3677" t="s">
        <v>783</v>
      </c>
      <c r="J4" s="3678"/>
      <c r="K4" s="490" t="s">
        <v>784</v>
      </c>
      <c r="L4" s="1969"/>
      <c r="M4" s="1970"/>
      <c r="N4" s="1970"/>
      <c r="O4" s="1970"/>
      <c r="P4" s="3679" t="s">
        <v>785</v>
      </c>
      <c r="Q4" s="3680"/>
      <c r="R4" s="3663" t="s">
        <v>781</v>
      </c>
      <c r="S4" s="3664"/>
      <c r="T4" s="3663" t="s">
        <v>782</v>
      </c>
      <c r="U4" s="3664"/>
      <c r="V4" s="3685" t="s">
        <v>783</v>
      </c>
      <c r="W4" s="3685"/>
      <c r="X4" s="1457"/>
      <c r="Y4" s="3663" t="s">
        <v>785</v>
      </c>
      <c r="Z4" s="3664"/>
      <c r="AA4" s="3658" t="s">
        <v>781</v>
      </c>
      <c r="AB4" s="3659" t="s">
        <v>782</v>
      </c>
      <c r="AC4" s="3658" t="s">
        <v>783</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SUMIF(46:46,YEAR(E7)&amp;"-"&amp;MONTH(E7),47:47)</f>
        <v>0</v>
      </c>
      <c r="G7" s="499"/>
      <c r="H7" s="496">
        <f>SUMIF(46:46,YEAR(G7)&amp;"-"&amp;MONTH(G7),47:47)</f>
        <v>0</v>
      </c>
      <c r="I7" s="499"/>
      <c r="J7" s="496">
        <f>SUMIF(46:46,YEAR(I7)&amp;"-"&amp;MONTH(I7),47:47)</f>
        <v>0</v>
      </c>
      <c r="K7" s="500"/>
      <c r="L7" s="1971"/>
      <c r="M7" s="1972"/>
      <c r="N7" s="1972"/>
      <c r="O7" s="1972"/>
      <c r="P7" s="3661" t="s">
        <v>513</v>
      </c>
      <c r="Q7" s="3670"/>
      <c r="R7" s="1458" t="s">
        <v>8</v>
      </c>
      <c r="S7" s="1459">
        <f t="shared" ref="S7:S14" si="0">F7</f>
        <v>0</v>
      </c>
      <c r="T7" s="1458" t="s">
        <v>8</v>
      </c>
      <c r="U7" s="1459">
        <f t="shared" ref="U7:U14" si="1">H7</f>
        <v>0</v>
      </c>
      <c r="V7" s="1458" t="s">
        <v>8</v>
      </c>
      <c r="W7" s="1459">
        <f t="shared" ref="W7:W14"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SUMIF(49:49,E8,50:50)-SUMIF(49:49,C8,50:50)+100</f>
        <v>0</v>
      </c>
      <c r="G8" s="501"/>
      <c r="H8" s="496">
        <f>SUMIF(49:49,G8,50:50)-SUMIF(49:49,C8,50:50)+100</f>
        <v>0</v>
      </c>
      <c r="I8" s="501"/>
      <c r="J8" s="496">
        <f>SUMIF(49:49,I8,50:50)-SUMIF(49:49,C8,50:50)+100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34" si="3">D8/F8</f>
        <v>#DIV/0!</v>
      </c>
      <c r="AB8" s="1461" t="e">
        <f t="shared" ref="AB8:AB34" si="4">D8/H8</f>
        <v>#DIV/0!</v>
      </c>
      <c r="AC8" s="1461" t="e">
        <f t="shared" ref="AC8:AC34" si="5">D8/J8</f>
        <v>#DIV/0!</v>
      </c>
    </row>
    <row r="9" spans="1:29" s="1166" customFormat="1" ht="15">
      <c r="A9" s="2553"/>
      <c r="B9" s="2560" t="s">
        <v>2473</v>
      </c>
      <c r="C9" s="828"/>
      <c r="D9" s="251">
        <v>100</v>
      </c>
      <c r="E9" s="831"/>
      <c r="F9" s="251">
        <f>SUMIF(51:51,E9,52:52)-SUMIF(51:51,C9,52:52)+100</f>
        <v>100</v>
      </c>
      <c r="G9" s="831"/>
      <c r="H9" s="251">
        <f>SUMIF(51:51,G9,52:52)-SUMIF(51:51,C9,52:52)+100</f>
        <v>100</v>
      </c>
      <c r="I9" s="831"/>
      <c r="J9" s="251">
        <f>SUMIF(51:51,I9,52:52)-SUMIF(51:51,C9,52:52)+100</f>
        <v>100</v>
      </c>
      <c r="K9" s="500"/>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7"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SUMIF(53:53,E10,54:54)-SUMIF(53:53,C10,54:54)+100</f>
        <v>100</v>
      </c>
      <c r="G10" s="833"/>
      <c r="H10" s="252">
        <f>SUMIF(53:53,G10,54:54)-SUMIF(53:53,C10,54:54)+100</f>
        <v>100</v>
      </c>
      <c r="I10" s="832"/>
      <c r="J10" s="252">
        <f>SUMIF(53:53,I10,54:54)-SUMIF(53:53,C10,54:54)+100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6"/>
      <c r="B11" s="2562">
        <v>111</v>
      </c>
      <c r="C11" s="504"/>
      <c r="D11" s="252">
        <v>100</v>
      </c>
      <c r="E11" s="851"/>
      <c r="F11" s="252">
        <f>SUMIF(55:55,E11,56:56)-SUMIF(55:55,C11,56:56)+100</f>
        <v>100</v>
      </c>
      <c r="G11" s="851"/>
      <c r="H11" s="252">
        <f>SUMIF(55:55,G11,56:56)-SUMIF(55:55,C11,56:56)+100</f>
        <v>100</v>
      </c>
      <c r="I11" s="851"/>
      <c r="J11" s="252">
        <f>SUMIF(55:55,I11,56:56)-SUMIF(55:55,C11,56:56)+100</f>
        <v>100</v>
      </c>
      <c r="K11" s="557"/>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7"/>
      <c r="Z11" s="1096">
        <f t="shared" si="7"/>
        <v>111</v>
      </c>
      <c r="AA11" s="1461">
        <f t="shared" si="3"/>
        <v>1</v>
      </c>
      <c r="AB11" s="1461">
        <f t="shared" si="4"/>
        <v>1</v>
      </c>
      <c r="AC11" s="1461">
        <f t="shared" si="5"/>
        <v>1</v>
      </c>
    </row>
    <row r="12" spans="1:29" s="1166" customFormat="1" ht="15">
      <c r="A12" s="2556"/>
      <c r="B12" s="2562">
        <v>111</v>
      </c>
      <c r="C12" s="504"/>
      <c r="D12" s="514">
        <v>100</v>
      </c>
      <c r="E12" s="851"/>
      <c r="F12" s="252">
        <f>SUMIF(57:57,E12,58:58)-SUMIF(57:57,C12,58:58)+100</f>
        <v>100</v>
      </c>
      <c r="G12" s="851"/>
      <c r="H12" s="252">
        <f>SUMIF(57:57,G12,58:58)-SUMIF(57:57,C12,58:58)+100</f>
        <v>100</v>
      </c>
      <c r="I12" s="851"/>
      <c r="J12" s="252">
        <f>SUMIF(57:57,I12,58:58)-SUMIF(57:57,C12,58:58)+100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75" thickBot="1">
      <c r="A13" s="2557"/>
      <c r="B13" s="2563">
        <v>111</v>
      </c>
      <c r="C13" s="515"/>
      <c r="D13" s="516">
        <v>100</v>
      </c>
      <c r="E13" s="851"/>
      <c r="F13" s="252">
        <f>SUMIF(59:59,E13,60:60)-SUMIF(59:59,C13,60:60)+100</f>
        <v>100</v>
      </c>
      <c r="G13" s="851"/>
      <c r="H13" s="516">
        <f>SUMIF(59:59,G13,60:60)-SUMIF(59:59,C13,60:60)+100</f>
        <v>100</v>
      </c>
      <c r="I13" s="851"/>
      <c r="J13" s="516">
        <f>SUMIF(59:59,I13,60:60)-SUMIF(59:59,C13,60:60)+100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8"/>
      <c r="M14" s="1970"/>
      <c r="N14" s="1970"/>
      <c r="O14" s="1977"/>
      <c r="P14" s="3671" t="s">
        <v>523</v>
      </c>
      <c r="Q14" s="1462" t="str">
        <f t="shared" si="6"/>
        <v>交通便捷度</v>
      </c>
      <c r="R14" s="1463" t="s">
        <v>8</v>
      </c>
      <c r="S14" s="1464">
        <f t="shared" si="0"/>
        <v>100</v>
      </c>
      <c r="T14" s="1463" t="s">
        <v>8</v>
      </c>
      <c r="U14" s="1464">
        <f t="shared" si="1"/>
        <v>100</v>
      </c>
      <c r="V14" s="1463" t="s">
        <v>8</v>
      </c>
      <c r="W14" s="1464">
        <f t="shared" si="2"/>
        <v>100</v>
      </c>
      <c r="X14" s="1457"/>
      <c r="Y14" s="3671" t="s">
        <v>523</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8"/>
      <c r="M15" s="1970"/>
      <c r="N15" s="1970"/>
      <c r="O15" s="1977"/>
      <c r="P15" s="3672"/>
      <c r="Q15" s="1462"/>
      <c r="R15" s="1463"/>
      <c r="S15" s="1464"/>
      <c r="T15" s="1463"/>
      <c r="U15" s="1464"/>
      <c r="V15" s="1463"/>
      <c r="W15" s="1464"/>
      <c r="X15" s="1457"/>
      <c r="Y15" s="3672"/>
      <c r="Z15" s="1465"/>
      <c r="AA15" s="1466">
        <v>1</v>
      </c>
      <c r="AB15" s="1466">
        <v>1</v>
      </c>
      <c r="AC15" s="1466">
        <v>1</v>
      </c>
    </row>
    <row r="16" spans="1:29" ht="42.75">
      <c r="A16" s="508"/>
      <c r="B16" s="2369"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8"/>
      <c r="M16" s="1970"/>
      <c r="N16" s="1970"/>
      <c r="O16" s="1977"/>
      <c r="P16" s="3672"/>
      <c r="Q16" s="1462" t="str">
        <f>B16</f>
        <v>公共配套设施</v>
      </c>
      <c r="R16" s="1463" t="s">
        <v>8</v>
      </c>
      <c r="S16" s="1464">
        <f>F16</f>
        <v>100</v>
      </c>
      <c r="T16" s="1463" t="s">
        <v>8</v>
      </c>
      <c r="U16" s="1464">
        <f>H16</f>
        <v>100</v>
      </c>
      <c r="V16" s="1463" t="s">
        <v>8</v>
      </c>
      <c r="W16" s="1464">
        <f>J16</f>
        <v>100</v>
      </c>
      <c r="X16" s="1457"/>
      <c r="Y16" s="3672"/>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8"/>
      <c r="M17" s="1970"/>
      <c r="N17" s="1970"/>
      <c r="O17" s="1977"/>
      <c r="P17" s="3672"/>
      <c r="Q17" s="1462"/>
      <c r="R17" s="1463"/>
      <c r="S17" s="1464"/>
      <c r="T17" s="1463"/>
      <c r="U17" s="1464"/>
      <c r="V17" s="1463"/>
      <c r="W17" s="1464"/>
      <c r="X17" s="1457"/>
      <c r="Y17" s="3672"/>
      <c r="Z17" s="1465"/>
      <c r="AA17" s="1466">
        <v>1</v>
      </c>
      <c r="AB17" s="1466">
        <v>1</v>
      </c>
      <c r="AC17" s="1466">
        <v>1</v>
      </c>
    </row>
    <row r="18" spans="1:29" ht="28.5">
      <c r="A18" s="508"/>
      <c r="B18" s="2357"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8"/>
      <c r="M18" s="1970"/>
      <c r="N18" s="1970"/>
      <c r="O18" s="1977"/>
      <c r="P18" s="3672"/>
      <c r="Q18" s="2351" t="str">
        <f>B18</f>
        <v>基础设施水平</v>
      </c>
      <c r="R18" s="1463" t="s">
        <v>8</v>
      </c>
      <c r="S18" s="1464">
        <f>F18</f>
        <v>100</v>
      </c>
      <c r="T18" s="1463" t="s">
        <v>8</v>
      </c>
      <c r="U18" s="1464">
        <f>H18</f>
        <v>100</v>
      </c>
      <c r="V18" s="1463" t="s">
        <v>8</v>
      </c>
      <c r="W18" s="1464">
        <f>J18</f>
        <v>100</v>
      </c>
      <c r="X18" s="2353"/>
      <c r="Y18" s="3672"/>
      <c r="Z18" s="2352"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68"/>
      <c r="L19" s="1978"/>
      <c r="M19" s="1970"/>
      <c r="N19" s="1970"/>
      <c r="O19" s="1977"/>
      <c r="P19" s="3672"/>
      <c r="Q19" s="2351"/>
      <c r="R19" s="1463"/>
      <c r="S19" s="1464"/>
      <c r="T19" s="1463"/>
      <c r="U19" s="1464"/>
      <c r="V19" s="1463"/>
      <c r="W19" s="1464"/>
      <c r="X19" s="2353"/>
      <c r="Y19" s="3672"/>
      <c r="Z19" s="2352"/>
      <c r="AA19" s="1466">
        <v>1</v>
      </c>
      <c r="AB19" s="1466">
        <v>1</v>
      </c>
      <c r="AC19" s="1466">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8"/>
      <c r="M20" s="1970"/>
      <c r="N20" s="1970"/>
      <c r="O20" s="1977"/>
      <c r="P20" s="3672"/>
      <c r="Q20" s="1462" t="str">
        <f>B20</f>
        <v>自然及人文环境</v>
      </c>
      <c r="R20" s="1463" t="s">
        <v>8</v>
      </c>
      <c r="S20" s="1464">
        <f>F20</f>
        <v>100</v>
      </c>
      <c r="T20" s="1463" t="s">
        <v>8</v>
      </c>
      <c r="U20" s="1464">
        <f>H20</f>
        <v>100</v>
      </c>
      <c r="V20" s="1463" t="s">
        <v>8</v>
      </c>
      <c r="W20" s="1464">
        <f>J20</f>
        <v>100</v>
      </c>
      <c r="X20" s="1457"/>
      <c r="Y20" s="3672"/>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8"/>
      <c r="M21" s="1970"/>
      <c r="N21" s="1970"/>
      <c r="O21" s="1977"/>
      <c r="P21" s="3672"/>
      <c r="Q21" s="1462"/>
      <c r="R21" s="1463"/>
      <c r="S21" s="1464"/>
      <c r="T21" s="1463"/>
      <c r="U21" s="1464"/>
      <c r="V21" s="1463"/>
      <c r="W21" s="1464"/>
      <c r="X21" s="1457"/>
      <c r="Y21" s="3672"/>
      <c r="Z21" s="1465"/>
      <c r="AA21" s="1466">
        <v>1</v>
      </c>
      <c r="AB21" s="1466">
        <v>1</v>
      </c>
      <c r="AC21" s="1466">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8"/>
      <c r="M22" s="1970"/>
      <c r="N22" s="1970"/>
      <c r="O22" s="1977"/>
      <c r="P22" s="3672"/>
      <c r="Q22" s="1462" t="str">
        <f>B22</f>
        <v>楼层</v>
      </c>
      <c r="R22" s="1463" t="s">
        <v>8</v>
      </c>
      <c r="S22" s="1464">
        <f>F22</f>
        <v>100</v>
      </c>
      <c r="T22" s="1463" t="s">
        <v>8</v>
      </c>
      <c r="U22" s="1464">
        <f>H22</f>
        <v>100</v>
      </c>
      <c r="V22" s="1463" t="s">
        <v>8</v>
      </c>
      <c r="W22" s="1464">
        <f>J22</f>
        <v>100</v>
      </c>
      <c r="X22" s="1457"/>
      <c r="Y22" s="3672"/>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8"/>
      <c r="M23" s="1970"/>
      <c r="N23" s="1970"/>
      <c r="O23" s="1977"/>
      <c r="P23" s="3672"/>
      <c r="Q23" s="1462">
        <f>B23</f>
        <v>111</v>
      </c>
      <c r="R23" s="1463" t="s">
        <v>8</v>
      </c>
      <c r="S23" s="1464">
        <f>F23</f>
        <v>100</v>
      </c>
      <c r="T23" s="1463" t="s">
        <v>8</v>
      </c>
      <c r="U23" s="1464">
        <f>H23</f>
        <v>100</v>
      </c>
      <c r="V23" s="1463" t="s">
        <v>8</v>
      </c>
      <c r="W23" s="1464">
        <f>J23</f>
        <v>100</v>
      </c>
      <c r="X23" s="1457"/>
      <c r="Y23" s="3672"/>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8"/>
      <c r="M24" s="1970"/>
      <c r="N24" s="1970"/>
      <c r="O24" s="1977"/>
      <c r="P24" s="3672"/>
      <c r="Q24" s="1462">
        <f t="shared" ref="Q24:Q34" si="11">B24</f>
        <v>111</v>
      </c>
      <c r="R24" s="1463" t="s">
        <v>8</v>
      </c>
      <c r="S24" s="1464">
        <f>F24</f>
        <v>100</v>
      </c>
      <c r="T24" s="1463" t="s">
        <v>8</v>
      </c>
      <c r="U24" s="1464">
        <f>H24</f>
        <v>100</v>
      </c>
      <c r="V24" s="1463" t="s">
        <v>8</v>
      </c>
      <c r="W24" s="1464">
        <f>J24</f>
        <v>100</v>
      </c>
      <c r="X24" s="1457"/>
      <c r="Y24" s="3672"/>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1"/>
      <c r="M25" s="1972"/>
      <c r="N25" s="1972"/>
      <c r="O25" s="1973"/>
      <c r="P25" s="3672"/>
      <c r="Q25" s="1097">
        <f t="shared" si="11"/>
        <v>111</v>
      </c>
      <c r="R25" s="1458" t="s">
        <v>8</v>
      </c>
      <c r="S25" s="1459">
        <f>F25</f>
        <v>100</v>
      </c>
      <c r="T25" s="1458" t="s">
        <v>8</v>
      </c>
      <c r="U25" s="1459">
        <f>H25</f>
        <v>100</v>
      </c>
      <c r="V25" s="1458" t="s">
        <v>8</v>
      </c>
      <c r="W25" s="1459">
        <f>J25</f>
        <v>100</v>
      </c>
      <c r="X25" s="1460"/>
      <c r="Y25" s="3672"/>
      <c r="Z25" s="1096">
        <f>Q25</f>
        <v>111</v>
      </c>
      <c r="AA25" s="1466">
        <f>D25/F25</f>
        <v>1</v>
      </c>
      <c r="AB25" s="1466">
        <f>D25/H25</f>
        <v>1</v>
      </c>
      <c r="AC25" s="1466">
        <f>D25/J25</f>
        <v>1</v>
      </c>
    </row>
    <row r="26" spans="1:29" ht="15">
      <c r="A26" s="2546" t="s">
        <v>2472</v>
      </c>
      <c r="B26" s="170" t="s">
        <v>790</v>
      </c>
      <c r="C26" s="887"/>
      <c r="D26" s="573">
        <v>100</v>
      </c>
      <c r="E26" s="887"/>
      <c r="F26" s="914">
        <f>SUMIF(77:77,E26,78:78)-SUMIF(77:77,C26,78:78)+100</f>
        <v>100</v>
      </c>
      <c r="G26" s="887"/>
      <c r="H26" s="573">
        <f>SUMIF(77:77,G26,78:78)-SUMIF(77:77,C26,78:78)+100</f>
        <v>100</v>
      </c>
      <c r="I26" s="887"/>
      <c r="J26" s="573">
        <f>SUMIF(77:77,I26,78:78)-SUMIF(77:77,C26,78:78)+100</f>
        <v>100</v>
      </c>
      <c r="K26" s="560"/>
      <c r="L26" s="1978"/>
      <c r="M26" s="1970"/>
      <c r="N26" s="1970"/>
      <c r="O26" s="1977"/>
      <c r="P26" s="3673"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74" t="s">
        <v>803</v>
      </c>
      <c r="Z26" s="1465" t="str">
        <f t="shared" ref="Z26:Z34" si="15">Q26</f>
        <v>公共部分装修</v>
      </c>
      <c r="AA26" s="1466">
        <f t="shared" si="3"/>
        <v>1</v>
      </c>
      <c r="AB26" s="1466">
        <f t="shared" si="4"/>
        <v>1</v>
      </c>
      <c r="AC26" s="1466">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6"/>
      <c r="M27" s="2006"/>
      <c r="N27" s="2006"/>
      <c r="O27" s="1979"/>
      <c r="P27" s="3674"/>
      <c r="Q27" s="1491" t="str">
        <f t="shared" si="11"/>
        <v>成新率</v>
      </c>
      <c r="R27" s="1467" t="s">
        <v>8</v>
      </c>
      <c r="S27" s="1468" t="e">
        <f t="shared" si="12"/>
        <v>#N/A</v>
      </c>
      <c r="T27" s="1467" t="s">
        <v>8</v>
      </c>
      <c r="U27" s="1468" t="e">
        <f t="shared" si="13"/>
        <v>#N/A</v>
      </c>
      <c r="V27" s="1467" t="s">
        <v>8</v>
      </c>
      <c r="W27" s="1468" t="e">
        <f t="shared" si="14"/>
        <v>#N/A</v>
      </c>
      <c r="X27" s="1469"/>
      <c r="Y27" s="3674"/>
      <c r="Z27" s="1470" t="str">
        <f t="shared" si="15"/>
        <v>成新率</v>
      </c>
      <c r="AA27" s="1466" t="e">
        <f t="shared" si="3"/>
        <v>#N/A</v>
      </c>
      <c r="AB27" s="1466" t="e">
        <f t="shared" si="4"/>
        <v>#N/A</v>
      </c>
      <c r="AC27" s="1466"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8"/>
      <c r="M28" s="1970"/>
      <c r="N28" s="1970"/>
      <c r="O28" s="1977"/>
      <c r="P28" s="3674"/>
      <c r="Q28" s="1462" t="str">
        <f t="shared" si="11"/>
        <v>物业等级</v>
      </c>
      <c r="R28" s="1463" t="s">
        <v>8</v>
      </c>
      <c r="S28" s="1464">
        <f t="shared" si="12"/>
        <v>100</v>
      </c>
      <c r="T28" s="1463" t="s">
        <v>8</v>
      </c>
      <c r="U28" s="1464">
        <f t="shared" si="13"/>
        <v>100</v>
      </c>
      <c r="V28" s="1463" t="s">
        <v>8</v>
      </c>
      <c r="W28" s="1464">
        <f t="shared" si="14"/>
        <v>100</v>
      </c>
      <c r="X28" s="1457"/>
      <c r="Y28" s="3674"/>
      <c r="Z28" s="1465" t="str">
        <f t="shared" si="15"/>
        <v>物业等级</v>
      </c>
      <c r="AA28" s="1466">
        <f t="shared" si="3"/>
        <v>1</v>
      </c>
      <c r="AB28" s="1466">
        <f t="shared" si="4"/>
        <v>1</v>
      </c>
      <c r="AC28" s="1466">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8"/>
      <c r="M29" s="1970"/>
      <c r="N29" s="1970"/>
      <c r="O29" s="1977"/>
      <c r="P29" s="3674"/>
      <c r="Q29" s="1462" t="str">
        <f t="shared" si="11"/>
        <v>有无电梯</v>
      </c>
      <c r="R29" s="1463" t="s">
        <v>8</v>
      </c>
      <c r="S29" s="1464">
        <f t="shared" si="12"/>
        <v>100</v>
      </c>
      <c r="T29" s="1463" t="s">
        <v>8</v>
      </c>
      <c r="U29" s="1464">
        <f t="shared" si="13"/>
        <v>100</v>
      </c>
      <c r="V29" s="1463" t="s">
        <v>8</v>
      </c>
      <c r="W29" s="1464">
        <f t="shared" si="14"/>
        <v>100</v>
      </c>
      <c r="X29" s="1457"/>
      <c r="Y29" s="3674"/>
      <c r="Z29" s="1465" t="str">
        <f t="shared" si="15"/>
        <v>有无电梯</v>
      </c>
      <c r="AA29" s="1466">
        <f t="shared" si="3"/>
        <v>1</v>
      </c>
      <c r="AB29" s="1466">
        <f t="shared" si="4"/>
        <v>1</v>
      </c>
      <c r="AC29" s="1466">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8"/>
      <c r="M30" s="1970"/>
      <c r="N30" s="1970"/>
      <c r="O30" s="1977"/>
      <c r="P30" s="3674"/>
      <c r="Q30" s="1462" t="str">
        <f t="shared" si="11"/>
        <v>建筑面积</v>
      </c>
      <c r="R30" s="1463" t="s">
        <v>8</v>
      </c>
      <c r="S30" s="1464" t="e">
        <f t="shared" si="12"/>
        <v>#N/A</v>
      </c>
      <c r="T30" s="1463" t="s">
        <v>8</v>
      </c>
      <c r="U30" s="1464" t="e">
        <f t="shared" si="13"/>
        <v>#N/A</v>
      </c>
      <c r="V30" s="1463" t="s">
        <v>8</v>
      </c>
      <c r="W30" s="1464" t="e">
        <f t="shared" si="14"/>
        <v>#N/A</v>
      </c>
      <c r="X30" s="1457"/>
      <c r="Y30" s="3674"/>
      <c r="Z30" s="1465" t="str">
        <f t="shared" si="15"/>
        <v>建筑面积</v>
      </c>
      <c r="AA30" s="1466" t="e">
        <f t="shared" si="3"/>
        <v>#N/A</v>
      </c>
      <c r="AB30" s="1466" t="e">
        <f t="shared" si="4"/>
        <v>#N/A</v>
      </c>
      <c r="AC30" s="1466"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1"/>
      <c r="M31" s="1972"/>
      <c r="N31" s="1972"/>
      <c r="O31" s="1973"/>
      <c r="P31" s="3674"/>
      <c r="Q31" s="1097" t="str">
        <f t="shared" si="11"/>
        <v>是否封闭</v>
      </c>
      <c r="R31" s="1458" t="s">
        <v>8</v>
      </c>
      <c r="S31" s="1459">
        <f t="shared" si="12"/>
        <v>100</v>
      </c>
      <c r="T31" s="1458" t="s">
        <v>8</v>
      </c>
      <c r="U31" s="1459">
        <f t="shared" si="13"/>
        <v>100</v>
      </c>
      <c r="V31" s="1458" t="s">
        <v>8</v>
      </c>
      <c r="W31" s="1459">
        <f t="shared" si="14"/>
        <v>100</v>
      </c>
      <c r="X31" s="1460"/>
      <c r="Y31" s="3674"/>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8"/>
      <c r="M32" s="1970"/>
      <c r="N32" s="1970"/>
      <c r="O32" s="1977"/>
      <c r="P32" s="3674" t="s">
        <v>533</v>
      </c>
      <c r="Q32" s="1462">
        <f t="shared" si="11"/>
        <v>111</v>
      </c>
      <c r="R32" s="1463" t="s">
        <v>8</v>
      </c>
      <c r="S32" s="1464">
        <f t="shared" si="12"/>
        <v>100</v>
      </c>
      <c r="T32" s="1463" t="s">
        <v>8</v>
      </c>
      <c r="U32" s="1464">
        <f t="shared" si="13"/>
        <v>100</v>
      </c>
      <c r="V32" s="1463" t="s">
        <v>8</v>
      </c>
      <c r="W32" s="1464">
        <f t="shared" si="14"/>
        <v>100</v>
      </c>
      <c r="X32" s="1457"/>
      <c r="Y32" s="3674" t="s">
        <v>533</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8"/>
      <c r="M33" s="1970"/>
      <c r="N33" s="1970"/>
      <c r="O33" s="1977"/>
      <c r="P33" s="3674"/>
      <c r="Q33" s="1462">
        <f t="shared" si="11"/>
        <v>111</v>
      </c>
      <c r="R33" s="1463" t="s">
        <v>8</v>
      </c>
      <c r="S33" s="1464">
        <f t="shared" si="12"/>
        <v>100</v>
      </c>
      <c r="T33" s="1463" t="s">
        <v>8</v>
      </c>
      <c r="U33" s="1464">
        <f t="shared" si="13"/>
        <v>100</v>
      </c>
      <c r="V33" s="1463" t="s">
        <v>8</v>
      </c>
      <c r="W33" s="1464">
        <f t="shared" si="14"/>
        <v>100</v>
      </c>
      <c r="X33" s="1457"/>
      <c r="Y33" s="3674"/>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8"/>
      <c r="M34" s="1970"/>
      <c r="N34" s="1970"/>
      <c r="O34" s="1977"/>
      <c r="P34" s="3674"/>
      <c r="Q34" s="1462">
        <f t="shared" si="11"/>
        <v>111</v>
      </c>
      <c r="R34" s="1463" t="s">
        <v>8</v>
      </c>
      <c r="S34" s="1464">
        <f t="shared" si="12"/>
        <v>100</v>
      </c>
      <c r="T34" s="1463" t="s">
        <v>8</v>
      </c>
      <c r="U34" s="1464">
        <f t="shared" si="13"/>
        <v>100</v>
      </c>
      <c r="V34" s="1463" t="s">
        <v>8</v>
      </c>
      <c r="W34" s="1464">
        <f t="shared" si="14"/>
        <v>100</v>
      </c>
      <c r="X34" s="1457"/>
      <c r="Y34" s="3674"/>
      <c r="Z34" s="1465">
        <f t="shared" si="15"/>
        <v>111</v>
      </c>
      <c r="AA34" s="1466">
        <f t="shared" si="3"/>
        <v>1</v>
      </c>
      <c r="AB34" s="1466">
        <f t="shared" si="4"/>
        <v>1</v>
      </c>
      <c r="AC34" s="1466">
        <f t="shared" si="5"/>
        <v>1</v>
      </c>
    </row>
    <row r="35" spans="1:29" ht="15">
      <c r="A35" s="583" t="s">
        <v>718</v>
      </c>
      <c r="B35" s="858"/>
      <c r="C35" s="2392" t="s">
        <v>1</v>
      </c>
      <c r="D35" s="2393"/>
      <c r="E35" s="2394"/>
      <c r="F35" s="2395"/>
      <c r="G35" s="2396"/>
      <c r="H35" s="2397"/>
      <c r="I35" s="2394"/>
      <c r="J35" s="2397"/>
      <c r="K35" s="1496"/>
      <c r="L35" s="1980"/>
      <c r="M35" s="1981"/>
      <c r="N35" s="1970"/>
      <c r="O35" s="1981"/>
      <c r="P35" s="3669" t="str">
        <f>A35</f>
        <v>成交单价（元/平方米）</v>
      </c>
      <c r="Q35" s="3669"/>
      <c r="R35" s="3783">
        <f>E35</f>
        <v>0</v>
      </c>
      <c r="S35" s="3783"/>
      <c r="T35" s="3783">
        <f>G35</f>
        <v>0</v>
      </c>
      <c r="U35" s="3783"/>
      <c r="V35" s="3783">
        <f>I35</f>
        <v>0</v>
      </c>
      <c r="W35" s="3783"/>
      <c r="X35" s="1452"/>
      <c r="Y35" s="1471"/>
      <c r="Z35" s="1452"/>
      <c r="AA35" s="1452"/>
      <c r="AB35" s="1452"/>
      <c r="AC35" s="1452"/>
    </row>
    <row r="36" spans="1:29" ht="15.75" thickBot="1">
      <c r="A36" s="591"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69" t="str">
        <f>A36</f>
        <v>比较价格（元/平方米）</v>
      </c>
      <c r="Q36" s="3669"/>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452"/>
      <c r="Y36" s="1452"/>
      <c r="Z36" s="1452"/>
      <c r="AA36" s="1452"/>
      <c r="AB36" s="1452"/>
      <c r="AC36" s="1452"/>
    </row>
    <row r="37" spans="1:29" ht="15.75" thickBot="1">
      <c r="A37" s="595" t="s">
        <v>2637</v>
      </c>
      <c r="B37" s="596"/>
      <c r="C37" s="2400" t="e">
        <f>R37</f>
        <v>#DIV/0!</v>
      </c>
      <c r="D37" s="2400"/>
      <c r="E37" s="2400"/>
      <c r="F37" s="2400"/>
      <c r="G37" s="2400"/>
      <c r="H37" s="2400"/>
      <c r="I37" s="2400"/>
      <c r="J37" s="2400"/>
      <c r="K37" s="1497"/>
      <c r="L37" s="1980"/>
      <c r="M37" s="1981"/>
      <c r="N37" s="1981"/>
      <c r="O37" s="1981"/>
      <c r="P37" s="3675" t="str">
        <f>A37</f>
        <v>估价对象XX用房的比较价格（楼面单价，元/平方米）</v>
      </c>
      <c r="Q37" s="3676"/>
      <c r="R37" s="3782" t="e">
        <f>IF(F1="售价",ROUND(IF(D36="简单平均",AVERAGE(R36:W36),R36*F36+T36*H36+V36*J36),0),ROUND(IF(D36="简单平均",AVERAGE(R36:V36),R36*F36+T36*H36+V36*J36),1))</f>
        <v>#DIV/0!</v>
      </c>
      <c r="S37" s="3782"/>
      <c r="T37" s="3782"/>
      <c r="U37" s="3782"/>
      <c r="V37" s="3782"/>
      <c r="W37" s="3782"/>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19" t="s">
        <v>512</v>
      </c>
      <c r="B46" s="620"/>
      <c r="C46" s="2441" t="str">
        <f>YEAR(C7)&amp;"-"&amp;MONTH(C7)</f>
        <v>2022-9</v>
      </c>
      <c r="D46" s="2443">
        <f>EDATE(C46,-1)</f>
        <v>44774</v>
      </c>
      <c r="E46" s="2443">
        <f t="shared" ref="E46:O46" si="16">EDATE(D46,-1)</f>
        <v>44743</v>
      </c>
      <c r="F46" s="2443">
        <f t="shared" si="16"/>
        <v>44713</v>
      </c>
      <c r="G46" s="2443">
        <f t="shared" si="16"/>
        <v>44682</v>
      </c>
      <c r="H46" s="2443">
        <f t="shared" si="16"/>
        <v>44652</v>
      </c>
      <c r="I46" s="2443">
        <f t="shared" si="16"/>
        <v>44621</v>
      </c>
      <c r="J46" s="2443">
        <f t="shared" si="16"/>
        <v>44593</v>
      </c>
      <c r="K46" s="2443">
        <f t="shared" si="16"/>
        <v>44562</v>
      </c>
      <c r="L46" s="2443">
        <f t="shared" si="16"/>
        <v>44531</v>
      </c>
      <c r="M46" s="2443">
        <f t="shared" si="16"/>
        <v>44501</v>
      </c>
      <c r="N46" s="2443">
        <f t="shared" si="16"/>
        <v>44470</v>
      </c>
      <c r="O46" s="2443">
        <f t="shared" si="16"/>
        <v>44440</v>
      </c>
      <c r="P46" s="1995"/>
      <c r="Q46" s="1996"/>
      <c r="R46" s="1996"/>
      <c r="S46" s="1996"/>
      <c r="T46" s="1996"/>
      <c r="U46" s="1996"/>
      <c r="V46" s="1996"/>
      <c r="W46" s="1996"/>
      <c r="X46" s="1996"/>
      <c r="Y46" s="1996"/>
      <c r="Z46" s="1996"/>
      <c r="AA46" s="1996"/>
      <c r="AB46" s="1996"/>
      <c r="AC46" s="1996"/>
    </row>
    <row r="47" spans="1:29" s="1166" customFormat="1" ht="15">
      <c r="A47" s="621"/>
      <c r="B47" s="622"/>
      <c r="C47" s="623">
        <v>100</v>
      </c>
      <c r="D47" s="624"/>
      <c r="E47" s="624"/>
      <c r="F47" s="624"/>
      <c r="G47" s="624"/>
      <c r="H47" s="624"/>
      <c r="I47" s="624"/>
      <c r="J47" s="624"/>
      <c r="K47" s="624"/>
      <c r="L47" s="624"/>
      <c r="M47" s="625"/>
      <c r="N47" s="624"/>
      <c r="O47" s="626"/>
      <c r="P47" s="1993"/>
      <c r="Q47" s="1859"/>
      <c r="R47" s="1859"/>
      <c r="S47" s="1859"/>
      <c r="T47" s="1859"/>
      <c r="U47" s="1859"/>
      <c r="V47" s="1859"/>
      <c r="W47" s="1859"/>
      <c r="X47" s="1859"/>
      <c r="Y47" s="1859"/>
      <c r="Z47" s="1859"/>
      <c r="AA47" s="1859"/>
      <c r="AB47" s="1859"/>
      <c r="AC47" s="1859"/>
    </row>
    <row r="48" spans="1:29" s="1166" customFormat="1" ht="15.75" thickBot="1">
      <c r="A48" s="627" t="s">
        <v>557</v>
      </c>
      <c r="B48" s="628"/>
      <c r="C48" s="629"/>
      <c r="D48" s="630"/>
      <c r="E48" s="630"/>
      <c r="F48" s="630"/>
      <c r="G48" s="630"/>
      <c r="H48" s="630"/>
      <c r="I48" s="630"/>
      <c r="J48" s="630"/>
      <c r="K48" s="630"/>
      <c r="L48" s="630"/>
      <c r="M48" s="631"/>
      <c r="N48" s="630"/>
      <c r="O48" s="632"/>
      <c r="P48" s="1993"/>
      <c r="Q48" s="1993"/>
      <c r="R48" s="1859"/>
      <c r="S48" s="1859"/>
      <c r="T48" s="1859"/>
      <c r="U48" s="1859"/>
      <c r="V48" s="1859"/>
      <c r="W48" s="1859"/>
      <c r="X48" s="1859"/>
      <c r="Y48" s="1859"/>
      <c r="Z48" s="1859"/>
      <c r="AA48" s="1859"/>
      <c r="AB48" s="1859"/>
      <c r="AC48" s="1859"/>
    </row>
    <row r="49" spans="1:29" s="1166" customFormat="1" ht="15">
      <c r="A49" s="633" t="s">
        <v>514</v>
      </c>
      <c r="B49" s="622"/>
      <c r="C49" s="634" t="s">
        <v>558</v>
      </c>
      <c r="D49" s="635"/>
      <c r="E49" s="635"/>
      <c r="F49" s="635"/>
      <c r="G49" s="635"/>
      <c r="H49" s="635"/>
      <c r="I49" s="635"/>
      <c r="J49" s="635"/>
      <c r="K49" s="635"/>
      <c r="L49" s="636"/>
      <c r="M49" s="637"/>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3"/>
      <c r="B50" s="622"/>
      <c r="C50" s="623">
        <v>100</v>
      </c>
      <c r="D50" s="624"/>
      <c r="E50" s="624"/>
      <c r="F50" s="624"/>
      <c r="G50" s="624"/>
      <c r="H50" s="624"/>
      <c r="I50" s="624"/>
      <c r="J50" s="624"/>
      <c r="K50" s="624"/>
      <c r="L50" s="624"/>
      <c r="M50" s="626"/>
      <c r="N50" s="1997"/>
      <c r="O50" s="1997"/>
      <c r="P50" s="1993"/>
      <c r="Q50" s="1993"/>
      <c r="R50" s="1859"/>
      <c r="S50" s="1859"/>
      <c r="T50" s="1859"/>
      <c r="U50" s="1859"/>
      <c r="V50" s="1859"/>
      <c r="W50" s="1859"/>
      <c r="X50" s="1859"/>
      <c r="Y50" s="1859"/>
      <c r="Z50" s="1859"/>
      <c r="AA50" s="1859"/>
      <c r="AB50" s="1859"/>
      <c r="AC50" s="1859"/>
    </row>
    <row r="51" spans="1:29">
      <c r="A51" s="638" t="s">
        <v>559</v>
      </c>
      <c r="B51" s="639" t="s">
        <v>517</v>
      </c>
      <c r="C51" s="678">
        <f>C9</f>
        <v>0</v>
      </c>
      <c r="D51" s="574"/>
      <c r="E51" s="574"/>
      <c r="F51" s="574"/>
      <c r="G51" s="574"/>
      <c r="H51" s="574"/>
      <c r="I51" s="574"/>
      <c r="J51" s="574"/>
      <c r="K51" s="640"/>
      <c r="L51" s="641"/>
      <c r="M51" s="642"/>
      <c r="N51" s="1999"/>
      <c r="O51" s="1999"/>
      <c r="P51" s="2000"/>
      <c r="Q51" s="1993"/>
      <c r="R51" s="1981"/>
      <c r="S51" s="1981"/>
      <c r="T51" s="1981"/>
      <c r="U51" s="1981"/>
      <c r="V51" s="1981"/>
      <c r="W51" s="1981"/>
      <c r="X51" s="1981"/>
      <c r="Y51" s="1981"/>
      <c r="Z51" s="1981"/>
      <c r="AA51" s="1981"/>
      <c r="AB51" s="1981"/>
      <c r="AC51" s="1981"/>
    </row>
    <row r="52" spans="1:29" ht="15.75" thickBot="1">
      <c r="A52" s="643"/>
      <c r="B52" s="644"/>
      <c r="C52" s="645">
        <v>100</v>
      </c>
      <c r="D52" s="645"/>
      <c r="E52" s="645"/>
      <c r="F52" s="645"/>
      <c r="G52" s="645"/>
      <c r="H52" s="645"/>
      <c r="I52" s="645"/>
      <c r="J52" s="645"/>
      <c r="K52" s="645"/>
      <c r="L52" s="645"/>
      <c r="M52" s="646"/>
      <c r="N52" s="2001"/>
      <c r="O52" s="2001"/>
      <c r="P52" s="2000"/>
      <c r="Q52" s="1993"/>
      <c r="R52" s="1981"/>
      <c r="S52" s="1981"/>
      <c r="T52" s="1981"/>
      <c r="U52" s="1981"/>
      <c r="V52" s="1981"/>
      <c r="W52" s="1981"/>
      <c r="X52" s="1981"/>
      <c r="Y52" s="1981"/>
      <c r="Z52" s="1981"/>
      <c r="AA52" s="1981"/>
      <c r="AB52" s="1981"/>
      <c r="AC52" s="1981"/>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9"/>
      <c r="O53" s="1999"/>
      <c r="P53" s="2000"/>
      <c r="Q53" s="1993"/>
      <c r="R53" s="1981"/>
      <c r="S53" s="1981"/>
      <c r="T53" s="1981"/>
      <c r="U53" s="1981"/>
      <c r="V53" s="1981"/>
      <c r="W53" s="1981"/>
      <c r="X53" s="1981"/>
      <c r="Y53" s="1981"/>
      <c r="Z53" s="1981"/>
      <c r="AA53" s="1981"/>
      <c r="AB53" s="1981"/>
      <c r="AC53" s="1981"/>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1"/>
      <c r="O54" s="2001"/>
      <c r="P54" s="2000"/>
      <c r="Q54" s="1993"/>
      <c r="R54" s="1981"/>
      <c r="S54" s="1981"/>
      <c r="T54" s="1981"/>
      <c r="U54" s="1981"/>
      <c r="V54" s="1981"/>
      <c r="W54" s="1981"/>
      <c r="X54" s="1981"/>
      <c r="Y54" s="1981"/>
      <c r="Z54" s="1981"/>
      <c r="AA54" s="1981"/>
      <c r="AB54" s="1981"/>
      <c r="AC54" s="1981"/>
    </row>
    <row r="55" spans="1:29" ht="15.75" thickTop="1">
      <c r="A55" s="643"/>
      <c r="B55" s="906">
        <f>B11</f>
        <v>111</v>
      </c>
      <c r="C55" s="517"/>
      <c r="D55" s="517"/>
      <c r="E55" s="517"/>
      <c r="F55" s="517"/>
      <c r="G55" s="517"/>
      <c r="H55" s="517"/>
      <c r="I55" s="517"/>
      <c r="J55" s="517"/>
      <c r="K55" s="658"/>
      <c r="L55" s="659"/>
      <c r="M55" s="660"/>
      <c r="N55" s="1999"/>
      <c r="O55" s="1999"/>
      <c r="P55" s="2000"/>
      <c r="Q55" s="1993"/>
      <c r="R55" s="1981"/>
      <c r="S55" s="1981"/>
      <c r="T55" s="1981"/>
      <c r="U55" s="1981"/>
      <c r="V55" s="1981"/>
      <c r="W55" s="1981"/>
      <c r="X55" s="1981"/>
      <c r="Y55" s="1981"/>
      <c r="Z55" s="1981"/>
      <c r="AA55" s="1981"/>
      <c r="AB55" s="1981"/>
      <c r="AC55" s="1981"/>
    </row>
    <row r="56" spans="1:29" ht="15.75" thickBot="1">
      <c r="A56" s="643"/>
      <c r="B56" s="644"/>
      <c r="C56" s="666"/>
      <c r="D56" s="645"/>
      <c r="E56" s="645"/>
      <c r="F56" s="645"/>
      <c r="G56" s="645"/>
      <c r="H56" s="645"/>
      <c r="I56" s="645"/>
      <c r="J56" s="645"/>
      <c r="K56" s="645"/>
      <c r="L56" s="645"/>
      <c r="M56" s="646"/>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1"/>
      <c r="B57" s="647">
        <f>B12</f>
        <v>111</v>
      </c>
      <c r="C57" s="517"/>
      <c r="D57" s="517"/>
      <c r="E57" s="517"/>
      <c r="F57" s="517"/>
      <c r="G57" s="662"/>
      <c r="H57" s="663"/>
      <c r="I57" s="663"/>
      <c r="J57" s="663"/>
      <c r="K57" s="663"/>
      <c r="L57" s="664"/>
      <c r="M57" s="665"/>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1"/>
      <c r="B58" s="652"/>
      <c r="C58" s="666"/>
      <c r="D58" s="645"/>
      <c r="E58" s="645"/>
      <c r="F58" s="645"/>
      <c r="G58" s="645"/>
      <c r="H58" s="645"/>
      <c r="I58" s="645"/>
      <c r="J58" s="645"/>
      <c r="K58" s="645"/>
      <c r="L58" s="645"/>
      <c r="M58" s="646"/>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1"/>
      <c r="B59" s="647">
        <f>B13</f>
        <v>111</v>
      </c>
      <c r="C59" s="517"/>
      <c r="D59" s="517"/>
      <c r="E59" s="517"/>
      <c r="F59" s="517"/>
      <c r="G59" s="662"/>
      <c r="H59" s="663"/>
      <c r="I59" s="663"/>
      <c r="J59" s="663"/>
      <c r="K59" s="663"/>
      <c r="L59" s="664"/>
      <c r="M59" s="665"/>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1"/>
      <c r="B60" s="652"/>
      <c r="C60" s="666"/>
      <c r="D60" s="666"/>
      <c r="E60" s="666"/>
      <c r="F60" s="666"/>
      <c r="G60" s="666"/>
      <c r="H60" s="667"/>
      <c r="I60" s="667"/>
      <c r="J60" s="667"/>
      <c r="K60" s="667"/>
      <c r="L60" s="667"/>
      <c r="M60" s="668"/>
      <c r="N60" s="2002"/>
      <c r="O60" s="2002"/>
      <c r="P60" s="2003"/>
      <c r="Q60" s="2004"/>
      <c r="R60" s="2005"/>
      <c r="S60" s="2005"/>
      <c r="T60" s="2005"/>
      <c r="U60" s="2005"/>
      <c r="V60" s="2005"/>
      <c r="W60" s="2005"/>
      <c r="X60" s="2005"/>
      <c r="Y60" s="2005"/>
      <c r="Z60" s="2005"/>
      <c r="AA60" s="2005"/>
      <c r="AB60" s="2005"/>
      <c r="AC60" s="2005"/>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9"/>
      <c r="O61" s="1999"/>
      <c r="P61" s="2009"/>
      <c r="Q61" s="1993"/>
      <c r="R61" s="1981"/>
      <c r="S61" s="1981"/>
      <c r="T61" s="1981"/>
      <c r="U61" s="1981"/>
      <c r="V61" s="1981"/>
      <c r="W61" s="1981"/>
      <c r="X61" s="1981"/>
      <c r="Y61" s="1981"/>
      <c r="Z61" s="1981"/>
      <c r="AA61" s="1981"/>
      <c r="AB61" s="1981"/>
      <c r="AC61" s="1981"/>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1"/>
      <c r="O62" s="2001"/>
      <c r="P62" s="2000"/>
      <c r="Q62" s="1993"/>
      <c r="R62" s="1981"/>
      <c r="S62" s="1981"/>
      <c r="T62" s="1981"/>
      <c r="U62" s="1981"/>
      <c r="V62" s="1981"/>
      <c r="W62" s="1981"/>
      <c r="X62" s="1981"/>
      <c r="Y62" s="1981"/>
      <c r="Z62" s="1981"/>
      <c r="AA62" s="1981"/>
      <c r="AB62" s="1981"/>
      <c r="AC62" s="1981"/>
    </row>
    <row r="63" spans="1:29" ht="15.75" thickTop="1">
      <c r="A63" s="643"/>
      <c r="B63" s="1765" t="s">
        <v>2275</v>
      </c>
      <c r="C63" s="682" t="s">
        <v>561</v>
      </c>
      <c r="D63" s="682" t="s">
        <v>562</v>
      </c>
      <c r="E63" s="682" t="s">
        <v>563</v>
      </c>
      <c r="F63" s="682" t="s">
        <v>564</v>
      </c>
      <c r="G63" s="682" t="s">
        <v>565</v>
      </c>
      <c r="H63" s="648"/>
      <c r="I63" s="648"/>
      <c r="J63" s="648"/>
      <c r="K63" s="649"/>
      <c r="L63" s="650"/>
      <c r="M63" s="651"/>
      <c r="N63" s="1999"/>
      <c r="O63" s="1999"/>
      <c r="P63" s="2000"/>
      <c r="Q63" s="1993"/>
      <c r="R63" s="1981"/>
      <c r="S63" s="1981"/>
      <c r="T63" s="1981"/>
      <c r="U63" s="1981"/>
      <c r="V63" s="1981"/>
      <c r="W63" s="1981"/>
      <c r="X63" s="1981"/>
      <c r="Y63" s="1981"/>
      <c r="Z63" s="1981"/>
      <c r="AA63" s="1981"/>
      <c r="AB63" s="1981"/>
      <c r="AC63" s="1981"/>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2363" t="s">
        <v>2276</v>
      </c>
      <c r="C65" s="2364" t="s">
        <v>2277</v>
      </c>
      <c r="D65" s="2364" t="s">
        <v>2278</v>
      </c>
      <c r="E65" s="2364" t="s">
        <v>2279</v>
      </c>
      <c r="F65" s="2364" t="s">
        <v>2280</v>
      </c>
      <c r="G65" s="2364" t="s">
        <v>2281</v>
      </c>
      <c r="H65" s="648"/>
      <c r="I65" s="648"/>
      <c r="J65" s="648"/>
      <c r="K65" s="648"/>
      <c r="L65" s="648"/>
      <c r="M65" s="2367"/>
      <c r="N65" s="2001"/>
      <c r="O65" s="2001"/>
      <c r="P65" s="2000"/>
      <c r="Q65" s="1993"/>
      <c r="R65" s="1981"/>
      <c r="S65" s="1981"/>
      <c r="T65" s="1981"/>
      <c r="U65" s="1981"/>
      <c r="V65" s="1981"/>
      <c r="W65" s="1981"/>
      <c r="X65" s="1981"/>
      <c r="Y65" s="1981"/>
      <c r="Z65" s="1981"/>
      <c r="AA65" s="1981"/>
      <c r="AB65" s="1981"/>
      <c r="AC65" s="1981"/>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1"/>
      <c r="O66" s="2001"/>
      <c r="P66" s="2000"/>
      <c r="Q66" s="1993"/>
      <c r="R66" s="1981"/>
      <c r="S66" s="1981"/>
      <c r="T66" s="1981"/>
      <c r="U66" s="1981"/>
      <c r="V66" s="1981"/>
      <c r="W66" s="1981"/>
      <c r="X66" s="1981"/>
      <c r="Y66" s="1981"/>
      <c r="Z66" s="1981"/>
      <c r="AA66" s="1981"/>
      <c r="AB66" s="1981"/>
      <c r="AC66" s="1981"/>
    </row>
    <row r="67" spans="1:29" ht="15.75" thickTop="1">
      <c r="A67" s="643"/>
      <c r="B67" s="647" t="s">
        <v>726</v>
      </c>
      <c r="C67" s="682" t="s">
        <v>561</v>
      </c>
      <c r="D67" s="682" t="s">
        <v>562</v>
      </c>
      <c r="E67" s="682" t="s">
        <v>563</v>
      </c>
      <c r="F67" s="682" t="s">
        <v>564</v>
      </c>
      <c r="G67" s="682" t="s">
        <v>565</v>
      </c>
      <c r="H67" s="648"/>
      <c r="I67" s="648"/>
      <c r="J67" s="648"/>
      <c r="K67" s="649"/>
      <c r="L67" s="650"/>
      <c r="M67" s="651"/>
      <c r="N67" s="1999"/>
      <c r="O67" s="1999"/>
      <c r="P67" s="2000"/>
      <c r="Q67" s="1993"/>
      <c r="R67" s="1981"/>
      <c r="S67" s="1981"/>
      <c r="T67" s="1981"/>
      <c r="U67" s="1981"/>
      <c r="V67" s="1981"/>
      <c r="W67" s="1981"/>
      <c r="X67" s="1981"/>
      <c r="Y67" s="1981"/>
      <c r="Z67" s="1981"/>
      <c r="AA67" s="1981"/>
      <c r="AB67" s="1981"/>
      <c r="AC67" s="1981"/>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727</v>
      </c>
      <c r="C69" s="662"/>
      <c r="D69" s="662"/>
      <c r="E69" s="662"/>
      <c r="F69" s="662"/>
      <c r="G69" s="662"/>
      <c r="H69" s="692"/>
      <c r="I69" s="692"/>
      <c r="J69" s="692"/>
      <c r="K69" s="693"/>
      <c r="L69" s="694"/>
      <c r="M69" s="695"/>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C70-$K22</f>
        <v>100</v>
      </c>
      <c r="E70" s="653"/>
      <c r="F70" s="653"/>
      <c r="G70" s="653"/>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3"/>
      <c r="B71" s="647">
        <f>B23</f>
        <v>111</v>
      </c>
      <c r="C71" s="517"/>
      <c r="D71" s="517"/>
      <c r="E71" s="517"/>
      <c r="F71" s="517"/>
      <c r="G71" s="662"/>
      <c r="H71" s="662"/>
      <c r="I71" s="662"/>
      <c r="J71" s="662"/>
      <c r="K71" s="662"/>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3"/>
      <c r="B72" s="652"/>
      <c r="C72" s="666"/>
      <c r="D72" s="645"/>
      <c r="E72" s="645"/>
      <c r="F72" s="645"/>
      <c r="G72" s="645"/>
      <c r="H72" s="645"/>
      <c r="I72" s="645"/>
      <c r="J72" s="645"/>
      <c r="K72" s="645"/>
      <c r="L72" s="645"/>
      <c r="M72" s="646"/>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3"/>
      <c r="B73" s="647">
        <f>B24</f>
        <v>111</v>
      </c>
      <c r="C73" s="517"/>
      <c r="D73" s="517"/>
      <c r="E73" s="517"/>
      <c r="F73" s="517"/>
      <c r="G73" s="662"/>
      <c r="H73" s="662"/>
      <c r="I73" s="662"/>
      <c r="J73" s="662"/>
      <c r="K73" s="662"/>
      <c r="L73" s="662"/>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1"/>
      <c r="B75" s="647">
        <f>B25</f>
        <v>111</v>
      </c>
      <c r="C75" s="517"/>
      <c r="D75" s="517"/>
      <c r="E75" s="517"/>
      <c r="F75" s="517"/>
      <c r="G75" s="662"/>
      <c r="H75" s="663"/>
      <c r="I75" s="663"/>
      <c r="J75" s="663"/>
      <c r="K75" s="663"/>
      <c r="L75" s="664"/>
      <c r="M75" s="665"/>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1"/>
      <c r="B76" s="652"/>
      <c r="C76" s="666"/>
      <c r="D76" s="666"/>
      <c r="E76" s="666"/>
      <c r="F76" s="666"/>
      <c r="G76" s="645"/>
      <c r="H76" s="645"/>
      <c r="I76" s="645"/>
      <c r="J76" s="645"/>
      <c r="K76" s="645"/>
      <c r="L76" s="645"/>
      <c r="M76" s="646"/>
      <c r="N76" s="2002"/>
      <c r="O76" s="2002"/>
      <c r="P76" s="2003"/>
      <c r="Q76" s="2004"/>
      <c r="R76" s="2005"/>
      <c r="S76" s="2005"/>
      <c r="T76" s="2005"/>
      <c r="U76" s="2005"/>
      <c r="V76" s="2005"/>
      <c r="W76" s="2005"/>
      <c r="X76" s="2005"/>
      <c r="Y76" s="2005"/>
      <c r="Z76" s="2005"/>
      <c r="AA76" s="2005"/>
      <c r="AB76" s="2005"/>
      <c r="AC76" s="2005"/>
    </row>
    <row r="77" spans="1:29" ht="15" thickTop="1">
      <c r="A77" s="638" t="s">
        <v>534</v>
      </c>
      <c r="B77" s="639" t="s">
        <v>733</v>
      </c>
      <c r="C77" s="662"/>
      <c r="D77" s="662"/>
      <c r="E77" s="574"/>
      <c r="F77" s="574"/>
      <c r="G77" s="574"/>
      <c r="H77" s="574"/>
      <c r="I77" s="574"/>
      <c r="J77" s="574"/>
      <c r="K77" s="640"/>
      <c r="L77" s="641"/>
      <c r="M77" s="642"/>
      <c r="N77" s="1999"/>
      <c r="O77" s="1999"/>
      <c r="P77" s="2000"/>
      <c r="Q77" s="1993"/>
      <c r="R77" s="1981"/>
      <c r="S77" s="1981"/>
      <c r="T77" s="1981"/>
      <c r="U77" s="1981"/>
      <c r="V77" s="1981"/>
      <c r="W77" s="1981"/>
      <c r="X77" s="1981"/>
      <c r="Y77" s="1981"/>
      <c r="Z77" s="1981"/>
      <c r="AA77" s="1981"/>
      <c r="AB77" s="1981"/>
      <c r="AC77" s="1981"/>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7"/>
      <c r="O79" s="1997"/>
      <c r="P79" s="2000"/>
      <c r="Q79" s="1993"/>
      <c r="R79" s="1981"/>
      <c r="S79" s="1981"/>
      <c r="T79" s="1981"/>
      <c r="U79" s="1981"/>
      <c r="V79" s="1981"/>
      <c r="W79" s="1981"/>
      <c r="X79" s="1981"/>
      <c r="Y79" s="1981"/>
      <c r="Z79" s="1981"/>
      <c r="AA79" s="1981"/>
      <c r="AB79" s="1981"/>
      <c r="AC79" s="1981"/>
    </row>
    <row r="80" spans="1:29" ht="15">
      <c r="A80" s="643"/>
      <c r="B80" s="655"/>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09"/>
      <c r="B82" s="655" t="s">
        <v>799</v>
      </c>
      <c r="C82" s="662"/>
      <c r="D82" s="662"/>
      <c r="E82" s="692"/>
      <c r="F82" s="692"/>
      <c r="G82" s="692"/>
      <c r="H82" s="692"/>
      <c r="I82" s="692"/>
      <c r="J82" s="692"/>
      <c r="K82" s="693"/>
      <c r="L82" s="694"/>
      <c r="M82" s="695"/>
      <c r="N82" s="1999"/>
      <c r="O82" s="1999"/>
      <c r="P82" s="2000"/>
      <c r="Q82" s="1993"/>
      <c r="R82" s="1981"/>
      <c r="S82" s="1981"/>
      <c r="T82" s="1981"/>
      <c r="U82" s="1981"/>
      <c r="V82" s="1981"/>
      <c r="W82" s="1981"/>
      <c r="X82" s="1981"/>
      <c r="Y82" s="1981"/>
      <c r="Z82" s="1981"/>
      <c r="AA82" s="1981"/>
      <c r="AB82" s="1981"/>
      <c r="AC82" s="1981"/>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09"/>
      <c r="B84" s="647" t="s">
        <v>807</v>
      </c>
      <c r="C84" s="662"/>
      <c r="D84" s="662"/>
      <c r="E84" s="662"/>
      <c r="F84" s="662"/>
      <c r="G84" s="662"/>
      <c r="H84" s="662"/>
      <c r="I84" s="692"/>
      <c r="J84" s="692"/>
      <c r="K84" s="693"/>
      <c r="L84" s="694"/>
      <c r="M84" s="695"/>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9"/>
      <c r="O86" s="1999"/>
      <c r="P86" s="2000"/>
      <c r="Q86" s="1993"/>
      <c r="R86" s="1981"/>
      <c r="S86" s="1981"/>
      <c r="T86" s="1981"/>
      <c r="U86" s="1981"/>
      <c r="V86" s="1981"/>
      <c r="W86" s="1981"/>
      <c r="X86" s="1981"/>
      <c r="Y86" s="1981"/>
      <c r="Z86" s="1981"/>
      <c r="AA86" s="1981"/>
      <c r="AB86" s="1981"/>
      <c r="AC86" s="1981"/>
    </row>
    <row r="87" spans="1:29">
      <c r="A87" s="709"/>
      <c r="B87" s="655"/>
      <c r="C87" s="704"/>
      <c r="D87" s="704"/>
      <c r="E87" s="704"/>
      <c r="F87" s="704"/>
      <c r="G87" s="704"/>
      <c r="H87" s="704"/>
      <c r="I87" s="704"/>
      <c r="J87" s="705"/>
      <c r="K87" s="705"/>
      <c r="L87" s="706"/>
      <c r="M87" s="707"/>
      <c r="N87" s="1999"/>
      <c r="O87" s="1999"/>
      <c r="P87" s="2000"/>
      <c r="Q87" s="1993"/>
      <c r="R87" s="1981"/>
      <c r="S87" s="1981"/>
      <c r="T87" s="1981"/>
      <c r="U87" s="1981"/>
      <c r="V87" s="1981"/>
      <c r="W87" s="1981"/>
      <c r="X87" s="1981"/>
      <c r="Y87" s="1981"/>
      <c r="Z87" s="1981"/>
      <c r="AA87" s="1981"/>
      <c r="AB87" s="1981"/>
      <c r="AC87" s="1981"/>
    </row>
    <row r="88" spans="1:29" ht="15.75" thickBot="1">
      <c r="A88" s="643"/>
      <c r="B88" s="652"/>
      <c r="C88" s="666"/>
      <c r="D88" s="645"/>
      <c r="E88" s="645"/>
      <c r="F88" s="645"/>
      <c r="G88" s="645"/>
      <c r="H88" s="645"/>
      <c r="I88" s="645"/>
      <c r="J88" s="645"/>
      <c r="K88" s="645"/>
      <c r="L88" s="645"/>
      <c r="M88" s="645"/>
      <c r="N88" s="2001"/>
      <c r="O88" s="2001"/>
      <c r="P88" s="2000"/>
      <c r="Q88" s="1993"/>
      <c r="R88" s="1981"/>
      <c r="S88" s="1981"/>
      <c r="T88" s="1981"/>
      <c r="U88" s="1981"/>
      <c r="V88" s="1981"/>
      <c r="W88" s="1981"/>
      <c r="X88" s="1981"/>
      <c r="Y88" s="1981"/>
      <c r="Z88" s="1981"/>
      <c r="AA88" s="1981"/>
      <c r="AB88" s="1981"/>
      <c r="AC88" s="1981"/>
    </row>
    <row r="89" spans="1:29" s="1248" customFormat="1" ht="15" thickTop="1">
      <c r="A89" s="702"/>
      <c r="B89" s="647" t="s">
        <v>809</v>
      </c>
      <c r="C89" s="662"/>
      <c r="D89" s="662"/>
      <c r="E89" s="662"/>
      <c r="F89" s="662"/>
      <c r="G89" s="662"/>
      <c r="H89" s="662"/>
      <c r="I89" s="662"/>
      <c r="J89" s="662"/>
      <c r="K89" s="662"/>
      <c r="L89" s="662"/>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1"/>
      <c r="B90" s="652"/>
      <c r="C90" s="666"/>
      <c r="D90" s="645"/>
      <c r="E90" s="645"/>
      <c r="F90" s="645"/>
      <c r="G90" s="645"/>
      <c r="H90" s="645"/>
      <c r="I90" s="645"/>
      <c r="J90" s="645"/>
      <c r="K90" s="645"/>
      <c r="L90" s="645"/>
      <c r="M90" s="646"/>
      <c r="N90" s="2002"/>
      <c r="O90" s="2002"/>
      <c r="P90" s="2003"/>
      <c r="Q90" s="2004"/>
      <c r="R90" s="2005"/>
      <c r="S90" s="2005"/>
      <c r="T90" s="2005"/>
      <c r="U90" s="2005"/>
      <c r="V90" s="2005"/>
      <c r="W90" s="2005"/>
      <c r="X90" s="2005"/>
      <c r="Y90" s="2005"/>
      <c r="Z90" s="2005"/>
      <c r="AA90" s="2005"/>
      <c r="AB90" s="2005"/>
      <c r="AC90" s="2005"/>
    </row>
    <row r="91" spans="1:29" ht="15" thickTop="1">
      <c r="A91" s="709"/>
      <c r="B91" s="647">
        <f>B32</f>
        <v>111</v>
      </c>
      <c r="C91" s="517"/>
      <c r="D91" s="517"/>
      <c r="E91" s="517"/>
      <c r="F91" s="517"/>
      <c r="G91" s="662"/>
      <c r="H91" s="663"/>
      <c r="I91" s="663"/>
      <c r="J91" s="663"/>
      <c r="K91" s="663"/>
      <c r="L91" s="664"/>
      <c r="M91" s="665"/>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66"/>
      <c r="D92" s="645"/>
      <c r="E92" s="645"/>
      <c r="F92" s="645"/>
      <c r="G92" s="666"/>
      <c r="H92" s="667"/>
      <c r="I92" s="667"/>
      <c r="J92" s="667"/>
      <c r="K92" s="667"/>
      <c r="L92" s="667"/>
      <c r="M92" s="668"/>
      <c r="N92" s="2001"/>
      <c r="O92" s="2001"/>
      <c r="P92" s="2000"/>
      <c r="Q92" s="1993"/>
      <c r="R92" s="1981"/>
      <c r="S92" s="1981"/>
      <c r="T92" s="1981"/>
      <c r="U92" s="1981"/>
      <c r="V92" s="1981"/>
      <c r="W92" s="1981"/>
      <c r="X92" s="1981"/>
      <c r="Y92" s="1981"/>
      <c r="Z92" s="1981"/>
      <c r="AA92" s="1981"/>
      <c r="AB92" s="1981"/>
      <c r="AC92" s="1981"/>
    </row>
    <row r="93" spans="1:29" ht="15" thickTop="1">
      <c r="A93" s="709"/>
      <c r="B93" s="647">
        <f>B33</f>
        <v>111</v>
      </c>
      <c r="C93" s="517"/>
      <c r="D93" s="517"/>
      <c r="E93" s="517"/>
      <c r="F93" s="517"/>
      <c r="G93" s="662"/>
      <c r="H93" s="663"/>
      <c r="I93" s="663"/>
      <c r="J93" s="663"/>
      <c r="K93" s="663"/>
      <c r="L93" s="664"/>
      <c r="M93" s="66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66"/>
      <c r="H94" s="667"/>
      <c r="I94" s="667"/>
      <c r="J94" s="667"/>
      <c r="K94" s="667"/>
      <c r="L94" s="667"/>
      <c r="M94" s="668"/>
      <c r="N94" s="2001"/>
      <c r="O94" s="2001"/>
      <c r="P94" s="2000"/>
      <c r="Q94" s="1993"/>
      <c r="R94" s="1981"/>
      <c r="S94" s="1981"/>
      <c r="T94" s="1981"/>
      <c r="U94" s="1981"/>
      <c r="V94" s="1981"/>
      <c r="W94" s="1981"/>
      <c r="X94" s="1981"/>
      <c r="Y94" s="1981"/>
      <c r="Z94" s="1981"/>
      <c r="AA94" s="1981"/>
      <c r="AB94" s="1981"/>
      <c r="AC94" s="1981"/>
    </row>
    <row r="95" spans="1:29" ht="15" thickTop="1">
      <c r="A95" s="709"/>
      <c r="B95" s="888">
        <f>B34</f>
        <v>111</v>
      </c>
      <c r="C95" s="517"/>
      <c r="D95" s="517"/>
      <c r="E95" s="517"/>
      <c r="F95" s="517"/>
      <c r="G95" s="662"/>
      <c r="H95" s="663"/>
      <c r="I95" s="663"/>
      <c r="J95" s="663"/>
      <c r="K95" s="663"/>
      <c r="L95" s="664"/>
      <c r="M95" s="665"/>
      <c r="N95" s="2001"/>
      <c r="O95" s="2001"/>
      <c r="P95" s="2040"/>
      <c r="Q95" s="2041"/>
      <c r="R95" s="1981"/>
      <c r="S95" s="1981"/>
      <c r="T95" s="1981"/>
      <c r="U95" s="1981"/>
      <c r="V95" s="1981"/>
      <c r="W95" s="1981"/>
      <c r="X95" s="1981"/>
      <c r="Y95" s="1981"/>
      <c r="Z95" s="1981"/>
      <c r="AA95" s="1981"/>
      <c r="AB95" s="1981"/>
      <c r="AC95" s="1981"/>
    </row>
    <row r="96" spans="1:29" ht="15.75" thickBot="1">
      <c r="A96" s="643"/>
      <c r="B96" s="652"/>
      <c r="C96" s="666"/>
      <c r="D96" s="666"/>
      <c r="E96" s="666"/>
      <c r="F96" s="666"/>
      <c r="G96" s="666"/>
      <c r="H96" s="667"/>
      <c r="I96" s="667"/>
      <c r="J96" s="667"/>
      <c r="K96" s="667"/>
      <c r="L96" s="667"/>
      <c r="M96" s="668"/>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4"/>
    <col min="36" max="16384" width="9" style="1167"/>
  </cols>
  <sheetData>
    <row r="1" spans="1:45" s="254" customFormat="1" ht="14.25" customHeight="1" thickBot="1">
      <c r="A1" s="362"/>
      <c r="B1" s="2068" t="s">
        <v>2093</v>
      </c>
      <c r="C1" s="3792" t="s">
        <v>2094</v>
      </c>
      <c r="D1" s="3793"/>
      <c r="E1" s="3793"/>
      <c r="F1" s="3793"/>
      <c r="G1" s="3793"/>
      <c r="H1" s="3793"/>
      <c r="I1" s="3793"/>
      <c r="J1" s="3793"/>
      <c r="K1" s="3793"/>
      <c r="L1" s="3793"/>
      <c r="M1" s="3793"/>
      <c r="N1" s="3793"/>
      <c r="O1" s="3793"/>
      <c r="P1" s="3793"/>
      <c r="Q1" s="3793"/>
      <c r="R1" s="3793"/>
      <c r="S1" s="3794"/>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8"/>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7">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7" t="e">
        <f>R22</f>
        <v>#DIV/0!</v>
      </c>
      <c r="C21" s="1856"/>
      <c r="D21" s="1856"/>
      <c r="E21" s="1856"/>
      <c r="F21" s="1856"/>
      <c r="G21" s="1856"/>
      <c r="H21" s="1856"/>
      <c r="I21" s="1856"/>
      <c r="J21" s="1856"/>
      <c r="K21" s="1856"/>
      <c r="L21" s="1856"/>
      <c r="M21" s="1856"/>
      <c r="N21" s="1856"/>
      <c r="O21" s="1856"/>
      <c r="P21" s="1856"/>
      <c r="Q21" s="1856"/>
      <c r="R21" s="2059"/>
      <c r="S21" s="1865"/>
    </row>
    <row r="22" spans="1:45">
      <c r="A22" s="771" t="s">
        <v>811</v>
      </c>
      <c r="B22" s="53">
        <f>SUM(B24:B10000)</f>
        <v>0</v>
      </c>
      <c r="C22" s="3789" t="s">
        <v>20</v>
      </c>
      <c r="D22" s="3790"/>
      <c r="E22" s="3790"/>
      <c r="F22" s="3790"/>
      <c r="G22" s="3790"/>
      <c r="H22" s="3790"/>
      <c r="I22" s="3790"/>
      <c r="J22" s="3790"/>
      <c r="K22" s="3790"/>
      <c r="L22" s="3790"/>
      <c r="M22" s="3790"/>
      <c r="N22" s="3790"/>
      <c r="O22" s="3790"/>
      <c r="P22" s="3790"/>
      <c r="Q22" s="3791"/>
      <c r="R22" s="473"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3">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3">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3">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3">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3">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3">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3">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3">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3">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3">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3">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3">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3">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3">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3">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3">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3">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3">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3">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3">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3">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3">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3">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3">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3">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3">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3">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3">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3">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3">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3">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3">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3">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3">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3">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3">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3">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3">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3">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3">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3">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3">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3">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3">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3">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3">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3">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3">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3">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3">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3">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3">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3">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3">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3">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3">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3">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3">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3">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3">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3">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3">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3">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3">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3">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3">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3">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3">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3">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3">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3">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3">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3">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3">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3">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3">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3">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3">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3">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3">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3">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3">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3">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3">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3">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3">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3">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3">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3">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3">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3">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3">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3">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3">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3">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3">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3">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3">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3">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3">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3">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3">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3">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3">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3">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3">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3">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3">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3">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3">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3">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3">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3">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3">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3">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3">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3">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3">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3">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3">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3">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3">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3">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3">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3">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3">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3">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3">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3">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3">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3">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3">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3">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3">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3">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3">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3">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3">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3">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3">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3">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3">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3">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3">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3">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3">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3">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3">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3">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3">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3">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3">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3">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3">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3">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3">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3">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3">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3">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3">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3">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3">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3">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3">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3">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3">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3">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3">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3">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3">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3">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3">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3">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3">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3">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3">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3">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3">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3">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3">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3">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3">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3">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3">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3">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3">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3">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3">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3">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3">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3">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3">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3">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3">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3">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3">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3">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3">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3">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3">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3">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3">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3">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3">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3">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3">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3">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3">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3">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3">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3">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3">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3">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3">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3">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3">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3">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3">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3">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3">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3">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3">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3">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3">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3">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3">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3">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3">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3">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3">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3">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3">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3">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3">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3">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3">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3">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3">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3">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3">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3">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3">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3">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3">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3">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3">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3">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3">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3">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3">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3">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3">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3">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3">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3">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3">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3">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3">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3">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3">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3">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3">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3">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3">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3">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3">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3">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3">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3">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3">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3">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3">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3">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3">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3">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3">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3">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3">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3">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3">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3">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3">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3">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3">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3">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3">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3">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3">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3">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3">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3">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3">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3">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3">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3">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3">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3">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3">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3">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3">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3">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3">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3">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3">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3">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3">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3">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3">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3">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3">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3">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3">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3">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3">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3">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3">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3">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3">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3">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3">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3">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3">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3">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3">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3">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3">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3">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3">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3">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3">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3">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3">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3">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3">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3">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3">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3">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3">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3">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3">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3">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3">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3">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3">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3">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3">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3">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3">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3">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3">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3">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3">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3">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3">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3">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3">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3">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3">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3">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3">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3">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3">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3">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3">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3">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3">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3">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3">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3">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3">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3">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3">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3">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3">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3">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3">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3">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3">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3">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3">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3">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3">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3">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3">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3">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3">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3">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3">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3">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3">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3">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3">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3">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3">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3">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3">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3">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3">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3">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3">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3">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3">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3">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3">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3">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3">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3">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3">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3">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3">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3">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3">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3">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3">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3">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3">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3">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3">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3">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3">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3">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3">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3">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3">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3">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3">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3">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3">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3">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3">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3">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3">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3">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3">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3">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3">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3">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3">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3">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3">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3">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3">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3">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3">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3">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3">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3">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3">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3">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3">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3">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3">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3">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3">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3">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3">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3">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3">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3">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3">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3">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3">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3">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3">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3">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3">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3">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3">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3">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3">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3">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3">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3">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3">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3">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3">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3">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3">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3">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3">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3">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3">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3">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3">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3">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3">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3">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3">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3">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3">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3">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3">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3">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3">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3">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3">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3">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3">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3">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60"/>
      <c r="S525" s="254"/>
    </row>
    <row r="526" spans="1:19">
      <c r="A526" s="254"/>
      <c r="B526" s="57"/>
      <c r="C526" s="57"/>
      <c r="D526" s="57"/>
      <c r="E526" s="57"/>
      <c r="F526" s="57"/>
      <c r="G526" s="57"/>
      <c r="H526" s="57"/>
      <c r="I526" s="57"/>
      <c r="J526" s="57"/>
      <c r="K526" s="57"/>
      <c r="L526" s="57"/>
      <c r="M526" s="57"/>
      <c r="N526" s="57"/>
      <c r="O526" s="57"/>
      <c r="P526" s="57"/>
      <c r="Q526" s="57"/>
      <c r="R526" s="2060"/>
      <c r="S526" s="254"/>
    </row>
    <row r="527" spans="1:19">
      <c r="A527" s="254"/>
      <c r="B527" s="57"/>
      <c r="C527" s="57"/>
      <c r="D527" s="57"/>
      <c r="E527" s="57"/>
      <c r="F527" s="57"/>
      <c r="G527" s="57"/>
      <c r="H527" s="57"/>
      <c r="I527" s="57"/>
      <c r="J527" s="57"/>
      <c r="K527" s="57"/>
      <c r="L527" s="57"/>
      <c r="M527" s="57"/>
      <c r="N527" s="57"/>
      <c r="O527" s="57"/>
      <c r="P527" s="57"/>
      <c r="Q527" s="57"/>
      <c r="R527" s="2060"/>
      <c r="S527" s="254"/>
    </row>
    <row r="528" spans="1:19">
      <c r="A528" s="254"/>
      <c r="B528" s="57"/>
      <c r="C528" s="57"/>
      <c r="D528" s="57"/>
      <c r="E528" s="57"/>
      <c r="F528" s="57"/>
      <c r="G528" s="57"/>
      <c r="H528" s="57"/>
      <c r="I528" s="57"/>
      <c r="J528" s="57"/>
      <c r="K528" s="57"/>
      <c r="L528" s="57"/>
      <c r="M528" s="57"/>
      <c r="N528" s="57"/>
      <c r="O528" s="57"/>
      <c r="P528" s="57"/>
      <c r="Q528" s="57"/>
      <c r="R528" s="2060"/>
      <c r="S528" s="254"/>
    </row>
    <row r="529" spans="1:19">
      <c r="A529" s="254"/>
      <c r="B529" s="57"/>
      <c r="C529" s="57"/>
      <c r="D529" s="57"/>
      <c r="E529" s="57"/>
      <c r="F529" s="57"/>
      <c r="G529" s="57"/>
      <c r="H529" s="57"/>
      <c r="I529" s="57"/>
      <c r="J529" s="57"/>
      <c r="K529" s="57"/>
      <c r="L529" s="57"/>
      <c r="M529" s="57"/>
      <c r="N529" s="57"/>
      <c r="O529" s="57"/>
      <c r="P529" s="57"/>
      <c r="Q529" s="57"/>
      <c r="R529" s="2060"/>
      <c r="S529" s="254"/>
    </row>
    <row r="530" spans="1:19">
      <c r="A530" s="254"/>
      <c r="B530" s="57"/>
      <c r="C530" s="57"/>
      <c r="D530" s="57"/>
      <c r="E530" s="57"/>
      <c r="F530" s="57"/>
      <c r="G530" s="57"/>
      <c r="H530" s="57"/>
      <c r="I530" s="57"/>
      <c r="J530" s="57"/>
      <c r="K530" s="57"/>
      <c r="L530" s="57"/>
      <c r="M530" s="57"/>
      <c r="N530" s="57"/>
      <c r="O530" s="57"/>
      <c r="P530" s="57"/>
      <c r="Q530" s="57"/>
      <c r="R530" s="2060"/>
      <c r="S530" s="254"/>
    </row>
    <row r="531" spans="1:19">
      <c r="A531" s="254"/>
      <c r="B531" s="57"/>
      <c r="C531" s="57"/>
      <c r="D531" s="57"/>
      <c r="E531" s="57"/>
      <c r="F531" s="57"/>
      <c r="G531" s="57"/>
      <c r="H531" s="57"/>
      <c r="I531" s="57"/>
      <c r="J531" s="57"/>
      <c r="K531" s="57"/>
      <c r="L531" s="57"/>
      <c r="M531" s="57"/>
      <c r="N531" s="57"/>
      <c r="O531" s="57"/>
      <c r="P531" s="57"/>
      <c r="Q531" s="57"/>
      <c r="R531" s="2060"/>
      <c r="S531" s="254"/>
    </row>
    <row r="532" spans="1:19">
      <c r="A532" s="254"/>
      <c r="B532" s="57"/>
      <c r="C532" s="57"/>
      <c r="D532" s="57"/>
      <c r="E532" s="57"/>
      <c r="F532" s="57"/>
      <c r="G532" s="57"/>
      <c r="H532" s="57"/>
      <c r="I532" s="57"/>
      <c r="J532" s="57"/>
      <c r="K532" s="57"/>
      <c r="L532" s="57"/>
      <c r="M532" s="57"/>
      <c r="N532" s="57"/>
      <c r="O532" s="57"/>
      <c r="P532" s="57"/>
      <c r="Q532" s="57"/>
      <c r="R532" s="2060"/>
      <c r="S532" s="254"/>
    </row>
    <row r="533" spans="1:19">
      <c r="A533" s="254"/>
      <c r="B533" s="57"/>
      <c r="C533" s="57"/>
      <c r="D533" s="57"/>
      <c r="E533" s="57"/>
      <c r="F533" s="57"/>
      <c r="G533" s="57"/>
      <c r="H533" s="57"/>
      <c r="I533" s="57"/>
      <c r="J533" s="57"/>
      <c r="K533" s="57"/>
      <c r="L533" s="57"/>
      <c r="M533" s="57"/>
      <c r="N533" s="57"/>
      <c r="O533" s="57"/>
      <c r="P533" s="57"/>
      <c r="Q533" s="57"/>
      <c r="R533" s="2060"/>
      <c r="S533" s="254"/>
    </row>
    <row r="534" spans="1:19">
      <c r="A534" s="254"/>
      <c r="B534" s="57"/>
      <c r="C534" s="57"/>
      <c r="D534" s="57"/>
      <c r="E534" s="57"/>
      <c r="F534" s="57"/>
      <c r="G534" s="57"/>
      <c r="H534" s="57"/>
      <c r="I534" s="57"/>
      <c r="J534" s="57"/>
      <c r="K534" s="57"/>
      <c r="L534" s="57"/>
      <c r="M534" s="57"/>
      <c r="N534" s="57"/>
      <c r="O534" s="57"/>
      <c r="P534" s="57"/>
      <c r="Q534" s="57"/>
      <c r="R534" s="2060"/>
      <c r="S534" s="254"/>
    </row>
    <row r="535" spans="1:19">
      <c r="A535" s="254"/>
      <c r="B535" s="57"/>
      <c r="C535" s="57"/>
      <c r="D535" s="57"/>
      <c r="E535" s="57"/>
      <c r="F535" s="57"/>
      <c r="G535" s="57"/>
      <c r="H535" s="57"/>
      <c r="I535" s="57"/>
      <c r="J535" s="57"/>
      <c r="K535" s="57"/>
      <c r="L535" s="57"/>
      <c r="M535" s="57"/>
      <c r="N535" s="57"/>
      <c r="O535" s="57"/>
      <c r="P535" s="57"/>
      <c r="Q535" s="57"/>
      <c r="R535" s="2060"/>
      <c r="S535" s="254"/>
    </row>
    <row r="536" spans="1:19">
      <c r="A536" s="254"/>
      <c r="B536" s="57"/>
      <c r="C536" s="57"/>
      <c r="D536" s="57"/>
      <c r="E536" s="57"/>
      <c r="F536" s="57"/>
      <c r="G536" s="57"/>
      <c r="H536" s="57"/>
      <c r="I536" s="57"/>
      <c r="J536" s="57"/>
      <c r="K536" s="57"/>
      <c r="L536" s="57"/>
      <c r="M536" s="57"/>
      <c r="N536" s="57"/>
      <c r="O536" s="57"/>
      <c r="P536" s="57"/>
      <c r="Q536" s="57"/>
      <c r="R536" s="2060"/>
      <c r="S536" s="254"/>
    </row>
    <row r="537" spans="1:19">
      <c r="A537" s="254"/>
      <c r="B537" s="57"/>
      <c r="C537" s="57"/>
      <c r="D537" s="57"/>
      <c r="E537" s="57"/>
      <c r="F537" s="57"/>
      <c r="G537" s="57"/>
      <c r="H537" s="57"/>
      <c r="I537" s="57"/>
      <c r="J537" s="57"/>
      <c r="K537" s="57"/>
      <c r="L537" s="57"/>
      <c r="M537" s="57"/>
      <c r="N537" s="57"/>
      <c r="O537" s="57"/>
      <c r="P537" s="57"/>
      <c r="Q537" s="57"/>
      <c r="R537" s="2060"/>
      <c r="S537" s="254"/>
    </row>
    <row r="538" spans="1:19">
      <c r="A538" s="254"/>
      <c r="B538" s="57"/>
      <c r="C538" s="57"/>
      <c r="D538" s="57"/>
      <c r="E538" s="57"/>
      <c r="F538" s="57"/>
      <c r="G538" s="57"/>
      <c r="H538" s="57"/>
      <c r="I538" s="57"/>
      <c r="J538" s="57"/>
      <c r="K538" s="57"/>
      <c r="L538" s="57"/>
      <c r="M538" s="57"/>
      <c r="N538" s="57"/>
      <c r="O538" s="57"/>
      <c r="P538" s="57"/>
      <c r="Q538" s="57"/>
      <c r="R538" s="2060"/>
      <c r="S538" s="254"/>
    </row>
    <row r="539" spans="1:19">
      <c r="A539" s="254"/>
      <c r="B539" s="57"/>
      <c r="C539" s="57"/>
      <c r="D539" s="57"/>
      <c r="E539" s="57"/>
      <c r="F539" s="57"/>
      <c r="G539" s="57"/>
      <c r="H539" s="57"/>
      <c r="I539" s="57"/>
      <c r="J539" s="57"/>
      <c r="K539" s="57"/>
      <c r="L539" s="57"/>
      <c r="M539" s="57"/>
      <c r="N539" s="57"/>
      <c r="O539" s="57"/>
      <c r="P539" s="57"/>
      <c r="Q539" s="57"/>
      <c r="R539" s="2060"/>
      <c r="S539" s="254"/>
    </row>
    <row r="540" spans="1:19">
      <c r="A540" s="254"/>
      <c r="B540" s="57"/>
      <c r="C540" s="57"/>
      <c r="D540" s="57"/>
      <c r="E540" s="57"/>
      <c r="F540" s="57"/>
      <c r="G540" s="57"/>
      <c r="H540" s="57"/>
      <c r="I540" s="57"/>
      <c r="J540" s="57"/>
      <c r="K540" s="57"/>
      <c r="L540" s="57"/>
      <c r="M540" s="57"/>
      <c r="N540" s="57"/>
      <c r="O540" s="57"/>
      <c r="P540" s="57"/>
      <c r="Q540" s="57"/>
      <c r="R540" s="2060"/>
      <c r="S540" s="254"/>
    </row>
    <row r="541" spans="1:19">
      <c r="A541" s="254"/>
      <c r="B541" s="57"/>
      <c r="C541" s="57"/>
      <c r="D541" s="57"/>
      <c r="E541" s="57"/>
      <c r="F541" s="57"/>
      <c r="G541" s="57"/>
      <c r="H541" s="57"/>
      <c r="I541" s="57"/>
      <c r="J541" s="57"/>
      <c r="K541" s="57"/>
      <c r="L541" s="57"/>
      <c r="M541" s="57"/>
      <c r="N541" s="57"/>
      <c r="O541" s="57"/>
      <c r="P541" s="57"/>
      <c r="Q541" s="57"/>
      <c r="R541" s="2060"/>
      <c r="S541" s="254"/>
    </row>
    <row r="542" spans="1:19">
      <c r="A542" s="254"/>
      <c r="B542" s="57"/>
      <c r="C542" s="57"/>
      <c r="D542" s="57"/>
      <c r="E542" s="57"/>
      <c r="F542" s="57"/>
      <c r="G542" s="57"/>
      <c r="H542" s="57"/>
      <c r="I542" s="57"/>
      <c r="J542" s="57"/>
      <c r="K542" s="57"/>
      <c r="L542" s="57"/>
      <c r="M542" s="57"/>
      <c r="N542" s="57"/>
      <c r="O542" s="57"/>
      <c r="P542" s="57"/>
      <c r="Q542" s="57"/>
      <c r="R542" s="2060"/>
      <c r="S542" s="254"/>
    </row>
    <row r="543" spans="1:19">
      <c r="A543" s="254"/>
      <c r="B543" s="57"/>
      <c r="C543" s="57"/>
      <c r="D543" s="57"/>
      <c r="E543" s="57"/>
      <c r="F543" s="57"/>
      <c r="G543" s="57"/>
      <c r="H543" s="57"/>
      <c r="I543" s="57"/>
      <c r="J543" s="57"/>
      <c r="K543" s="57"/>
      <c r="L543" s="57"/>
      <c r="M543" s="57"/>
      <c r="N543" s="57"/>
      <c r="O543" s="57"/>
      <c r="P543" s="57"/>
      <c r="Q543" s="57"/>
      <c r="R543" s="2060"/>
      <c r="S543" s="254"/>
    </row>
    <row r="544" spans="1:19">
      <c r="A544" s="254"/>
      <c r="B544" s="57"/>
      <c r="C544" s="57"/>
      <c r="D544" s="57"/>
      <c r="E544" s="57"/>
      <c r="F544" s="57"/>
      <c r="G544" s="57"/>
      <c r="H544" s="57"/>
      <c r="I544" s="57"/>
      <c r="J544" s="57"/>
      <c r="K544" s="57"/>
      <c r="L544" s="57"/>
      <c r="M544" s="57"/>
      <c r="N544" s="57"/>
      <c r="O544" s="57"/>
      <c r="P544" s="57"/>
      <c r="Q544" s="57"/>
      <c r="R544" s="2060"/>
      <c r="S544" s="254"/>
    </row>
    <row r="545" spans="1:19">
      <c r="A545" s="254"/>
      <c r="B545" s="57"/>
      <c r="C545" s="57"/>
      <c r="D545" s="57"/>
      <c r="E545" s="57"/>
      <c r="F545" s="57"/>
      <c r="G545" s="57"/>
      <c r="H545" s="57"/>
      <c r="I545" s="57"/>
      <c r="J545" s="57"/>
      <c r="K545" s="57"/>
      <c r="L545" s="57"/>
      <c r="M545" s="57"/>
      <c r="N545" s="57"/>
      <c r="O545" s="57"/>
      <c r="P545" s="57"/>
      <c r="Q545" s="57"/>
      <c r="R545" s="2060"/>
      <c r="S545" s="254"/>
    </row>
    <row r="546" spans="1:19">
      <c r="A546" s="254"/>
      <c r="B546" s="57"/>
      <c r="C546" s="57"/>
      <c r="D546" s="57"/>
      <c r="E546" s="57"/>
      <c r="F546" s="57"/>
      <c r="G546" s="57"/>
      <c r="H546" s="57"/>
      <c r="I546" s="57"/>
      <c r="J546" s="57"/>
      <c r="K546" s="57"/>
      <c r="L546" s="57"/>
      <c r="M546" s="57"/>
      <c r="N546" s="57"/>
      <c r="O546" s="57"/>
      <c r="P546" s="57"/>
      <c r="Q546" s="57"/>
      <c r="R546" s="2060"/>
      <c r="S546" s="254"/>
    </row>
    <row r="547" spans="1:19">
      <c r="A547" s="254"/>
      <c r="B547" s="57"/>
      <c r="C547" s="57"/>
      <c r="D547" s="57"/>
      <c r="E547" s="57"/>
      <c r="F547" s="57"/>
      <c r="G547" s="57"/>
      <c r="H547" s="57"/>
      <c r="I547" s="57"/>
      <c r="J547" s="57"/>
      <c r="K547" s="57"/>
      <c r="L547" s="57"/>
      <c r="M547" s="57"/>
      <c r="N547" s="57"/>
      <c r="O547" s="57"/>
      <c r="P547" s="57"/>
      <c r="Q547" s="57"/>
      <c r="R547" s="2060"/>
      <c r="S547" s="254"/>
    </row>
    <row r="548" spans="1:19">
      <c r="A548" s="254"/>
      <c r="B548" s="57"/>
      <c r="C548" s="57"/>
      <c r="D548" s="57"/>
      <c r="E548" s="57"/>
      <c r="F548" s="57"/>
      <c r="G548" s="57"/>
      <c r="H548" s="57"/>
      <c r="I548" s="57"/>
      <c r="J548" s="57"/>
      <c r="K548" s="57"/>
      <c r="L548" s="57"/>
      <c r="M548" s="57"/>
      <c r="N548" s="57"/>
      <c r="O548" s="57"/>
      <c r="P548" s="57"/>
      <c r="Q548" s="57"/>
      <c r="R548" s="2060"/>
      <c r="S548" s="254"/>
    </row>
    <row r="549" spans="1:19">
      <c r="A549" s="254"/>
      <c r="B549" s="57"/>
      <c r="C549" s="57"/>
      <c r="D549" s="57"/>
      <c r="E549" s="57"/>
      <c r="F549" s="57"/>
      <c r="G549" s="57"/>
      <c r="H549" s="57"/>
      <c r="I549" s="57"/>
      <c r="J549" s="57"/>
      <c r="K549" s="57"/>
      <c r="L549" s="57"/>
      <c r="M549" s="57"/>
      <c r="N549" s="57"/>
      <c r="O549" s="57"/>
      <c r="P549" s="57"/>
      <c r="Q549" s="57"/>
      <c r="R549" s="2060"/>
      <c r="S549" s="254"/>
    </row>
    <row r="550" spans="1:19">
      <c r="A550" s="254"/>
      <c r="B550" s="57"/>
      <c r="C550" s="57"/>
      <c r="D550" s="57"/>
      <c r="E550" s="57"/>
      <c r="F550" s="57"/>
      <c r="G550" s="57"/>
      <c r="H550" s="57"/>
      <c r="I550" s="57"/>
      <c r="J550" s="57"/>
      <c r="K550" s="57"/>
      <c r="L550" s="57"/>
      <c r="M550" s="57"/>
      <c r="N550" s="57"/>
      <c r="O550" s="57"/>
      <c r="P550" s="57"/>
      <c r="Q550" s="57"/>
      <c r="R550" s="2060"/>
      <c r="S550" s="254"/>
    </row>
    <row r="551" spans="1:19">
      <c r="A551" s="254"/>
      <c r="B551" s="57"/>
      <c r="C551" s="57"/>
      <c r="D551" s="57"/>
      <c r="E551" s="57"/>
      <c r="F551" s="57"/>
      <c r="G551" s="57"/>
      <c r="H551" s="57"/>
      <c r="I551" s="57"/>
      <c r="J551" s="57"/>
      <c r="K551" s="57"/>
      <c r="L551" s="57"/>
      <c r="M551" s="57"/>
      <c r="N551" s="57"/>
      <c r="O551" s="57"/>
      <c r="P551" s="57"/>
      <c r="Q551" s="57"/>
      <c r="R551" s="2060"/>
      <c r="S551" s="254"/>
    </row>
    <row r="552" spans="1:19">
      <c r="A552" s="254"/>
      <c r="B552" s="57"/>
      <c r="C552" s="57"/>
      <c r="D552" s="57"/>
      <c r="E552" s="57"/>
      <c r="F552" s="57"/>
      <c r="G552" s="57"/>
      <c r="H552" s="57"/>
      <c r="I552" s="57"/>
      <c r="J552" s="57"/>
      <c r="K552" s="57"/>
      <c r="L552" s="57"/>
      <c r="M552" s="57"/>
      <c r="N552" s="57"/>
      <c r="O552" s="57"/>
      <c r="P552" s="57"/>
      <c r="Q552" s="57"/>
      <c r="R552" s="2060"/>
      <c r="S552" s="254"/>
    </row>
    <row r="553" spans="1:19">
      <c r="A553" s="254"/>
      <c r="B553" s="57"/>
      <c r="C553" s="57"/>
      <c r="D553" s="57"/>
      <c r="E553" s="57"/>
      <c r="F553" s="57"/>
      <c r="G553" s="57"/>
      <c r="H553" s="57"/>
      <c r="I553" s="57"/>
      <c r="J553" s="57"/>
      <c r="K553" s="57"/>
      <c r="L553" s="57"/>
      <c r="M553" s="57"/>
      <c r="N553" s="57"/>
      <c r="O553" s="57"/>
      <c r="P553" s="57"/>
      <c r="Q553" s="57"/>
      <c r="R553" s="2060"/>
      <c r="S553" s="254"/>
    </row>
    <row r="554" spans="1:19">
      <c r="A554" s="254"/>
      <c r="B554" s="57"/>
      <c r="C554" s="57"/>
      <c r="D554" s="57"/>
      <c r="E554" s="57"/>
      <c r="F554" s="57"/>
      <c r="G554" s="57"/>
      <c r="H554" s="57"/>
      <c r="I554" s="57"/>
      <c r="J554" s="57"/>
      <c r="K554" s="57"/>
      <c r="L554" s="57"/>
      <c r="M554" s="57"/>
      <c r="N554" s="57"/>
      <c r="O554" s="57"/>
      <c r="P554" s="57"/>
      <c r="Q554" s="57"/>
      <c r="R554" s="2060"/>
      <c r="S554" s="254"/>
    </row>
    <row r="555" spans="1:19">
      <c r="A555" s="254"/>
      <c r="B555" s="57"/>
      <c r="C555" s="57"/>
      <c r="D555" s="57"/>
      <c r="E555" s="57"/>
      <c r="F555" s="57"/>
      <c r="G555" s="57"/>
      <c r="H555" s="57"/>
      <c r="I555" s="57"/>
      <c r="J555" s="57"/>
      <c r="K555" s="57"/>
      <c r="L555" s="57"/>
      <c r="M555" s="57"/>
      <c r="N555" s="57"/>
      <c r="O555" s="57"/>
      <c r="P555" s="57"/>
      <c r="Q555" s="57"/>
      <c r="R555" s="2060"/>
      <c r="S555" s="254"/>
    </row>
    <row r="556" spans="1:19">
      <c r="A556" s="254"/>
      <c r="B556" s="57"/>
      <c r="C556" s="57"/>
      <c r="D556" s="57"/>
      <c r="E556" s="57"/>
      <c r="F556" s="57"/>
      <c r="G556" s="57"/>
      <c r="H556" s="57"/>
      <c r="I556" s="57"/>
      <c r="J556" s="57"/>
      <c r="K556" s="57"/>
      <c r="L556" s="57"/>
      <c r="M556" s="57"/>
      <c r="N556" s="57"/>
      <c r="O556" s="57"/>
      <c r="P556" s="57"/>
      <c r="Q556" s="57"/>
      <c r="R556" s="2060"/>
      <c r="S556" s="254"/>
    </row>
    <row r="557" spans="1:19">
      <c r="A557" s="254"/>
      <c r="B557" s="57"/>
      <c r="C557" s="57"/>
      <c r="D557" s="57"/>
      <c r="E557" s="57"/>
      <c r="F557" s="57"/>
      <c r="G557" s="57"/>
      <c r="H557" s="57"/>
      <c r="I557" s="57"/>
      <c r="J557" s="57"/>
      <c r="K557" s="57"/>
      <c r="L557" s="57"/>
      <c r="M557" s="57"/>
      <c r="N557" s="57"/>
      <c r="O557" s="57"/>
      <c r="P557" s="57"/>
      <c r="Q557" s="57"/>
      <c r="R557" s="2060"/>
      <c r="S557" s="254"/>
    </row>
    <row r="558" spans="1:19">
      <c r="A558" s="254"/>
      <c r="B558" s="57"/>
      <c r="C558" s="57"/>
      <c r="D558" s="57"/>
      <c r="E558" s="57"/>
      <c r="F558" s="57"/>
      <c r="G558" s="57"/>
      <c r="H558" s="57"/>
      <c r="I558" s="57"/>
      <c r="J558" s="57"/>
      <c r="K558" s="57"/>
      <c r="L558" s="57"/>
      <c r="M558" s="57"/>
      <c r="N558" s="57"/>
      <c r="O558" s="57"/>
      <c r="P558" s="57"/>
      <c r="Q558" s="57"/>
      <c r="R558" s="2060"/>
      <c r="S558" s="254"/>
    </row>
    <row r="559" spans="1:19">
      <c r="A559" s="254"/>
      <c r="B559" s="57"/>
      <c r="C559" s="57"/>
      <c r="D559" s="57"/>
      <c r="E559" s="57"/>
      <c r="F559" s="57"/>
      <c r="G559" s="57"/>
      <c r="H559" s="57"/>
      <c r="I559" s="57"/>
      <c r="J559" s="57"/>
      <c r="K559" s="57"/>
      <c r="L559" s="57"/>
      <c r="M559" s="57"/>
      <c r="N559" s="57"/>
      <c r="O559" s="57"/>
      <c r="P559" s="57"/>
      <c r="Q559" s="57"/>
      <c r="R559" s="2060"/>
      <c r="S559" s="254"/>
    </row>
    <row r="560" spans="1:19">
      <c r="A560" s="254"/>
      <c r="B560" s="57"/>
      <c r="C560" s="57"/>
      <c r="D560" s="57"/>
      <c r="E560" s="57"/>
      <c r="F560" s="57"/>
      <c r="G560" s="57"/>
      <c r="H560" s="57"/>
      <c r="I560" s="57"/>
      <c r="J560" s="57"/>
      <c r="K560" s="57"/>
      <c r="L560" s="57"/>
      <c r="M560" s="57"/>
      <c r="N560" s="57"/>
      <c r="O560" s="57"/>
      <c r="P560" s="57"/>
      <c r="Q560" s="57"/>
      <c r="R560" s="2060"/>
      <c r="S560" s="254"/>
    </row>
    <row r="561" spans="1:19">
      <c r="A561" s="254"/>
      <c r="B561" s="57"/>
      <c r="C561" s="57"/>
      <c r="D561" s="57"/>
      <c r="E561" s="57"/>
      <c r="F561" s="57"/>
      <c r="G561" s="57"/>
      <c r="H561" s="57"/>
      <c r="I561" s="57"/>
      <c r="J561" s="57"/>
      <c r="K561" s="57"/>
      <c r="L561" s="57"/>
      <c r="M561" s="57"/>
      <c r="N561" s="57"/>
      <c r="O561" s="57"/>
      <c r="P561" s="57"/>
      <c r="Q561" s="57"/>
      <c r="R561" s="2060"/>
      <c r="S561" s="254"/>
    </row>
    <row r="562" spans="1:19">
      <c r="A562" s="254"/>
      <c r="B562" s="57"/>
      <c r="C562" s="57"/>
      <c r="D562" s="57"/>
      <c r="E562" s="57"/>
      <c r="F562" s="57"/>
      <c r="G562" s="57"/>
      <c r="H562" s="57"/>
      <c r="I562" s="57"/>
      <c r="J562" s="57"/>
      <c r="K562" s="57"/>
      <c r="L562" s="57"/>
      <c r="M562" s="57"/>
      <c r="N562" s="57"/>
      <c r="O562" s="57"/>
      <c r="P562" s="57"/>
      <c r="Q562" s="57"/>
      <c r="R562" s="2060"/>
      <c r="S562" s="254"/>
    </row>
    <row r="563" spans="1:19">
      <c r="A563" s="254"/>
      <c r="B563" s="57"/>
      <c r="C563" s="57"/>
      <c r="D563" s="57"/>
      <c r="E563" s="57"/>
      <c r="F563" s="57"/>
      <c r="G563" s="57"/>
      <c r="H563" s="57"/>
      <c r="I563" s="57"/>
      <c r="J563" s="57"/>
      <c r="K563" s="57"/>
      <c r="L563" s="57"/>
      <c r="M563" s="57"/>
      <c r="N563" s="57"/>
      <c r="O563" s="57"/>
      <c r="P563" s="57"/>
      <c r="Q563" s="57"/>
      <c r="R563" s="2060"/>
      <c r="S563" s="254"/>
    </row>
    <row r="564" spans="1:19">
      <c r="A564" s="254"/>
      <c r="B564" s="57"/>
      <c r="C564" s="57"/>
      <c r="D564" s="57"/>
      <c r="E564" s="57"/>
      <c r="F564" s="57"/>
      <c r="G564" s="57"/>
      <c r="H564" s="57"/>
      <c r="I564" s="57"/>
      <c r="J564" s="57"/>
      <c r="K564" s="57"/>
      <c r="L564" s="57"/>
      <c r="M564" s="57"/>
      <c r="N564" s="57"/>
      <c r="O564" s="57"/>
      <c r="P564" s="57"/>
      <c r="Q564" s="57"/>
      <c r="R564" s="2060"/>
      <c r="S564" s="254"/>
    </row>
    <row r="565" spans="1:19">
      <c r="A565" s="254"/>
      <c r="B565" s="57"/>
      <c r="C565" s="57"/>
      <c r="D565" s="57"/>
      <c r="E565" s="57"/>
      <c r="F565" s="57"/>
      <c r="G565" s="57"/>
      <c r="H565" s="57"/>
      <c r="I565" s="57"/>
      <c r="J565" s="57"/>
      <c r="K565" s="57"/>
      <c r="L565" s="57"/>
      <c r="M565" s="57"/>
      <c r="N565" s="57"/>
      <c r="O565" s="57"/>
      <c r="P565" s="57"/>
      <c r="Q565" s="57"/>
      <c r="R565" s="2060"/>
      <c r="S565" s="254"/>
    </row>
    <row r="566" spans="1:19">
      <c r="A566" s="254"/>
      <c r="B566" s="57"/>
      <c r="C566" s="57"/>
      <c r="D566" s="57"/>
      <c r="E566" s="57"/>
      <c r="F566" s="57"/>
      <c r="G566" s="57"/>
      <c r="H566" s="57"/>
      <c r="I566" s="57"/>
      <c r="J566" s="57"/>
      <c r="K566" s="57"/>
      <c r="L566" s="57"/>
      <c r="M566" s="57"/>
      <c r="N566" s="57"/>
      <c r="O566" s="57"/>
      <c r="P566" s="57"/>
      <c r="Q566" s="57"/>
      <c r="R566" s="2060"/>
      <c r="S566" s="254"/>
    </row>
    <row r="567" spans="1:19">
      <c r="A567" s="254"/>
      <c r="B567" s="57"/>
      <c r="C567" s="57"/>
      <c r="D567" s="57"/>
      <c r="E567" s="57"/>
      <c r="F567" s="57"/>
      <c r="G567" s="57"/>
      <c r="H567" s="57"/>
      <c r="I567" s="57"/>
      <c r="J567" s="57"/>
      <c r="K567" s="57"/>
      <c r="L567" s="57"/>
      <c r="M567" s="57"/>
      <c r="N567" s="57"/>
      <c r="O567" s="57"/>
      <c r="P567" s="57"/>
      <c r="Q567" s="57"/>
      <c r="R567" s="2060"/>
      <c r="S567" s="254"/>
    </row>
    <row r="568" spans="1:19">
      <c r="A568" s="254"/>
      <c r="B568" s="57"/>
      <c r="C568" s="57"/>
      <c r="D568" s="57"/>
      <c r="E568" s="57"/>
      <c r="F568" s="57"/>
      <c r="G568" s="57"/>
      <c r="H568" s="57"/>
      <c r="I568" s="57"/>
      <c r="J568" s="57"/>
      <c r="K568" s="57"/>
      <c r="L568" s="57"/>
      <c r="M568" s="57"/>
      <c r="N568" s="57"/>
      <c r="O568" s="57"/>
      <c r="P568" s="57"/>
      <c r="Q568" s="57"/>
      <c r="R568" s="2060"/>
      <c r="S568" s="254"/>
    </row>
    <row r="569" spans="1:19">
      <c r="A569" s="254"/>
      <c r="B569" s="57"/>
      <c r="C569" s="57"/>
      <c r="D569" s="57"/>
      <c r="E569" s="57"/>
      <c r="F569" s="57"/>
      <c r="G569" s="57"/>
      <c r="H569" s="57"/>
      <c r="I569" s="57"/>
      <c r="J569" s="57"/>
      <c r="K569" s="57"/>
      <c r="L569" s="57"/>
      <c r="M569" s="57"/>
      <c r="N569" s="57"/>
      <c r="O569" s="57"/>
      <c r="P569" s="57"/>
      <c r="Q569" s="57"/>
      <c r="R569" s="2060"/>
      <c r="S569" s="254"/>
    </row>
    <row r="570" spans="1:19">
      <c r="A570" s="254"/>
      <c r="B570" s="57"/>
      <c r="C570" s="57"/>
      <c r="D570" s="57"/>
      <c r="E570" s="57"/>
      <c r="F570" s="57"/>
      <c r="G570" s="57"/>
      <c r="H570" s="57"/>
      <c r="I570" s="57"/>
      <c r="J570" s="57"/>
      <c r="K570" s="57"/>
      <c r="L570" s="57"/>
      <c r="M570" s="57"/>
      <c r="N570" s="57"/>
      <c r="O570" s="57"/>
      <c r="P570" s="57"/>
      <c r="Q570" s="57"/>
      <c r="R570" s="2060"/>
      <c r="S570" s="254"/>
    </row>
    <row r="571" spans="1:19">
      <c r="A571" s="254"/>
      <c r="B571" s="57"/>
      <c r="C571" s="57"/>
      <c r="D571" s="57"/>
      <c r="E571" s="57"/>
      <c r="F571" s="57"/>
      <c r="G571" s="57"/>
      <c r="H571" s="57"/>
      <c r="I571" s="57"/>
      <c r="J571" s="57"/>
      <c r="K571" s="57"/>
      <c r="L571" s="57"/>
      <c r="M571" s="57"/>
      <c r="N571" s="57"/>
      <c r="O571" s="57"/>
      <c r="P571" s="57"/>
      <c r="Q571" s="57"/>
      <c r="R571" s="2060"/>
      <c r="S571" s="254"/>
    </row>
    <row r="572" spans="1:19">
      <c r="A572" s="254"/>
      <c r="B572" s="57"/>
      <c r="C572" s="57"/>
      <c r="D572" s="57"/>
      <c r="E572" s="57"/>
      <c r="F572" s="57"/>
      <c r="G572" s="57"/>
      <c r="H572" s="57"/>
      <c r="I572" s="57"/>
      <c r="J572" s="57"/>
      <c r="K572" s="57"/>
      <c r="L572" s="57"/>
      <c r="M572" s="57"/>
      <c r="N572" s="57"/>
      <c r="O572" s="57"/>
      <c r="P572" s="57"/>
      <c r="Q572" s="57"/>
      <c r="R572" s="2060"/>
      <c r="S572" s="254"/>
    </row>
    <row r="573" spans="1:19">
      <c r="A573" s="254"/>
      <c r="B573" s="57"/>
      <c r="C573" s="57"/>
      <c r="D573" s="57"/>
      <c r="E573" s="57"/>
      <c r="F573" s="57"/>
      <c r="G573" s="57"/>
      <c r="H573" s="57"/>
      <c r="I573" s="57"/>
      <c r="J573" s="57"/>
      <c r="K573" s="57"/>
      <c r="L573" s="57"/>
      <c r="M573" s="57"/>
      <c r="N573" s="57"/>
      <c r="O573" s="57"/>
      <c r="P573" s="57"/>
      <c r="Q573" s="57"/>
      <c r="R573" s="2060"/>
      <c r="S573" s="254"/>
    </row>
    <row r="574" spans="1:19">
      <c r="A574" s="254"/>
      <c r="B574" s="57"/>
      <c r="C574" s="57"/>
      <c r="D574" s="57"/>
      <c r="E574" s="57"/>
      <c r="F574" s="57"/>
      <c r="G574" s="57"/>
      <c r="H574" s="57"/>
      <c r="I574" s="57"/>
      <c r="J574" s="57"/>
      <c r="K574" s="57"/>
      <c r="L574" s="57"/>
      <c r="M574" s="57"/>
      <c r="N574" s="57"/>
      <c r="O574" s="57"/>
      <c r="P574" s="57"/>
      <c r="Q574" s="57"/>
      <c r="R574" s="2060"/>
      <c r="S574" s="254"/>
    </row>
    <row r="575" spans="1:19">
      <c r="A575" s="254"/>
      <c r="B575" s="57"/>
      <c r="C575" s="57"/>
      <c r="D575" s="57"/>
      <c r="E575" s="57"/>
      <c r="F575" s="57"/>
      <c r="G575" s="57"/>
      <c r="H575" s="57"/>
      <c r="I575" s="57"/>
      <c r="J575" s="57"/>
      <c r="K575" s="57"/>
      <c r="L575" s="57"/>
      <c r="M575" s="57"/>
      <c r="N575" s="57"/>
      <c r="O575" s="57"/>
      <c r="P575" s="57"/>
      <c r="Q575" s="57"/>
      <c r="R575" s="2060"/>
      <c r="S575" s="254"/>
    </row>
    <row r="576" spans="1:19">
      <c r="A576" s="254"/>
      <c r="B576" s="57"/>
      <c r="C576" s="57"/>
      <c r="D576" s="57"/>
      <c r="E576" s="57"/>
      <c r="F576" s="57"/>
      <c r="G576" s="57"/>
      <c r="H576" s="57"/>
      <c r="I576" s="57"/>
      <c r="J576" s="57"/>
      <c r="K576" s="57"/>
      <c r="L576" s="57"/>
      <c r="M576" s="57"/>
      <c r="N576" s="57"/>
      <c r="O576" s="57"/>
      <c r="P576" s="57"/>
      <c r="Q576" s="57"/>
      <c r="R576" s="2060"/>
      <c r="S576" s="254"/>
    </row>
    <row r="577" spans="1:19">
      <c r="A577" s="254"/>
      <c r="B577" s="57"/>
      <c r="C577" s="57"/>
      <c r="D577" s="57"/>
      <c r="E577" s="57"/>
      <c r="F577" s="57"/>
      <c r="G577" s="57"/>
      <c r="H577" s="57"/>
      <c r="I577" s="57"/>
      <c r="J577" s="57"/>
      <c r="K577" s="57"/>
      <c r="L577" s="57"/>
      <c r="M577" s="57"/>
      <c r="N577" s="57"/>
      <c r="O577" s="57"/>
      <c r="P577" s="57"/>
      <c r="Q577" s="57"/>
      <c r="R577" s="2060"/>
      <c r="S577" s="254"/>
    </row>
    <row r="578" spans="1:19">
      <c r="A578" s="254"/>
      <c r="B578" s="57"/>
      <c r="C578" s="57"/>
      <c r="D578" s="57"/>
      <c r="E578" s="57"/>
      <c r="F578" s="57"/>
      <c r="G578" s="57"/>
      <c r="H578" s="57"/>
      <c r="I578" s="57"/>
      <c r="J578" s="57"/>
      <c r="K578" s="57"/>
      <c r="L578" s="57"/>
      <c r="M578" s="57"/>
      <c r="N578" s="57"/>
      <c r="O578" s="57"/>
      <c r="P578" s="57"/>
      <c r="Q578" s="57"/>
      <c r="R578" s="2060"/>
      <c r="S578" s="254"/>
    </row>
    <row r="579" spans="1:19">
      <c r="A579" s="254"/>
      <c r="B579" s="57"/>
      <c r="C579" s="57"/>
      <c r="D579" s="57"/>
      <c r="E579" s="57"/>
      <c r="F579" s="57"/>
      <c r="G579" s="57"/>
      <c r="H579" s="57"/>
      <c r="I579" s="57"/>
      <c r="J579" s="57"/>
      <c r="K579" s="57"/>
      <c r="L579" s="57"/>
      <c r="M579" s="57"/>
      <c r="N579" s="57"/>
      <c r="O579" s="57"/>
      <c r="P579" s="57"/>
      <c r="Q579" s="57"/>
      <c r="R579" s="2060"/>
      <c r="S579" s="254"/>
    </row>
    <row r="580" spans="1:19">
      <c r="A580" s="254"/>
      <c r="B580" s="57"/>
      <c r="C580" s="57"/>
      <c r="D580" s="57"/>
      <c r="E580" s="57"/>
      <c r="F580" s="57"/>
      <c r="G580" s="57"/>
      <c r="H580" s="57"/>
      <c r="I580" s="57"/>
      <c r="J580" s="57"/>
      <c r="K580" s="57"/>
      <c r="L580" s="57"/>
      <c r="M580" s="57"/>
      <c r="N580" s="57"/>
      <c r="O580" s="57"/>
      <c r="P580" s="57"/>
      <c r="Q580" s="57"/>
      <c r="R580" s="2060"/>
      <c r="S580" s="254"/>
    </row>
    <row r="581" spans="1:19">
      <c r="A581" s="254"/>
      <c r="B581" s="57"/>
      <c r="C581" s="57"/>
      <c r="D581" s="57"/>
      <c r="E581" s="57"/>
      <c r="F581" s="57"/>
      <c r="G581" s="57"/>
      <c r="H581" s="57"/>
      <c r="I581" s="57"/>
      <c r="J581" s="57"/>
      <c r="K581" s="57"/>
      <c r="L581" s="57"/>
      <c r="M581" s="57"/>
      <c r="N581" s="57"/>
      <c r="O581" s="57"/>
      <c r="P581" s="57"/>
      <c r="Q581" s="57"/>
      <c r="R581" s="2060"/>
      <c r="S581" s="254"/>
    </row>
    <row r="582" spans="1:19">
      <c r="A582" s="254"/>
      <c r="B582" s="57"/>
      <c r="C582" s="57"/>
      <c r="D582" s="57"/>
      <c r="E582" s="57"/>
      <c r="F582" s="57"/>
      <c r="G582" s="57"/>
      <c r="H582" s="57"/>
      <c r="I582" s="57"/>
      <c r="J582" s="57"/>
      <c r="K582" s="57"/>
      <c r="L582" s="57"/>
      <c r="M582" s="57"/>
      <c r="N582" s="57"/>
      <c r="O582" s="57"/>
      <c r="P582" s="57"/>
      <c r="Q582" s="57"/>
      <c r="R582" s="2060"/>
      <c r="S582" s="254"/>
    </row>
    <row r="583" spans="1:19">
      <c r="A583" s="254"/>
      <c r="B583" s="57"/>
      <c r="C583" s="57"/>
      <c r="D583" s="57"/>
      <c r="E583" s="57"/>
      <c r="F583" s="57"/>
      <c r="G583" s="57"/>
      <c r="H583" s="57"/>
      <c r="I583" s="57"/>
      <c r="J583" s="57"/>
      <c r="K583" s="57"/>
      <c r="L583" s="57"/>
      <c r="M583" s="57"/>
      <c r="N583" s="57"/>
      <c r="O583" s="57"/>
      <c r="P583" s="57"/>
      <c r="Q583" s="57"/>
      <c r="R583" s="2060"/>
      <c r="S583" s="254"/>
    </row>
    <row r="584" spans="1:19">
      <c r="A584" s="254"/>
      <c r="B584" s="57"/>
      <c r="C584" s="57"/>
      <c r="D584" s="57"/>
      <c r="E584" s="57"/>
      <c r="F584" s="57"/>
      <c r="G584" s="57"/>
      <c r="H584" s="57"/>
      <c r="I584" s="57"/>
      <c r="J584" s="57"/>
      <c r="K584" s="57"/>
      <c r="L584" s="57"/>
      <c r="M584" s="57"/>
      <c r="N584" s="57"/>
      <c r="O584" s="57"/>
      <c r="P584" s="57"/>
      <c r="Q584" s="57"/>
      <c r="R584" s="2060"/>
      <c r="S584" s="254"/>
    </row>
    <row r="585" spans="1:19">
      <c r="A585" s="254"/>
      <c r="B585" s="57"/>
      <c r="C585" s="57"/>
      <c r="D585" s="57"/>
      <c r="E585" s="57"/>
      <c r="F585" s="57"/>
      <c r="G585" s="57"/>
      <c r="H585" s="57"/>
      <c r="I585" s="57"/>
      <c r="J585" s="57"/>
      <c r="K585" s="57"/>
      <c r="L585" s="57"/>
      <c r="M585" s="57"/>
      <c r="N585" s="57"/>
      <c r="O585" s="57"/>
      <c r="P585" s="57"/>
      <c r="Q585" s="57"/>
      <c r="R585" s="2060"/>
      <c r="S585" s="254"/>
    </row>
    <row r="586" spans="1:19">
      <c r="A586" s="254"/>
      <c r="B586" s="57"/>
      <c r="C586" s="57"/>
      <c r="D586" s="57"/>
      <c r="E586" s="57"/>
      <c r="F586" s="57"/>
      <c r="G586" s="57"/>
      <c r="H586" s="57"/>
      <c r="I586" s="57"/>
      <c r="J586" s="57"/>
      <c r="K586" s="57"/>
      <c r="L586" s="57"/>
      <c r="M586" s="57"/>
      <c r="N586" s="57"/>
      <c r="O586" s="57"/>
      <c r="P586" s="57"/>
      <c r="Q586" s="57"/>
      <c r="R586" s="2060"/>
      <c r="S586" s="254"/>
    </row>
    <row r="587" spans="1:19">
      <c r="A587" s="254"/>
      <c r="B587" s="57"/>
      <c r="C587" s="57"/>
      <c r="D587" s="57"/>
      <c r="E587" s="57"/>
      <c r="F587" s="57"/>
      <c r="G587" s="57"/>
      <c r="H587" s="57"/>
      <c r="I587" s="57"/>
      <c r="J587" s="57"/>
      <c r="K587" s="57"/>
      <c r="L587" s="57"/>
      <c r="M587" s="57"/>
      <c r="N587" s="57"/>
      <c r="O587" s="57"/>
      <c r="P587" s="57"/>
      <c r="Q587" s="57"/>
      <c r="R587" s="2060"/>
      <c r="S587" s="254"/>
    </row>
    <row r="588" spans="1:19">
      <c r="A588" s="254"/>
      <c r="B588" s="57"/>
      <c r="C588" s="57"/>
      <c r="D588" s="57"/>
      <c r="E588" s="57"/>
      <c r="F588" s="57"/>
      <c r="G588" s="57"/>
      <c r="H588" s="57"/>
      <c r="I588" s="57"/>
      <c r="J588" s="57"/>
      <c r="K588" s="57"/>
      <c r="L588" s="57"/>
      <c r="M588" s="57"/>
      <c r="N588" s="57"/>
      <c r="O588" s="57"/>
      <c r="P588" s="57"/>
      <c r="Q588" s="57"/>
      <c r="R588" s="2060"/>
      <c r="S588" s="254"/>
    </row>
    <row r="589" spans="1:19">
      <c r="A589" s="254"/>
      <c r="B589" s="57"/>
      <c r="C589" s="57"/>
      <c r="D589" s="57"/>
      <c r="E589" s="57"/>
      <c r="F589" s="57"/>
      <c r="G589" s="57"/>
      <c r="H589" s="57"/>
      <c r="I589" s="57"/>
      <c r="J589" s="57"/>
      <c r="K589" s="57"/>
      <c r="L589" s="57"/>
      <c r="M589" s="57"/>
      <c r="N589" s="57"/>
      <c r="O589" s="57"/>
      <c r="P589" s="57"/>
      <c r="Q589" s="57"/>
      <c r="R589" s="2060"/>
      <c r="S589" s="254"/>
    </row>
    <row r="590" spans="1:19">
      <c r="A590" s="254"/>
      <c r="B590" s="57"/>
      <c r="C590" s="57"/>
      <c r="D590" s="57"/>
      <c r="E590" s="57"/>
      <c r="F590" s="57"/>
      <c r="G590" s="57"/>
      <c r="H590" s="57"/>
      <c r="I590" s="57"/>
      <c r="J590" s="57"/>
      <c r="K590" s="57"/>
      <c r="L590" s="57"/>
      <c r="M590" s="57"/>
      <c r="N590" s="57"/>
      <c r="O590" s="57"/>
      <c r="P590" s="57"/>
      <c r="Q590" s="57"/>
      <c r="R590" s="2060"/>
      <c r="S590" s="254"/>
    </row>
    <row r="591" spans="1:19">
      <c r="A591" s="254"/>
      <c r="B591" s="57"/>
      <c r="C591" s="57"/>
      <c r="D591" s="57"/>
      <c r="E591" s="57"/>
      <c r="F591" s="57"/>
      <c r="G591" s="57"/>
      <c r="H591" s="57"/>
      <c r="I591" s="57"/>
      <c r="J591" s="57"/>
      <c r="K591" s="57"/>
      <c r="L591" s="57"/>
      <c r="M591" s="57"/>
      <c r="N591" s="57"/>
      <c r="O591" s="57"/>
      <c r="P591" s="57"/>
      <c r="Q591" s="57"/>
      <c r="R591" s="2060"/>
      <c r="S591" s="254"/>
    </row>
    <row r="592" spans="1:19">
      <c r="A592" s="254"/>
      <c r="B592" s="57"/>
      <c r="C592" s="57"/>
      <c r="D592" s="57"/>
      <c r="E592" s="57"/>
      <c r="F592" s="57"/>
      <c r="G592" s="57"/>
      <c r="H592" s="57"/>
      <c r="I592" s="57"/>
      <c r="J592" s="57"/>
      <c r="K592" s="57"/>
      <c r="L592" s="57"/>
      <c r="M592" s="57"/>
      <c r="N592" s="57"/>
      <c r="O592" s="57"/>
      <c r="P592" s="57"/>
      <c r="Q592" s="57"/>
      <c r="R592" s="2060"/>
      <c r="S592" s="254"/>
    </row>
    <row r="593" spans="1:19">
      <c r="A593" s="254"/>
      <c r="B593" s="57"/>
      <c r="C593" s="57"/>
      <c r="D593" s="57"/>
      <c r="E593" s="57"/>
      <c r="F593" s="57"/>
      <c r="G593" s="57"/>
      <c r="H593" s="57"/>
      <c r="I593" s="57"/>
      <c r="J593" s="57"/>
      <c r="K593" s="57"/>
      <c r="L593" s="57"/>
      <c r="M593" s="57"/>
      <c r="N593" s="57"/>
      <c r="O593" s="57"/>
      <c r="P593" s="57"/>
      <c r="Q593" s="57"/>
      <c r="R593" s="2060"/>
      <c r="S593" s="254"/>
    </row>
    <row r="594" spans="1:19">
      <c r="A594" s="254"/>
      <c r="B594" s="57"/>
      <c r="C594" s="57"/>
      <c r="D594" s="57"/>
      <c r="E594" s="57"/>
      <c r="F594" s="57"/>
      <c r="G594" s="57"/>
      <c r="H594" s="57"/>
      <c r="I594" s="57"/>
      <c r="J594" s="57"/>
      <c r="K594" s="57"/>
      <c r="L594" s="57"/>
      <c r="M594" s="57"/>
      <c r="N594" s="57"/>
      <c r="O594" s="57"/>
      <c r="P594" s="57"/>
      <c r="Q594" s="57"/>
      <c r="R594" s="2060"/>
      <c r="S594" s="254"/>
    </row>
    <row r="595" spans="1:19">
      <c r="A595" s="254"/>
      <c r="B595" s="57"/>
      <c r="C595" s="57"/>
      <c r="D595" s="57"/>
      <c r="E595" s="57"/>
      <c r="F595" s="57"/>
      <c r="G595" s="57"/>
      <c r="H595" s="57"/>
      <c r="I595" s="57"/>
      <c r="J595" s="57"/>
      <c r="K595" s="57"/>
      <c r="L595" s="57"/>
      <c r="M595" s="57"/>
      <c r="N595" s="57"/>
      <c r="O595" s="57"/>
      <c r="P595" s="57"/>
      <c r="Q595" s="57"/>
      <c r="R595" s="2060"/>
      <c r="S595" s="254"/>
    </row>
    <row r="596" spans="1:19">
      <c r="A596" s="254"/>
      <c r="B596" s="57"/>
      <c r="C596" s="57"/>
      <c r="D596" s="57"/>
      <c r="E596" s="57"/>
      <c r="F596" s="57"/>
      <c r="G596" s="57"/>
      <c r="H596" s="57"/>
      <c r="I596" s="57"/>
      <c r="J596" s="57"/>
      <c r="K596" s="57"/>
      <c r="L596" s="57"/>
      <c r="M596" s="57"/>
      <c r="N596" s="57"/>
      <c r="O596" s="57"/>
      <c r="P596" s="57"/>
      <c r="Q596" s="57"/>
      <c r="R596" s="2060"/>
      <c r="S596" s="254"/>
    </row>
    <row r="597" spans="1:19">
      <c r="A597" s="254"/>
      <c r="B597" s="57"/>
      <c r="C597" s="57"/>
      <c r="D597" s="57"/>
      <c r="E597" s="57"/>
      <c r="F597" s="57"/>
      <c r="G597" s="57"/>
      <c r="H597" s="57"/>
      <c r="I597" s="57"/>
      <c r="J597" s="57"/>
      <c r="K597" s="57"/>
      <c r="L597" s="57"/>
      <c r="M597" s="57"/>
      <c r="N597" s="57"/>
      <c r="O597" s="57"/>
      <c r="P597" s="57"/>
      <c r="Q597" s="57"/>
      <c r="R597" s="2060"/>
      <c r="S597" s="254"/>
    </row>
    <row r="598" spans="1:19">
      <c r="A598" s="254"/>
      <c r="B598" s="57"/>
      <c r="C598" s="57"/>
      <c r="D598" s="57"/>
      <c r="E598" s="57"/>
      <c r="F598" s="57"/>
      <c r="G598" s="57"/>
      <c r="H598" s="57"/>
      <c r="I598" s="57"/>
      <c r="J598" s="57"/>
      <c r="K598" s="57"/>
      <c r="L598" s="57"/>
      <c r="M598" s="57"/>
      <c r="N598" s="57"/>
      <c r="O598" s="57"/>
      <c r="P598" s="57"/>
      <c r="Q598" s="57"/>
      <c r="R598" s="2060"/>
      <c r="S598" s="254"/>
    </row>
    <row r="599" spans="1:19">
      <c r="A599" s="254"/>
      <c r="B599" s="57"/>
      <c r="C599" s="57"/>
      <c r="D599" s="57"/>
      <c r="E599" s="57"/>
      <c r="F599" s="57"/>
      <c r="G599" s="57"/>
      <c r="H599" s="57"/>
      <c r="I599" s="57"/>
      <c r="J599" s="57"/>
      <c r="K599" s="57"/>
      <c r="L599" s="57"/>
      <c r="M599" s="57"/>
      <c r="N599" s="57"/>
      <c r="O599" s="57"/>
      <c r="P599" s="57"/>
      <c r="Q599" s="57"/>
      <c r="R599" s="2060"/>
      <c r="S599" s="254"/>
    </row>
    <row r="600" spans="1:19">
      <c r="A600" s="254"/>
      <c r="B600" s="57"/>
      <c r="C600" s="57"/>
      <c r="D600" s="57"/>
      <c r="E600" s="57"/>
      <c r="F600" s="57"/>
      <c r="G600" s="57"/>
      <c r="H600" s="57"/>
      <c r="I600" s="57"/>
      <c r="J600" s="57"/>
      <c r="K600" s="57"/>
      <c r="L600" s="57"/>
      <c r="M600" s="57"/>
      <c r="N600" s="57"/>
      <c r="O600" s="57"/>
      <c r="P600" s="57"/>
      <c r="Q600" s="57"/>
      <c r="R600" s="2060"/>
      <c r="S600" s="254"/>
    </row>
    <row r="601" spans="1:19">
      <c r="A601" s="254"/>
      <c r="B601" s="57"/>
      <c r="C601" s="57"/>
      <c r="D601" s="57"/>
      <c r="E601" s="57"/>
      <c r="F601" s="57"/>
      <c r="G601" s="57"/>
      <c r="H601" s="57"/>
      <c r="I601" s="57"/>
      <c r="J601" s="57"/>
      <c r="K601" s="57"/>
      <c r="L601" s="57"/>
      <c r="M601" s="57"/>
      <c r="N601" s="57"/>
      <c r="O601" s="57"/>
      <c r="P601" s="57"/>
      <c r="Q601" s="57"/>
      <c r="R601" s="2060"/>
      <c r="S601" s="254"/>
    </row>
    <row r="602" spans="1:19">
      <c r="A602" s="254"/>
      <c r="B602" s="57"/>
      <c r="C602" s="57"/>
      <c r="D602" s="57"/>
      <c r="E602" s="57"/>
      <c r="F602" s="57"/>
      <c r="G602" s="57"/>
      <c r="H602" s="57"/>
      <c r="I602" s="57"/>
      <c r="J602" s="57"/>
      <c r="K602" s="57"/>
      <c r="L602" s="57"/>
      <c r="M602" s="57"/>
      <c r="N602" s="57"/>
      <c r="O602" s="57"/>
      <c r="P602" s="57"/>
      <c r="Q602" s="57"/>
      <c r="R602" s="2060"/>
      <c r="S602" s="254"/>
    </row>
    <row r="603" spans="1:19">
      <c r="A603" s="254"/>
      <c r="B603" s="57"/>
      <c r="C603" s="57"/>
      <c r="D603" s="57"/>
      <c r="E603" s="57"/>
      <c r="F603" s="57"/>
      <c r="G603" s="57"/>
      <c r="H603" s="57"/>
      <c r="I603" s="57"/>
      <c r="J603" s="57"/>
      <c r="K603" s="57"/>
      <c r="L603" s="57"/>
      <c r="M603" s="57"/>
      <c r="N603" s="57"/>
      <c r="O603" s="57"/>
      <c r="P603" s="57"/>
      <c r="Q603" s="57"/>
      <c r="R603" s="2060"/>
      <c r="S603" s="254"/>
    </row>
    <row r="604" spans="1:19">
      <c r="A604" s="254"/>
      <c r="B604" s="57"/>
      <c r="C604" s="57"/>
      <c r="D604" s="57"/>
      <c r="E604" s="57"/>
      <c r="F604" s="57"/>
      <c r="G604" s="57"/>
      <c r="H604" s="57"/>
      <c r="I604" s="57"/>
      <c r="J604" s="57"/>
      <c r="K604" s="57"/>
      <c r="L604" s="57"/>
      <c r="M604" s="57"/>
      <c r="N604" s="57"/>
      <c r="O604" s="57"/>
      <c r="P604" s="57"/>
      <c r="Q604" s="57"/>
      <c r="R604" s="2060"/>
      <c r="S604" s="254"/>
    </row>
    <row r="605" spans="1:19">
      <c r="A605" s="254"/>
      <c r="B605" s="57"/>
      <c r="C605" s="57"/>
      <c r="D605" s="57"/>
      <c r="E605" s="57"/>
      <c r="F605" s="57"/>
      <c r="G605" s="57"/>
      <c r="H605" s="57"/>
      <c r="I605" s="57"/>
      <c r="J605" s="57"/>
      <c r="K605" s="57"/>
      <c r="L605" s="57"/>
      <c r="M605" s="57"/>
      <c r="N605" s="57"/>
      <c r="O605" s="57"/>
      <c r="P605" s="57"/>
      <c r="Q605" s="57"/>
      <c r="R605" s="2060"/>
      <c r="S605" s="254"/>
    </row>
    <row r="606" spans="1:19">
      <c r="A606" s="254"/>
      <c r="B606" s="57"/>
      <c r="C606" s="57"/>
      <c r="D606" s="57"/>
      <c r="E606" s="57"/>
      <c r="F606" s="57"/>
      <c r="G606" s="57"/>
      <c r="H606" s="57"/>
      <c r="I606" s="57"/>
      <c r="J606" s="57"/>
      <c r="K606" s="57"/>
      <c r="L606" s="57"/>
      <c r="M606" s="57"/>
      <c r="N606" s="57"/>
      <c r="O606" s="57"/>
      <c r="P606" s="57"/>
      <c r="Q606" s="57"/>
      <c r="R606" s="2060"/>
      <c r="S606" s="254"/>
    </row>
    <row r="607" spans="1:19">
      <c r="A607" s="254"/>
      <c r="B607" s="57"/>
      <c r="C607" s="57"/>
      <c r="D607" s="57"/>
      <c r="E607" s="57"/>
      <c r="F607" s="57"/>
      <c r="G607" s="57"/>
      <c r="H607" s="57"/>
      <c r="I607" s="57"/>
      <c r="J607" s="57"/>
      <c r="K607" s="57"/>
      <c r="L607" s="57"/>
      <c r="M607" s="57"/>
      <c r="N607" s="57"/>
      <c r="O607" s="57"/>
      <c r="P607" s="57"/>
      <c r="Q607" s="57"/>
      <c r="R607" s="2060"/>
      <c r="S607" s="254"/>
    </row>
    <row r="608" spans="1:19">
      <c r="A608" s="254"/>
      <c r="B608" s="57"/>
      <c r="C608" s="57"/>
      <c r="D608" s="57"/>
      <c r="E608" s="57"/>
      <c r="F608" s="57"/>
      <c r="G608" s="57"/>
      <c r="H608" s="57"/>
      <c r="I608" s="57"/>
      <c r="J608" s="57"/>
      <c r="K608" s="57"/>
      <c r="L608" s="57"/>
      <c r="M608" s="57"/>
      <c r="N608" s="57"/>
      <c r="O608" s="57"/>
      <c r="P608" s="57"/>
      <c r="Q608" s="57"/>
      <c r="R608" s="2060"/>
      <c r="S608" s="254"/>
    </row>
    <row r="609" spans="1:19">
      <c r="A609" s="254"/>
      <c r="B609" s="57"/>
      <c r="C609" s="57"/>
      <c r="D609" s="57"/>
      <c r="E609" s="57"/>
      <c r="F609" s="57"/>
      <c r="G609" s="57"/>
      <c r="H609" s="57"/>
      <c r="I609" s="57"/>
      <c r="J609" s="57"/>
      <c r="K609" s="57"/>
      <c r="L609" s="57"/>
      <c r="M609" s="57"/>
      <c r="N609" s="57"/>
      <c r="O609" s="57"/>
      <c r="P609" s="57"/>
      <c r="Q609" s="57"/>
      <c r="R609" s="2060"/>
      <c r="S609" s="254"/>
    </row>
    <row r="610" spans="1:19">
      <c r="A610" s="254"/>
      <c r="B610" s="57"/>
      <c r="C610" s="57"/>
      <c r="D610" s="57"/>
      <c r="E610" s="57"/>
      <c r="F610" s="57"/>
      <c r="G610" s="57"/>
      <c r="H610" s="57"/>
      <c r="I610" s="57"/>
      <c r="J610" s="57"/>
      <c r="K610" s="57"/>
      <c r="L610" s="57"/>
      <c r="M610" s="57"/>
      <c r="N610" s="57"/>
      <c r="O610" s="57"/>
      <c r="P610" s="57"/>
      <c r="Q610" s="57"/>
      <c r="R610" s="2060"/>
      <c r="S610" s="254"/>
    </row>
    <row r="611" spans="1:19">
      <c r="A611" s="254"/>
      <c r="B611" s="57"/>
      <c r="C611" s="57"/>
      <c r="D611" s="57"/>
      <c r="E611" s="57"/>
      <c r="F611" s="57"/>
      <c r="G611" s="57"/>
      <c r="H611" s="57"/>
      <c r="I611" s="57"/>
      <c r="J611" s="57"/>
      <c r="K611" s="57"/>
      <c r="L611" s="57"/>
      <c r="M611" s="57"/>
      <c r="N611" s="57"/>
      <c r="O611" s="57"/>
      <c r="P611" s="57"/>
      <c r="Q611" s="57"/>
      <c r="R611" s="2060"/>
      <c r="S611" s="254"/>
    </row>
    <row r="612" spans="1:19">
      <c r="A612" s="254"/>
      <c r="B612" s="57"/>
      <c r="C612" s="57"/>
      <c r="D612" s="57"/>
      <c r="E612" s="57"/>
      <c r="F612" s="57"/>
      <c r="G612" s="57"/>
      <c r="H612" s="57"/>
      <c r="I612" s="57"/>
      <c r="J612" s="57"/>
      <c r="K612" s="57"/>
      <c r="L612" s="57"/>
      <c r="M612" s="57"/>
      <c r="N612" s="57"/>
      <c r="O612" s="57"/>
      <c r="P612" s="57"/>
      <c r="Q612" s="57"/>
      <c r="R612" s="2060"/>
      <c r="S612" s="254"/>
    </row>
    <row r="613" spans="1:19">
      <c r="A613" s="254"/>
      <c r="B613" s="57"/>
      <c r="C613" s="57"/>
      <c r="D613" s="57"/>
      <c r="E613" s="57"/>
      <c r="F613" s="57"/>
      <c r="G613" s="57"/>
      <c r="H613" s="57"/>
      <c r="I613" s="57"/>
      <c r="J613" s="57"/>
      <c r="K613" s="57"/>
      <c r="L613" s="57"/>
      <c r="M613" s="57"/>
      <c r="N613" s="57"/>
      <c r="O613" s="57"/>
      <c r="P613" s="57"/>
      <c r="Q613" s="57"/>
      <c r="R613" s="2060"/>
      <c r="S613" s="254"/>
    </row>
    <row r="614" spans="1:19">
      <c r="A614" s="254"/>
      <c r="B614" s="57"/>
      <c r="C614" s="57"/>
      <c r="D614" s="57"/>
      <c r="E614" s="57"/>
      <c r="F614" s="57"/>
      <c r="G614" s="57"/>
      <c r="H614" s="57"/>
      <c r="I614" s="57"/>
      <c r="J614" s="57"/>
      <c r="K614" s="57"/>
      <c r="L614" s="57"/>
      <c r="M614" s="57"/>
      <c r="N614" s="57"/>
      <c r="O614" s="57"/>
      <c r="P614" s="57"/>
      <c r="Q614" s="57"/>
      <c r="R614" s="2060"/>
      <c r="S614" s="254"/>
    </row>
    <row r="615" spans="1:19">
      <c r="A615" s="254"/>
      <c r="B615" s="57"/>
      <c r="C615" s="57"/>
      <c r="D615" s="57"/>
      <c r="E615" s="57"/>
      <c r="F615" s="57"/>
      <c r="G615" s="57"/>
      <c r="H615" s="57"/>
      <c r="I615" s="57"/>
      <c r="J615" s="57"/>
      <c r="K615" s="57"/>
      <c r="L615" s="57"/>
      <c r="M615" s="57"/>
      <c r="N615" s="57"/>
      <c r="O615" s="57"/>
      <c r="P615" s="57"/>
      <c r="Q615" s="57"/>
      <c r="R615" s="2060"/>
      <c r="S615" s="254"/>
    </row>
    <row r="616" spans="1:19">
      <c r="A616" s="254"/>
      <c r="B616" s="57"/>
      <c r="C616" s="57"/>
      <c r="D616" s="57"/>
      <c r="E616" s="57"/>
      <c r="F616" s="57"/>
      <c r="G616" s="57"/>
      <c r="H616" s="57"/>
      <c r="I616" s="57"/>
      <c r="J616" s="57"/>
      <c r="K616" s="57"/>
      <c r="L616" s="57"/>
      <c r="M616" s="57"/>
      <c r="N616" s="57"/>
      <c r="O616" s="57"/>
      <c r="P616" s="57"/>
      <c r="Q616" s="57"/>
      <c r="R616" s="2060"/>
      <c r="S616" s="254"/>
    </row>
    <row r="617" spans="1:19">
      <c r="A617" s="254"/>
      <c r="B617" s="57"/>
      <c r="C617" s="57"/>
      <c r="D617" s="57"/>
      <c r="E617" s="57"/>
      <c r="F617" s="57"/>
      <c r="G617" s="57"/>
      <c r="H617" s="57"/>
      <c r="I617" s="57"/>
      <c r="J617" s="57"/>
      <c r="K617" s="57"/>
      <c r="L617" s="57"/>
      <c r="M617" s="57"/>
      <c r="N617" s="57"/>
      <c r="O617" s="57"/>
      <c r="P617" s="57"/>
      <c r="Q617" s="57"/>
      <c r="R617" s="2060"/>
      <c r="S617" s="254"/>
    </row>
    <row r="618" spans="1:19">
      <c r="A618" s="254"/>
      <c r="B618" s="57"/>
      <c r="C618" s="57"/>
      <c r="D618" s="57"/>
      <c r="E618" s="57"/>
      <c r="F618" s="57"/>
      <c r="G618" s="57"/>
      <c r="H618" s="57"/>
      <c r="I618" s="57"/>
      <c r="J618" s="57"/>
      <c r="K618" s="57"/>
      <c r="L618" s="57"/>
      <c r="M618" s="57"/>
      <c r="N618" s="57"/>
      <c r="O618" s="57"/>
      <c r="P618" s="57"/>
      <c r="Q618" s="57"/>
      <c r="R618" s="2060"/>
      <c r="S618" s="254"/>
    </row>
    <row r="619" spans="1:19">
      <c r="A619" s="254"/>
      <c r="B619" s="57"/>
      <c r="C619" s="57"/>
      <c r="D619" s="57"/>
      <c r="E619" s="57"/>
      <c r="F619" s="57"/>
      <c r="G619" s="57"/>
      <c r="H619" s="57"/>
      <c r="I619" s="57"/>
      <c r="J619" s="57"/>
      <c r="K619" s="57"/>
      <c r="L619" s="57"/>
      <c r="M619" s="57"/>
      <c r="N619" s="57"/>
      <c r="O619" s="57"/>
      <c r="P619" s="57"/>
      <c r="Q619" s="57"/>
      <c r="R619" s="2060"/>
      <c r="S619" s="254"/>
    </row>
    <row r="620" spans="1:19">
      <c r="A620" s="254"/>
      <c r="B620" s="57"/>
      <c r="C620" s="57"/>
      <c r="D620" s="57"/>
      <c r="E620" s="57"/>
      <c r="F620" s="57"/>
      <c r="G620" s="57"/>
      <c r="H620" s="57"/>
      <c r="I620" s="57"/>
      <c r="J620" s="57"/>
      <c r="K620" s="57"/>
      <c r="L620" s="57"/>
      <c r="M620" s="57"/>
      <c r="N620" s="57"/>
      <c r="O620" s="57"/>
      <c r="P620" s="57"/>
      <c r="Q620" s="57"/>
      <c r="R620" s="2060"/>
      <c r="S620" s="254"/>
    </row>
    <row r="621" spans="1:19">
      <c r="A621" s="254"/>
      <c r="B621" s="57"/>
      <c r="C621" s="57"/>
      <c r="D621" s="57"/>
      <c r="E621" s="57"/>
      <c r="F621" s="57"/>
      <c r="G621" s="57"/>
      <c r="H621" s="57"/>
      <c r="I621" s="57"/>
      <c r="J621" s="57"/>
      <c r="K621" s="57"/>
      <c r="L621" s="57"/>
      <c r="M621" s="57"/>
      <c r="N621" s="57"/>
      <c r="O621" s="57"/>
      <c r="P621" s="57"/>
      <c r="Q621" s="57"/>
      <c r="R621" s="2060"/>
      <c r="S621" s="254"/>
    </row>
    <row r="622" spans="1:19">
      <c r="A622" s="254"/>
      <c r="B622" s="57"/>
      <c r="C622" s="57"/>
      <c r="D622" s="57"/>
      <c r="E622" s="57"/>
      <c r="F622" s="57"/>
      <c r="G622" s="57"/>
      <c r="H622" s="57"/>
      <c r="I622" s="57"/>
      <c r="J622" s="57"/>
      <c r="K622" s="57"/>
      <c r="L622" s="57"/>
      <c r="M622" s="57"/>
      <c r="N622" s="57"/>
      <c r="O622" s="57"/>
      <c r="P622" s="57"/>
      <c r="Q622" s="57"/>
      <c r="R622" s="2060"/>
      <c r="S622" s="254"/>
    </row>
    <row r="623" spans="1:19">
      <c r="A623" s="254"/>
      <c r="B623" s="57"/>
      <c r="C623" s="57"/>
      <c r="D623" s="57"/>
      <c r="E623" s="57"/>
      <c r="F623" s="57"/>
      <c r="G623" s="57"/>
      <c r="H623" s="57"/>
      <c r="I623" s="57"/>
      <c r="J623" s="57"/>
      <c r="K623" s="57"/>
      <c r="L623" s="57"/>
      <c r="M623" s="57"/>
      <c r="N623" s="57"/>
      <c r="O623" s="57"/>
      <c r="P623" s="57"/>
      <c r="Q623" s="57"/>
      <c r="R623" s="2060"/>
      <c r="S623" s="254"/>
    </row>
    <row r="624" spans="1:19">
      <c r="A624" s="254"/>
      <c r="B624" s="57"/>
      <c r="C624" s="57"/>
      <c r="D624" s="57"/>
      <c r="E624" s="57"/>
      <c r="F624" s="57"/>
      <c r="G624" s="57"/>
      <c r="H624" s="57"/>
      <c r="I624" s="57"/>
      <c r="J624" s="57"/>
      <c r="K624" s="57"/>
      <c r="L624" s="57"/>
      <c r="M624" s="57"/>
      <c r="N624" s="57"/>
      <c r="O624" s="57"/>
      <c r="P624" s="57"/>
      <c r="Q624" s="57"/>
      <c r="R624" s="2060"/>
      <c r="S624" s="254"/>
    </row>
    <row r="625" spans="1:19">
      <c r="A625" s="254"/>
      <c r="B625" s="57"/>
      <c r="C625" s="57"/>
      <c r="D625" s="57"/>
      <c r="E625" s="57"/>
      <c r="F625" s="57"/>
      <c r="G625" s="57"/>
      <c r="H625" s="57"/>
      <c r="I625" s="57"/>
      <c r="J625" s="57"/>
      <c r="K625" s="57"/>
      <c r="L625" s="57"/>
      <c r="M625" s="57"/>
      <c r="N625" s="57"/>
      <c r="O625" s="57"/>
      <c r="P625" s="57"/>
      <c r="Q625" s="57"/>
      <c r="R625" s="2060"/>
      <c r="S625" s="254"/>
    </row>
    <row r="626" spans="1:19">
      <c r="A626" s="254"/>
      <c r="B626" s="57"/>
      <c r="C626" s="57"/>
      <c r="D626" s="57"/>
      <c r="E626" s="57"/>
      <c r="F626" s="57"/>
      <c r="G626" s="57"/>
      <c r="H626" s="57"/>
      <c r="I626" s="57"/>
      <c r="J626" s="57"/>
      <c r="K626" s="57"/>
      <c r="L626" s="57"/>
      <c r="M626" s="57"/>
      <c r="N626" s="57"/>
      <c r="O626" s="57"/>
      <c r="P626" s="57"/>
      <c r="Q626" s="57"/>
      <c r="R626" s="2060"/>
      <c r="S626" s="254"/>
    </row>
    <row r="627" spans="1:19">
      <c r="A627" s="254"/>
      <c r="B627" s="57"/>
      <c r="C627" s="57"/>
      <c r="D627" s="57"/>
      <c r="E627" s="57"/>
      <c r="F627" s="57"/>
      <c r="G627" s="57"/>
      <c r="H627" s="57"/>
      <c r="I627" s="57"/>
      <c r="J627" s="57"/>
      <c r="K627" s="57"/>
      <c r="L627" s="57"/>
      <c r="M627" s="57"/>
      <c r="N627" s="57"/>
      <c r="O627" s="57"/>
      <c r="P627" s="57"/>
      <c r="Q627" s="57"/>
      <c r="R627" s="2060"/>
      <c r="S627" s="254"/>
    </row>
    <row r="628" spans="1:19">
      <c r="A628" s="254"/>
      <c r="B628" s="57"/>
      <c r="C628" s="57"/>
      <c r="D628" s="57"/>
      <c r="E628" s="57"/>
      <c r="F628" s="57"/>
      <c r="G628" s="57"/>
      <c r="H628" s="57"/>
      <c r="I628" s="57"/>
      <c r="J628" s="57"/>
      <c r="K628" s="57"/>
      <c r="L628" s="57"/>
      <c r="M628" s="57"/>
      <c r="N628" s="57"/>
      <c r="O628" s="57"/>
      <c r="P628" s="57"/>
      <c r="Q628" s="57"/>
      <c r="R628" s="2060"/>
      <c r="S628" s="254"/>
    </row>
    <row r="629" spans="1:19">
      <c r="A629" s="254"/>
      <c r="B629" s="57"/>
      <c r="C629" s="57"/>
      <c r="D629" s="57"/>
      <c r="E629" s="57"/>
      <c r="F629" s="57"/>
      <c r="G629" s="57"/>
      <c r="H629" s="57"/>
      <c r="I629" s="57"/>
      <c r="J629" s="57"/>
      <c r="K629" s="57"/>
      <c r="L629" s="57"/>
      <c r="M629" s="57"/>
      <c r="N629" s="57"/>
      <c r="O629" s="57"/>
      <c r="P629" s="57"/>
      <c r="Q629" s="57"/>
      <c r="R629" s="2060"/>
      <c r="S629" s="254"/>
    </row>
    <row r="630" spans="1:19">
      <c r="A630" s="254"/>
      <c r="B630" s="57"/>
      <c r="C630" s="57"/>
      <c r="D630" s="57"/>
      <c r="E630" s="57"/>
      <c r="F630" s="57"/>
      <c r="G630" s="57"/>
      <c r="H630" s="57"/>
      <c r="I630" s="57"/>
      <c r="J630" s="57"/>
      <c r="K630" s="57"/>
      <c r="L630" s="57"/>
      <c r="M630" s="57"/>
      <c r="N630" s="57"/>
      <c r="O630" s="57"/>
      <c r="P630" s="57"/>
      <c r="Q630" s="57"/>
      <c r="R630" s="2060"/>
      <c r="S630" s="254"/>
    </row>
    <row r="631" spans="1:19">
      <c r="A631" s="254"/>
      <c r="B631" s="57"/>
      <c r="C631" s="57"/>
      <c r="D631" s="57"/>
      <c r="E631" s="57"/>
      <c r="F631" s="57"/>
      <c r="G631" s="57"/>
      <c r="H631" s="57"/>
      <c r="I631" s="57"/>
      <c r="J631" s="57"/>
      <c r="K631" s="57"/>
      <c r="L631" s="57"/>
      <c r="M631" s="57"/>
      <c r="N631" s="57"/>
      <c r="O631" s="57"/>
      <c r="P631" s="57"/>
      <c r="Q631" s="57"/>
      <c r="R631" s="2060"/>
      <c r="S631" s="254"/>
    </row>
    <row r="632" spans="1:19">
      <c r="A632" s="254"/>
      <c r="B632" s="57"/>
      <c r="C632" s="57"/>
      <c r="D632" s="57"/>
      <c r="E632" s="57"/>
      <c r="F632" s="57"/>
      <c r="G632" s="57"/>
      <c r="H632" s="57"/>
      <c r="I632" s="57"/>
      <c r="J632" s="57"/>
      <c r="K632" s="57"/>
      <c r="L632" s="57"/>
      <c r="M632" s="57"/>
      <c r="N632" s="57"/>
      <c r="O632" s="57"/>
      <c r="P632" s="57"/>
      <c r="Q632" s="57"/>
      <c r="R632" s="2060"/>
      <c r="S632" s="254"/>
    </row>
    <row r="633" spans="1:19">
      <c r="A633" s="254"/>
      <c r="B633" s="57"/>
      <c r="C633" s="57"/>
      <c r="D633" s="57"/>
      <c r="E633" s="57"/>
      <c r="F633" s="57"/>
      <c r="G633" s="57"/>
      <c r="H633" s="57"/>
      <c r="I633" s="57"/>
      <c r="J633" s="57"/>
      <c r="K633" s="57"/>
      <c r="L633" s="57"/>
      <c r="M633" s="57"/>
      <c r="N633" s="57"/>
      <c r="O633" s="57"/>
      <c r="P633" s="57"/>
      <c r="Q633" s="57"/>
      <c r="R633" s="2060"/>
      <c r="S633" s="254"/>
    </row>
    <row r="634" spans="1:19">
      <c r="A634" s="254"/>
      <c r="B634" s="57"/>
      <c r="C634" s="57"/>
      <c r="D634" s="57"/>
      <c r="E634" s="57"/>
      <c r="F634" s="57"/>
      <c r="G634" s="57"/>
      <c r="H634" s="57"/>
      <c r="I634" s="57"/>
      <c r="J634" s="57"/>
      <c r="K634" s="57"/>
      <c r="L634" s="57"/>
      <c r="M634" s="57"/>
      <c r="N634" s="57"/>
      <c r="O634" s="57"/>
      <c r="P634" s="57"/>
      <c r="Q634" s="57"/>
      <c r="R634" s="2060"/>
      <c r="S634" s="254"/>
    </row>
    <row r="635" spans="1:19">
      <c r="A635" s="254"/>
      <c r="B635" s="57"/>
      <c r="C635" s="57"/>
      <c r="D635" s="57"/>
      <c r="E635" s="57"/>
      <c r="F635" s="57"/>
      <c r="G635" s="57"/>
      <c r="H635" s="57"/>
      <c r="I635" s="57"/>
      <c r="J635" s="57"/>
      <c r="K635" s="57"/>
      <c r="L635" s="57"/>
      <c r="M635" s="57"/>
      <c r="N635" s="57"/>
      <c r="O635" s="57"/>
      <c r="P635" s="57"/>
      <c r="Q635" s="57"/>
      <c r="R635" s="2060"/>
      <c r="S635" s="254"/>
    </row>
    <row r="636" spans="1:19">
      <c r="A636" s="254"/>
      <c r="B636" s="57"/>
      <c r="C636" s="57"/>
      <c r="D636" s="57"/>
      <c r="E636" s="57"/>
      <c r="F636" s="57"/>
      <c r="G636" s="57"/>
      <c r="H636" s="57"/>
      <c r="I636" s="57"/>
      <c r="J636" s="57"/>
      <c r="K636" s="57"/>
      <c r="L636" s="57"/>
      <c r="M636" s="57"/>
      <c r="N636" s="57"/>
      <c r="O636" s="57"/>
      <c r="P636" s="57"/>
      <c r="Q636" s="57"/>
      <c r="R636" s="2060"/>
      <c r="S636" s="254"/>
    </row>
    <row r="637" spans="1:19">
      <c r="A637" s="254"/>
      <c r="B637" s="57"/>
      <c r="C637" s="57"/>
      <c r="D637" s="57"/>
      <c r="E637" s="57"/>
      <c r="F637" s="57"/>
      <c r="G637" s="57"/>
      <c r="H637" s="57"/>
      <c r="I637" s="57"/>
      <c r="J637" s="57"/>
      <c r="K637" s="57"/>
      <c r="L637" s="57"/>
      <c r="M637" s="57"/>
      <c r="N637" s="57"/>
      <c r="O637" s="57"/>
      <c r="P637" s="57"/>
      <c r="Q637" s="57"/>
      <c r="R637" s="2060"/>
      <c r="S637" s="254"/>
    </row>
    <row r="638" spans="1:19">
      <c r="A638" s="254"/>
      <c r="B638" s="57"/>
      <c r="C638" s="57"/>
      <c r="D638" s="57"/>
      <c r="E638" s="57"/>
      <c r="F638" s="57"/>
      <c r="G638" s="57"/>
      <c r="H638" s="57"/>
      <c r="I638" s="57"/>
      <c r="J638" s="57"/>
      <c r="K638" s="57"/>
      <c r="L638" s="57"/>
      <c r="M638" s="57"/>
      <c r="N638" s="57"/>
      <c r="O638" s="57"/>
      <c r="P638" s="57"/>
      <c r="Q638" s="57"/>
      <c r="R638" s="2060"/>
      <c r="S638" s="254"/>
    </row>
    <row r="639" spans="1:19">
      <c r="A639" s="254"/>
      <c r="B639" s="57"/>
      <c r="C639" s="57"/>
      <c r="D639" s="57"/>
      <c r="E639" s="57"/>
      <c r="F639" s="57"/>
      <c r="G639" s="57"/>
      <c r="H639" s="57"/>
      <c r="I639" s="57"/>
      <c r="J639" s="57"/>
      <c r="K639" s="57"/>
      <c r="L639" s="57"/>
      <c r="M639" s="57"/>
      <c r="N639" s="57"/>
      <c r="O639" s="57"/>
      <c r="P639" s="57"/>
      <c r="Q639" s="57"/>
      <c r="R639" s="2060"/>
      <c r="S639" s="254"/>
    </row>
    <row r="640" spans="1:19">
      <c r="A640" s="254"/>
      <c r="B640" s="57"/>
      <c r="C640" s="57"/>
      <c r="D640" s="57"/>
      <c r="E640" s="57"/>
      <c r="F640" s="57"/>
      <c r="G640" s="57"/>
      <c r="H640" s="57"/>
      <c r="I640" s="57"/>
      <c r="J640" s="57"/>
      <c r="K640" s="57"/>
      <c r="L640" s="57"/>
      <c r="M640" s="57"/>
      <c r="N640" s="57"/>
      <c r="O640" s="57"/>
      <c r="P640" s="57"/>
      <c r="Q640" s="57"/>
      <c r="R640" s="2060"/>
      <c r="S640" s="254"/>
    </row>
    <row r="641" spans="1:19">
      <c r="A641" s="254"/>
      <c r="B641" s="57"/>
      <c r="C641" s="57"/>
      <c r="D641" s="57"/>
      <c r="E641" s="57"/>
      <c r="F641" s="57"/>
      <c r="G641" s="57"/>
      <c r="H641" s="57"/>
      <c r="I641" s="57"/>
      <c r="J641" s="57"/>
      <c r="K641" s="57"/>
      <c r="L641" s="57"/>
      <c r="M641" s="57"/>
      <c r="N641" s="57"/>
      <c r="O641" s="57"/>
      <c r="P641" s="57"/>
      <c r="Q641" s="57"/>
      <c r="R641" s="2060"/>
      <c r="S641" s="254"/>
    </row>
    <row r="642" spans="1:19">
      <c r="A642" s="254"/>
      <c r="B642" s="57"/>
      <c r="C642" s="57"/>
      <c r="D642" s="57"/>
      <c r="E642" s="57"/>
      <c r="F642" s="57"/>
      <c r="G642" s="57"/>
      <c r="H642" s="57"/>
      <c r="I642" s="57"/>
      <c r="J642" s="57"/>
      <c r="K642" s="57"/>
      <c r="L642" s="57"/>
      <c r="M642" s="57"/>
      <c r="N642" s="57"/>
      <c r="O642" s="57"/>
      <c r="P642" s="57"/>
      <c r="Q642" s="57"/>
      <c r="R642" s="2060"/>
      <c r="S642" s="254"/>
    </row>
    <row r="643" spans="1:19">
      <c r="A643" s="254"/>
      <c r="B643" s="57"/>
      <c r="C643" s="57"/>
      <c r="D643" s="57"/>
      <c r="E643" s="57"/>
      <c r="F643" s="57"/>
      <c r="G643" s="57"/>
      <c r="H643" s="57"/>
      <c r="I643" s="57"/>
      <c r="J643" s="57"/>
      <c r="K643" s="57"/>
      <c r="L643" s="57"/>
      <c r="M643" s="57"/>
      <c r="N643" s="57"/>
      <c r="O643" s="57"/>
      <c r="P643" s="57"/>
      <c r="Q643" s="57"/>
      <c r="R643" s="2060"/>
      <c r="S643" s="254"/>
    </row>
    <row r="644" spans="1:19">
      <c r="A644" s="254"/>
      <c r="B644" s="57"/>
      <c r="C644" s="57"/>
      <c r="D644" s="57"/>
      <c r="E644" s="57"/>
      <c r="F644" s="57"/>
      <c r="G644" s="57"/>
      <c r="H644" s="57"/>
      <c r="I644" s="57"/>
      <c r="J644" s="57"/>
      <c r="K644" s="57"/>
      <c r="L644" s="57"/>
      <c r="M644" s="57"/>
      <c r="N644" s="57"/>
      <c r="O644" s="57"/>
      <c r="P644" s="57"/>
      <c r="Q644" s="57"/>
      <c r="R644" s="2060"/>
      <c r="S644" s="254"/>
    </row>
    <row r="645" spans="1:19">
      <c r="A645" s="254"/>
      <c r="B645" s="57"/>
      <c r="C645" s="57"/>
      <c r="D645" s="57"/>
      <c r="E645" s="57"/>
      <c r="F645" s="57"/>
      <c r="G645" s="57"/>
      <c r="H645" s="57"/>
      <c r="I645" s="57"/>
      <c r="J645" s="57"/>
      <c r="K645" s="57"/>
      <c r="L645" s="57"/>
      <c r="M645" s="57"/>
      <c r="N645" s="57"/>
      <c r="O645" s="57"/>
      <c r="P645" s="57"/>
      <c r="Q645" s="57"/>
      <c r="R645" s="2060"/>
      <c r="S645" s="254"/>
    </row>
    <row r="646" spans="1:19">
      <c r="A646" s="254"/>
      <c r="B646" s="57"/>
      <c r="C646" s="57"/>
      <c r="D646" s="57"/>
      <c r="E646" s="57"/>
      <c r="F646" s="57"/>
      <c r="G646" s="57"/>
      <c r="H646" s="57"/>
      <c r="I646" s="57"/>
      <c r="J646" s="57"/>
      <c r="K646" s="57"/>
      <c r="L646" s="57"/>
      <c r="M646" s="57"/>
      <c r="N646" s="57"/>
      <c r="O646" s="57"/>
      <c r="P646" s="57"/>
      <c r="Q646" s="57"/>
      <c r="R646" s="2060"/>
      <c r="S646" s="254"/>
    </row>
    <row r="647" spans="1:19">
      <c r="A647" s="254"/>
      <c r="B647" s="57"/>
      <c r="C647" s="57"/>
      <c r="D647" s="57"/>
      <c r="E647" s="57"/>
      <c r="F647" s="57"/>
      <c r="G647" s="57"/>
      <c r="H647" s="57"/>
      <c r="I647" s="57"/>
      <c r="J647" s="57"/>
      <c r="K647" s="57"/>
      <c r="L647" s="57"/>
      <c r="M647" s="57"/>
      <c r="N647" s="57"/>
      <c r="O647" s="57"/>
      <c r="P647" s="57"/>
      <c r="Q647" s="57"/>
      <c r="R647" s="2060"/>
      <c r="S647" s="254"/>
    </row>
    <row r="648" spans="1:19">
      <c r="A648" s="254"/>
      <c r="B648" s="57"/>
      <c r="C648" s="57"/>
      <c r="D648" s="57"/>
      <c r="E648" s="57"/>
      <c r="F648" s="57"/>
      <c r="G648" s="57"/>
      <c r="H648" s="57"/>
      <c r="I648" s="57"/>
      <c r="J648" s="57"/>
      <c r="K648" s="57"/>
      <c r="L648" s="57"/>
      <c r="M648" s="57"/>
      <c r="N648" s="57"/>
      <c r="O648" s="57"/>
      <c r="P648" s="57"/>
      <c r="Q648" s="57"/>
      <c r="R648" s="2060"/>
      <c r="S648" s="254"/>
    </row>
    <row r="649" spans="1:19">
      <c r="A649" s="254"/>
      <c r="B649" s="57"/>
      <c r="C649" s="57"/>
      <c r="D649" s="57"/>
      <c r="E649" s="57"/>
      <c r="F649" s="57"/>
      <c r="G649" s="57"/>
      <c r="H649" s="57"/>
      <c r="I649" s="57"/>
      <c r="J649" s="57"/>
      <c r="K649" s="57"/>
      <c r="L649" s="57"/>
      <c r="M649" s="57"/>
      <c r="N649" s="57"/>
      <c r="O649" s="57"/>
      <c r="P649" s="57"/>
      <c r="Q649" s="57"/>
      <c r="R649" s="2060"/>
      <c r="S649" s="254"/>
    </row>
    <row r="650" spans="1:19">
      <c r="A650" s="254"/>
      <c r="B650" s="57"/>
      <c r="C650" s="57"/>
      <c r="D650" s="57"/>
      <c r="E650" s="57"/>
      <c r="F650" s="57"/>
      <c r="G650" s="57"/>
      <c r="H650" s="57"/>
      <c r="I650" s="57"/>
      <c r="J650" s="57"/>
      <c r="K650" s="57"/>
      <c r="L650" s="57"/>
      <c r="M650" s="57"/>
      <c r="N650" s="57"/>
      <c r="O650" s="57"/>
      <c r="P650" s="57"/>
      <c r="Q650" s="57"/>
      <c r="R650" s="2060"/>
      <c r="S650" s="254"/>
    </row>
    <row r="651" spans="1:19">
      <c r="A651" s="254"/>
      <c r="B651" s="57"/>
      <c r="C651" s="57"/>
      <c r="D651" s="57"/>
      <c r="E651" s="57"/>
      <c r="F651" s="57"/>
      <c r="G651" s="57"/>
      <c r="H651" s="57"/>
      <c r="I651" s="57"/>
      <c r="J651" s="57"/>
      <c r="K651" s="57"/>
      <c r="L651" s="57"/>
      <c r="M651" s="57"/>
      <c r="N651" s="57"/>
      <c r="O651" s="57"/>
      <c r="P651" s="57"/>
      <c r="Q651" s="57"/>
      <c r="R651" s="2060"/>
      <c r="S651" s="254"/>
    </row>
    <row r="652" spans="1:19">
      <c r="A652" s="254"/>
      <c r="B652" s="57"/>
      <c r="C652" s="57"/>
      <c r="D652" s="57"/>
      <c r="E652" s="57"/>
      <c r="F652" s="57"/>
      <c r="G652" s="57"/>
      <c r="H652" s="57"/>
      <c r="I652" s="57"/>
      <c r="J652" s="57"/>
      <c r="K652" s="57"/>
      <c r="L652" s="57"/>
      <c r="M652" s="57"/>
      <c r="N652" s="57"/>
      <c r="O652" s="57"/>
      <c r="P652" s="57"/>
      <c r="Q652" s="57"/>
      <c r="R652" s="2060"/>
      <c r="S652" s="254"/>
    </row>
    <row r="653" spans="1:19">
      <c r="A653" s="254"/>
      <c r="B653" s="57"/>
      <c r="C653" s="57"/>
      <c r="D653" s="57"/>
      <c r="E653" s="57"/>
      <c r="F653" s="57"/>
      <c r="G653" s="57"/>
      <c r="H653" s="57"/>
      <c r="I653" s="57"/>
      <c r="J653" s="57"/>
      <c r="K653" s="57"/>
      <c r="L653" s="57"/>
      <c r="M653" s="57"/>
      <c r="N653" s="57"/>
      <c r="O653" s="57"/>
      <c r="P653" s="57"/>
      <c r="Q653" s="57"/>
      <c r="R653" s="2060"/>
      <c r="S653" s="254"/>
    </row>
    <row r="654" spans="1:19">
      <c r="A654" s="254"/>
      <c r="B654" s="57"/>
      <c r="C654" s="57"/>
      <c r="D654" s="57"/>
      <c r="E654" s="57"/>
      <c r="F654" s="57"/>
      <c r="G654" s="57"/>
      <c r="H654" s="57"/>
      <c r="I654" s="57"/>
      <c r="J654" s="57"/>
      <c r="K654" s="57"/>
      <c r="L654" s="57"/>
      <c r="M654" s="57"/>
      <c r="N654" s="57"/>
      <c r="O654" s="57"/>
      <c r="P654" s="57"/>
      <c r="Q654" s="57"/>
      <c r="R654" s="2060"/>
      <c r="S654" s="254"/>
    </row>
    <row r="655" spans="1:19">
      <c r="A655" s="254"/>
      <c r="B655" s="57"/>
      <c r="C655" s="57"/>
      <c r="D655" s="57"/>
      <c r="E655" s="57"/>
      <c r="F655" s="57"/>
      <c r="G655" s="57"/>
      <c r="H655" s="57"/>
      <c r="I655" s="57"/>
      <c r="J655" s="57"/>
      <c r="K655" s="57"/>
      <c r="L655" s="57"/>
      <c r="M655" s="57"/>
      <c r="N655" s="57"/>
      <c r="O655" s="57"/>
      <c r="P655" s="57"/>
      <c r="Q655" s="57"/>
      <c r="R655" s="2060"/>
      <c r="S655" s="254"/>
    </row>
    <row r="656" spans="1:19">
      <c r="A656" s="254"/>
      <c r="B656" s="57"/>
      <c r="C656" s="57"/>
      <c r="D656" s="57"/>
      <c r="E656" s="57"/>
      <c r="F656" s="57"/>
      <c r="G656" s="57"/>
      <c r="H656" s="57"/>
      <c r="I656" s="57"/>
      <c r="J656" s="57"/>
      <c r="K656" s="57"/>
      <c r="L656" s="57"/>
      <c r="M656" s="57"/>
      <c r="N656" s="57"/>
      <c r="O656" s="57"/>
      <c r="P656" s="57"/>
      <c r="Q656" s="57"/>
      <c r="R656" s="2060"/>
      <c r="S656" s="254"/>
    </row>
    <row r="657" spans="1:19">
      <c r="A657" s="254"/>
      <c r="B657" s="57"/>
      <c r="C657" s="57"/>
      <c r="D657" s="57"/>
      <c r="E657" s="57"/>
      <c r="F657" s="57"/>
      <c r="G657" s="57"/>
      <c r="H657" s="57"/>
      <c r="I657" s="57"/>
      <c r="J657" s="57"/>
      <c r="K657" s="57"/>
      <c r="L657" s="57"/>
      <c r="M657" s="57"/>
      <c r="N657" s="57"/>
      <c r="O657" s="57"/>
      <c r="P657" s="57"/>
      <c r="Q657" s="57"/>
      <c r="R657" s="2060"/>
      <c r="S657" s="254"/>
    </row>
    <row r="658" spans="1:19">
      <c r="A658" s="254"/>
      <c r="B658" s="57"/>
      <c r="C658" s="57"/>
      <c r="D658" s="57"/>
      <c r="E658" s="57"/>
      <c r="F658" s="57"/>
      <c r="G658" s="57"/>
      <c r="H658" s="57"/>
      <c r="I658" s="57"/>
      <c r="J658" s="57"/>
      <c r="K658" s="57"/>
      <c r="L658" s="57"/>
      <c r="M658" s="57"/>
      <c r="N658" s="57"/>
      <c r="O658" s="57"/>
      <c r="P658" s="57"/>
      <c r="Q658" s="57"/>
      <c r="R658" s="2060"/>
      <c r="S658" s="254"/>
    </row>
    <row r="659" spans="1:19">
      <c r="A659" s="254"/>
      <c r="B659" s="57"/>
      <c r="C659" s="57"/>
      <c r="D659" s="57"/>
      <c r="E659" s="57"/>
      <c r="F659" s="57"/>
      <c r="G659" s="57"/>
      <c r="H659" s="57"/>
      <c r="I659" s="57"/>
      <c r="J659" s="57"/>
      <c r="K659" s="57"/>
      <c r="L659" s="57"/>
      <c r="M659" s="57"/>
      <c r="N659" s="57"/>
      <c r="O659" s="57"/>
      <c r="P659" s="57"/>
      <c r="Q659" s="57"/>
      <c r="R659" s="2060"/>
      <c r="S659" s="254"/>
    </row>
    <row r="660" spans="1:19">
      <c r="A660" s="254"/>
      <c r="B660" s="57"/>
      <c r="C660" s="57"/>
      <c r="D660" s="57"/>
      <c r="E660" s="57"/>
      <c r="F660" s="57"/>
      <c r="G660" s="57"/>
      <c r="H660" s="57"/>
      <c r="I660" s="57"/>
      <c r="J660" s="57"/>
      <c r="K660" s="57"/>
      <c r="L660" s="57"/>
      <c r="M660" s="57"/>
      <c r="N660" s="57"/>
      <c r="O660" s="57"/>
      <c r="P660" s="57"/>
      <c r="Q660" s="57"/>
      <c r="R660" s="2060"/>
      <c r="S660" s="254"/>
    </row>
    <row r="661" spans="1:19">
      <c r="A661" s="254"/>
      <c r="B661" s="57"/>
      <c r="C661" s="57"/>
      <c r="D661" s="57"/>
      <c r="E661" s="57"/>
      <c r="F661" s="57"/>
      <c r="G661" s="57"/>
      <c r="H661" s="57"/>
      <c r="I661" s="57"/>
      <c r="J661" s="57"/>
      <c r="K661" s="57"/>
      <c r="L661" s="57"/>
      <c r="M661" s="57"/>
      <c r="N661" s="57"/>
      <c r="O661" s="57"/>
      <c r="P661" s="57"/>
      <c r="Q661" s="57"/>
      <c r="R661" s="2060"/>
      <c r="S661" s="254"/>
    </row>
    <row r="662" spans="1:19">
      <c r="A662" s="254"/>
      <c r="B662" s="57"/>
      <c r="C662" s="57"/>
      <c r="D662" s="57"/>
      <c r="E662" s="57"/>
      <c r="F662" s="57"/>
      <c r="G662" s="57"/>
      <c r="H662" s="57"/>
      <c r="I662" s="57"/>
      <c r="J662" s="57"/>
      <c r="K662" s="57"/>
      <c r="L662" s="57"/>
      <c r="M662" s="57"/>
      <c r="N662" s="57"/>
      <c r="O662" s="57"/>
      <c r="P662" s="57"/>
      <c r="Q662" s="57"/>
      <c r="R662" s="2060"/>
      <c r="S662" s="254"/>
    </row>
    <row r="663" spans="1:19">
      <c r="A663" s="254"/>
      <c r="B663" s="57"/>
      <c r="C663" s="57"/>
      <c r="D663" s="57"/>
      <c r="E663" s="57"/>
      <c r="F663" s="57"/>
      <c r="G663" s="57"/>
      <c r="H663" s="57"/>
      <c r="I663" s="57"/>
      <c r="J663" s="57"/>
      <c r="K663" s="57"/>
      <c r="L663" s="57"/>
      <c r="M663" s="57"/>
      <c r="N663" s="57"/>
      <c r="O663" s="57"/>
      <c r="P663" s="57"/>
      <c r="Q663" s="57"/>
      <c r="R663" s="2060"/>
      <c r="S663" s="254"/>
    </row>
    <row r="664" spans="1:19">
      <c r="A664" s="254"/>
      <c r="B664" s="57"/>
      <c r="C664" s="57"/>
      <c r="D664" s="57"/>
      <c r="E664" s="57"/>
      <c r="F664" s="57"/>
      <c r="G664" s="57"/>
      <c r="H664" s="57"/>
      <c r="I664" s="57"/>
      <c r="J664" s="57"/>
      <c r="K664" s="57"/>
      <c r="L664" s="57"/>
      <c r="M664" s="57"/>
      <c r="N664" s="57"/>
      <c r="O664" s="57"/>
      <c r="P664" s="57"/>
      <c r="Q664" s="57"/>
      <c r="R664" s="2060"/>
      <c r="S664" s="254"/>
    </row>
    <row r="665" spans="1:19">
      <c r="A665" s="254"/>
      <c r="B665" s="57"/>
      <c r="C665" s="57"/>
      <c r="D665" s="57"/>
      <c r="E665" s="57"/>
      <c r="F665" s="57"/>
      <c r="G665" s="57"/>
      <c r="H665" s="57"/>
      <c r="I665" s="57"/>
      <c r="J665" s="57"/>
      <c r="K665" s="57"/>
      <c r="L665" s="57"/>
      <c r="M665" s="57"/>
      <c r="N665" s="57"/>
      <c r="O665" s="57"/>
      <c r="P665" s="57"/>
      <c r="Q665" s="57"/>
      <c r="R665" s="2060"/>
      <c r="S665" s="254"/>
    </row>
    <row r="666" spans="1:19">
      <c r="A666" s="254"/>
      <c r="B666" s="57"/>
      <c r="C666" s="57"/>
      <c r="D666" s="57"/>
      <c r="E666" s="57"/>
      <c r="F666" s="57"/>
      <c r="G666" s="57"/>
      <c r="H666" s="57"/>
      <c r="I666" s="57"/>
      <c r="J666" s="57"/>
      <c r="K666" s="57"/>
      <c r="L666" s="57"/>
      <c r="M666" s="57"/>
      <c r="N666" s="57"/>
      <c r="O666" s="57"/>
      <c r="P666" s="57"/>
      <c r="Q666" s="57"/>
      <c r="R666" s="2060"/>
      <c r="S666" s="254"/>
    </row>
    <row r="667" spans="1:19">
      <c r="A667" s="254"/>
      <c r="B667" s="57"/>
      <c r="C667" s="57"/>
      <c r="D667" s="57"/>
      <c r="E667" s="57"/>
      <c r="F667" s="57"/>
      <c r="G667" s="57"/>
      <c r="H667" s="57"/>
      <c r="I667" s="57"/>
      <c r="J667" s="57"/>
      <c r="K667" s="57"/>
      <c r="L667" s="57"/>
      <c r="M667" s="57"/>
      <c r="N667" s="57"/>
      <c r="O667" s="57"/>
      <c r="P667" s="57"/>
      <c r="Q667" s="57"/>
      <c r="R667" s="2060"/>
      <c r="S667" s="254"/>
    </row>
    <row r="668" spans="1:19">
      <c r="A668" s="254"/>
      <c r="B668" s="57"/>
      <c r="C668" s="57"/>
      <c r="D668" s="57"/>
      <c r="E668" s="57"/>
      <c r="F668" s="57"/>
      <c r="G668" s="57"/>
      <c r="H668" s="57"/>
      <c r="I668" s="57"/>
      <c r="J668" s="57"/>
      <c r="K668" s="57"/>
      <c r="L668" s="57"/>
      <c r="M668" s="57"/>
      <c r="N668" s="57"/>
      <c r="O668" s="57"/>
      <c r="P668" s="57"/>
      <c r="Q668" s="57"/>
      <c r="R668" s="2060"/>
      <c r="S668" s="254"/>
    </row>
    <row r="669" spans="1:19">
      <c r="A669" s="254"/>
      <c r="B669" s="57"/>
      <c r="C669" s="57"/>
      <c r="D669" s="57"/>
      <c r="E669" s="57"/>
      <c r="F669" s="57"/>
      <c r="G669" s="57"/>
      <c r="H669" s="57"/>
      <c r="I669" s="57"/>
      <c r="J669" s="57"/>
      <c r="K669" s="57"/>
      <c r="L669" s="57"/>
      <c r="M669" s="57"/>
      <c r="N669" s="57"/>
      <c r="O669" s="57"/>
      <c r="P669" s="57"/>
      <c r="Q669" s="57"/>
      <c r="R669" s="2060"/>
      <c r="S669" s="254"/>
    </row>
    <row r="670" spans="1:19">
      <c r="A670" s="254"/>
      <c r="B670" s="57"/>
      <c r="C670" s="57"/>
      <c r="D670" s="57"/>
      <c r="E670" s="57"/>
      <c r="F670" s="57"/>
      <c r="G670" s="57"/>
      <c r="H670" s="57"/>
      <c r="I670" s="57"/>
      <c r="J670" s="57"/>
      <c r="K670" s="57"/>
      <c r="L670" s="57"/>
      <c r="M670" s="57"/>
      <c r="N670" s="57"/>
      <c r="O670" s="57"/>
      <c r="P670" s="57"/>
      <c r="Q670" s="57"/>
      <c r="R670" s="2060"/>
      <c r="S670" s="254"/>
    </row>
    <row r="671" spans="1:19">
      <c r="A671" s="254"/>
      <c r="B671" s="57"/>
      <c r="C671" s="57"/>
      <c r="D671" s="57"/>
      <c r="E671" s="57"/>
      <c r="F671" s="57"/>
      <c r="G671" s="57"/>
      <c r="H671" s="57"/>
      <c r="I671" s="57"/>
      <c r="J671" s="57"/>
      <c r="K671" s="57"/>
      <c r="L671" s="57"/>
      <c r="M671" s="57"/>
      <c r="N671" s="57"/>
      <c r="O671" s="57"/>
      <c r="P671" s="57"/>
      <c r="Q671" s="57"/>
      <c r="R671" s="2060"/>
      <c r="S671" s="254"/>
    </row>
    <row r="672" spans="1:19">
      <c r="A672" s="254"/>
      <c r="B672" s="57"/>
      <c r="C672" s="57"/>
      <c r="D672" s="57"/>
      <c r="E672" s="57"/>
      <c r="F672" s="57"/>
      <c r="G672" s="57"/>
      <c r="H672" s="57"/>
      <c r="I672" s="57"/>
      <c r="J672" s="57"/>
      <c r="K672" s="57"/>
      <c r="L672" s="57"/>
      <c r="M672" s="57"/>
      <c r="N672" s="57"/>
      <c r="O672" s="57"/>
      <c r="P672" s="57"/>
      <c r="Q672" s="57"/>
      <c r="R672" s="2060"/>
      <c r="S672" s="254"/>
    </row>
    <row r="673" spans="1:19">
      <c r="A673" s="254"/>
      <c r="B673" s="57"/>
      <c r="C673" s="57"/>
      <c r="D673" s="57"/>
      <c r="E673" s="57"/>
      <c r="F673" s="57"/>
      <c r="G673" s="57"/>
      <c r="H673" s="57"/>
      <c r="I673" s="57"/>
      <c r="J673" s="57"/>
      <c r="K673" s="57"/>
      <c r="L673" s="57"/>
      <c r="M673" s="57"/>
      <c r="N673" s="57"/>
      <c r="O673" s="57"/>
      <c r="P673" s="57"/>
      <c r="Q673" s="57"/>
      <c r="R673" s="2060"/>
      <c r="S673" s="254"/>
    </row>
    <row r="674" spans="1:19">
      <c r="A674" s="254"/>
      <c r="B674" s="57"/>
      <c r="C674" s="57"/>
      <c r="D674" s="57"/>
      <c r="E674" s="57"/>
      <c r="F674" s="57"/>
      <c r="G674" s="57"/>
      <c r="H674" s="57"/>
      <c r="I674" s="57"/>
      <c r="J674" s="57"/>
      <c r="K674" s="57"/>
      <c r="L674" s="57"/>
      <c r="M674" s="57"/>
      <c r="N674" s="57"/>
      <c r="O674" s="57"/>
      <c r="P674" s="57"/>
      <c r="Q674" s="57"/>
      <c r="R674" s="2060"/>
      <c r="S674" s="254"/>
    </row>
    <row r="675" spans="1:19">
      <c r="A675" s="254"/>
      <c r="B675" s="57"/>
      <c r="C675" s="57"/>
      <c r="D675" s="57"/>
      <c r="E675" s="57"/>
      <c r="F675" s="57"/>
      <c r="G675" s="57"/>
      <c r="H675" s="57"/>
      <c r="I675" s="57"/>
      <c r="J675" s="57"/>
      <c r="K675" s="57"/>
      <c r="L675" s="57"/>
      <c r="M675" s="57"/>
      <c r="N675" s="57"/>
      <c r="O675" s="57"/>
      <c r="P675" s="57"/>
      <c r="Q675" s="57"/>
      <c r="R675" s="2060"/>
      <c r="S675" s="254"/>
    </row>
    <row r="676" spans="1:19">
      <c r="A676" s="254"/>
      <c r="B676" s="57"/>
      <c r="C676" s="57"/>
      <c r="D676" s="57"/>
      <c r="E676" s="57"/>
      <c r="F676" s="57"/>
      <c r="G676" s="57"/>
      <c r="H676" s="57"/>
      <c r="I676" s="57"/>
      <c r="J676" s="57"/>
      <c r="K676" s="57"/>
      <c r="L676" s="57"/>
      <c r="M676" s="57"/>
      <c r="N676" s="57"/>
      <c r="O676" s="57"/>
      <c r="P676" s="57"/>
      <c r="Q676" s="57"/>
      <c r="R676" s="2060"/>
      <c r="S676" s="254"/>
    </row>
    <row r="677" spans="1:19">
      <c r="A677" s="254"/>
      <c r="B677" s="57"/>
      <c r="C677" s="57"/>
      <c r="D677" s="57"/>
      <c r="E677" s="57"/>
      <c r="F677" s="57"/>
      <c r="G677" s="57"/>
      <c r="H677" s="57"/>
      <c r="I677" s="57"/>
      <c r="J677" s="57"/>
      <c r="K677" s="57"/>
      <c r="L677" s="57"/>
      <c r="M677" s="57"/>
      <c r="N677" s="57"/>
      <c r="O677" s="57"/>
      <c r="P677" s="57"/>
      <c r="Q677" s="57"/>
      <c r="R677" s="2060"/>
      <c r="S677" s="254"/>
    </row>
    <row r="678" spans="1:19">
      <c r="A678" s="254"/>
      <c r="B678" s="57"/>
      <c r="C678" s="57"/>
      <c r="D678" s="57"/>
      <c r="E678" s="57"/>
      <c r="F678" s="57"/>
      <c r="G678" s="57"/>
      <c r="H678" s="57"/>
      <c r="I678" s="57"/>
      <c r="J678" s="57"/>
      <c r="K678" s="57"/>
      <c r="L678" s="57"/>
      <c r="M678" s="57"/>
      <c r="N678" s="57"/>
      <c r="O678" s="57"/>
      <c r="P678" s="57"/>
      <c r="Q678" s="57"/>
      <c r="R678" s="2060"/>
      <c r="S678" s="254"/>
    </row>
    <row r="679" spans="1:19">
      <c r="A679" s="254"/>
      <c r="B679" s="57"/>
      <c r="C679" s="57"/>
      <c r="D679" s="57"/>
      <c r="E679" s="57"/>
      <c r="F679" s="57"/>
      <c r="G679" s="57"/>
      <c r="H679" s="57"/>
      <c r="I679" s="57"/>
      <c r="J679" s="57"/>
      <c r="K679" s="57"/>
      <c r="L679" s="57"/>
      <c r="M679" s="57"/>
      <c r="N679" s="57"/>
      <c r="O679" s="57"/>
      <c r="P679" s="57"/>
      <c r="Q679" s="57"/>
      <c r="R679" s="2060"/>
      <c r="S679" s="254"/>
    </row>
    <row r="680" spans="1:19">
      <c r="A680" s="254"/>
      <c r="B680" s="57"/>
      <c r="C680" s="57"/>
      <c r="D680" s="57"/>
      <c r="E680" s="57"/>
      <c r="F680" s="57"/>
      <c r="G680" s="57"/>
      <c r="H680" s="57"/>
      <c r="I680" s="57"/>
      <c r="J680" s="57"/>
      <c r="K680" s="57"/>
      <c r="L680" s="57"/>
      <c r="M680" s="57"/>
      <c r="N680" s="57"/>
      <c r="O680" s="57"/>
      <c r="P680" s="57"/>
      <c r="Q680" s="57"/>
      <c r="R680" s="2060"/>
      <c r="S680" s="254"/>
    </row>
    <row r="681" spans="1:19">
      <c r="A681" s="254"/>
      <c r="B681" s="57"/>
      <c r="C681" s="57"/>
      <c r="D681" s="57"/>
      <c r="E681" s="57"/>
      <c r="F681" s="57"/>
      <c r="G681" s="57"/>
      <c r="H681" s="57"/>
      <c r="I681" s="57"/>
      <c r="J681" s="57"/>
      <c r="K681" s="57"/>
      <c r="L681" s="57"/>
      <c r="M681" s="57"/>
      <c r="N681" s="57"/>
      <c r="O681" s="57"/>
      <c r="P681" s="57"/>
      <c r="Q681" s="57"/>
      <c r="R681" s="2060"/>
      <c r="S681" s="254"/>
    </row>
    <row r="682" spans="1:19">
      <c r="A682" s="254"/>
      <c r="B682" s="57"/>
      <c r="C682" s="57"/>
      <c r="D682" s="57"/>
      <c r="E682" s="57"/>
      <c r="F682" s="57"/>
      <c r="G682" s="57"/>
      <c r="H682" s="57"/>
      <c r="I682" s="57"/>
      <c r="J682" s="57"/>
      <c r="K682" s="57"/>
      <c r="L682" s="57"/>
      <c r="M682" s="57"/>
      <c r="N682" s="57"/>
      <c r="O682" s="57"/>
      <c r="P682" s="57"/>
      <c r="Q682" s="57"/>
      <c r="R682" s="2060"/>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44819</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topLeftCell="A4" workbookViewId="0">
      <selection activeCell="A15" sqref="A15"/>
    </sheetView>
  </sheetViews>
  <sheetFormatPr defaultRowHeight="13.5"/>
  <sheetData>
    <row r="2" spans="1:4">
      <c r="A2" s="3462" t="s">
        <v>3290</v>
      </c>
    </row>
    <row r="16" spans="1:4">
      <c r="B16">
        <v>726000</v>
      </c>
      <c r="D16">
        <v>4.71</v>
      </c>
    </row>
    <row r="17" spans="2:4">
      <c r="B17">
        <v>1230000</v>
      </c>
    </row>
    <row r="18" spans="2:4">
      <c r="B18">
        <f>SUM(B16:B17)</f>
        <v>1956000</v>
      </c>
    </row>
    <row r="20" spans="2:4">
      <c r="D20">
        <f>B18*D16</f>
        <v>9212760</v>
      </c>
    </row>
    <row r="21" spans="2:4">
      <c r="D21">
        <f>D20/10000</f>
        <v>921.27599999999995</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8" t="s">
        <v>1830</v>
      </c>
      <c r="B1" s="3478"/>
      <c r="C1" s="3478"/>
      <c r="D1" s="3478"/>
      <c r="E1" s="3478"/>
      <c r="F1" s="3478"/>
      <c r="G1" s="3478"/>
      <c r="H1" s="3478"/>
      <c r="I1" s="3478"/>
      <c r="J1" s="3478"/>
      <c r="K1" s="3478"/>
      <c r="L1" s="3478"/>
      <c r="M1" s="3478"/>
      <c r="N1" s="3478"/>
      <c r="O1" s="3478"/>
      <c r="P1" s="3478"/>
      <c r="Q1" s="3478"/>
      <c r="R1" s="3478"/>
    </row>
    <row r="2" spans="1:18">
      <c r="A2" s="1677" t="s">
        <v>1832</v>
      </c>
      <c r="B2" s="1677"/>
      <c r="C2" s="1677"/>
      <c r="D2" s="1677"/>
      <c r="E2" s="1677"/>
      <c r="F2" s="1677"/>
      <c r="G2" s="1677"/>
      <c r="H2" s="1677"/>
      <c r="I2" s="1678"/>
      <c r="J2" s="1678"/>
      <c r="K2" s="1679" t="str">
        <f>"估价期日："&amp;TEXT(项目基本情况!D3,"yyyy年m月d日;;")</f>
        <v>估价期日：2022年9月15日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79" t="s">
        <v>1821</v>
      </c>
      <c r="B3" s="3479" t="s">
        <v>2448</v>
      </c>
      <c r="C3" s="3480" t="s">
        <v>1822</v>
      </c>
      <c r="D3" s="3479" t="s">
        <v>2452</v>
      </c>
      <c r="E3" s="3482" t="s">
        <v>1823</v>
      </c>
      <c r="F3" s="3482"/>
      <c r="G3" s="3482"/>
      <c r="H3" s="3482" t="s">
        <v>1824</v>
      </c>
      <c r="I3" s="3482"/>
      <c r="J3" s="3482"/>
      <c r="K3" s="3480" t="s">
        <v>1825</v>
      </c>
      <c r="L3" s="3480" t="s">
        <v>1826</v>
      </c>
      <c r="M3" s="3479" t="s">
        <v>2449</v>
      </c>
      <c r="N3" s="3481" t="str">
        <f>"（分摊）"&amp;项目基本情况!B16&amp;"国有建设用地使用权面积/㎡"</f>
        <v>（分摊）出让国有建设用地使用权面积/㎡</v>
      </c>
      <c r="O3" s="3479" t="s">
        <v>1855</v>
      </c>
      <c r="P3" s="3480" t="s">
        <v>1835</v>
      </c>
      <c r="Q3" s="3480" t="s">
        <v>1856</v>
      </c>
      <c r="R3" s="3480" t="s">
        <v>1827</v>
      </c>
    </row>
    <row r="4" spans="1:18" ht="36.75" customHeight="1">
      <c r="A4" s="3479"/>
      <c r="B4" s="3479"/>
      <c r="C4" s="3480"/>
      <c r="D4" s="3479"/>
      <c r="E4" s="2413" t="s">
        <v>1834</v>
      </c>
      <c r="F4" s="2413" t="s">
        <v>2461</v>
      </c>
      <c r="G4" s="2413" t="s">
        <v>1828</v>
      </c>
      <c r="H4" s="2413" t="s">
        <v>1829</v>
      </c>
      <c r="I4" s="2413" t="s">
        <v>2462</v>
      </c>
      <c r="J4" s="2413" t="s">
        <v>1828</v>
      </c>
      <c r="K4" s="3480"/>
      <c r="L4" s="3480"/>
      <c r="M4" s="3479"/>
      <c r="N4" s="3481"/>
      <c r="O4" s="3479"/>
      <c r="P4" s="3480"/>
      <c r="Q4" s="3480"/>
      <c r="R4" s="3480"/>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16450</v>
      </c>
      <c r="O5" s="1680">
        <f>项目基本情况!C21</f>
        <v>1790.62</v>
      </c>
      <c r="P5" s="1680">
        <f ca="1">结果表!E42</f>
        <v>1324</v>
      </c>
      <c r="Q5" s="1680">
        <f ca="1">结果表!D42</f>
        <v>12163</v>
      </c>
      <c r="R5" s="1681">
        <f ca="1">结果表!C42</f>
        <v>2178</v>
      </c>
    </row>
    <row r="6" spans="1:18">
      <c r="A6" s="3483" t="str">
        <f>IF(项目基本情况!B9="市场价格","——","抵押价格")</f>
        <v>抵押价格</v>
      </c>
      <c r="B6" s="3484"/>
      <c r="C6" s="3484"/>
      <c r="D6" s="3484"/>
      <c r="E6" s="3484"/>
      <c r="F6" s="3484"/>
      <c r="G6" s="3484"/>
      <c r="H6" s="3484"/>
      <c r="I6" s="3484"/>
      <c r="J6" s="3484"/>
      <c r="K6" s="3484"/>
      <c r="L6" s="3484"/>
      <c r="M6" s="3484"/>
      <c r="N6" s="3484"/>
      <c r="O6" s="3484"/>
      <c r="P6" s="3484"/>
      <c r="Q6" s="3485"/>
      <c r="R6" s="1682" t="str">
        <f>结果表!O39</f>
        <v>——</v>
      </c>
    </row>
    <row r="7" spans="1:18">
      <c r="A7" s="3483" t="str">
        <f>IF(项目基本情况!B9="市场价格","——",IF(项目基本情况!E8="已注销及未注销","抵押担保权已注销时的抵押价格","——"))</f>
        <v>——</v>
      </c>
      <c r="B7" s="3484"/>
      <c r="C7" s="3484"/>
      <c r="D7" s="3484"/>
      <c r="E7" s="3484"/>
      <c r="F7" s="3484"/>
      <c r="G7" s="3484"/>
      <c r="H7" s="3484"/>
      <c r="I7" s="3484"/>
      <c r="J7" s="3484"/>
      <c r="K7" s="3484"/>
      <c r="L7" s="3484"/>
      <c r="M7" s="3484"/>
      <c r="N7" s="3484"/>
      <c r="O7" s="3484"/>
      <c r="P7" s="3484"/>
      <c r="Q7" s="3485"/>
      <c r="R7" s="1682" t="str">
        <f>结果表!O40</f>
        <v>——</v>
      </c>
    </row>
    <row r="8" spans="1:18">
      <c r="A8" s="3483">
        <f>IF(项目基本情况!B9="市场价格","——",项目基本情况!E9)</f>
        <v>0</v>
      </c>
      <c r="B8" s="3484"/>
      <c r="C8" s="3484"/>
      <c r="D8" s="3484"/>
      <c r="E8" s="3484"/>
      <c r="F8" s="3484"/>
      <c r="G8" s="3484"/>
      <c r="H8" s="3484"/>
      <c r="I8" s="3484"/>
      <c r="J8" s="3484"/>
      <c r="K8" s="3484"/>
      <c r="L8" s="3484"/>
      <c r="M8" s="3484"/>
      <c r="N8" s="3484"/>
      <c r="O8" s="3484"/>
      <c r="P8" s="3484"/>
      <c r="Q8" s="3485"/>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86" t="s">
        <v>1857</v>
      </c>
      <c r="B1" s="3486"/>
      <c r="C1" s="3486"/>
      <c r="D1" s="3486"/>
    </row>
    <row r="2" spans="1:4" ht="47.25" customHeight="1">
      <c r="A2" s="3490" t="str">
        <f>"1.权利限制："&amp;项目基本情况!L24&amp;"未设定租赁等其他他项权利。"</f>
        <v>1.权利限制：根据估价对象《不动产权证书》原件、《国有土地使用权》复印件，截至估价期日，估价对象抵押权未见登记。未设定租赁等其他他项权利。</v>
      </c>
      <c r="B2" s="3490"/>
      <c r="C2" s="3490"/>
      <c r="D2" s="3490"/>
    </row>
    <row r="3" spans="1:4" ht="48" customHeight="1">
      <c r="A3" s="34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6"/>
      <c r="C3" s="3486"/>
      <c r="D3" s="3486"/>
    </row>
    <row r="4" spans="1:4" ht="36.75" customHeight="1">
      <c r="A4" s="3486" t="str">
        <f>"3.估价规划限制条件：详见"&amp;项目基本情况!E21&amp;"。"</f>
        <v>3.估价规划限制条件：详见《建设工程规划许可证》[]、《出让合同》[]。</v>
      </c>
      <c r="B4" s="3486"/>
      <c r="C4" s="3486"/>
      <c r="D4" s="3486"/>
    </row>
    <row r="5" spans="1:4">
      <c r="A5" s="3489" t="s">
        <v>1858</v>
      </c>
      <c r="B5" s="3489"/>
      <c r="C5" s="3489"/>
      <c r="D5" s="3489"/>
    </row>
    <row r="6" spans="1:4">
      <c r="A6" s="3486" t="s">
        <v>1836</v>
      </c>
      <c r="B6" s="3486"/>
      <c r="C6" s="3486"/>
      <c r="D6" s="3486"/>
    </row>
    <row r="7" spans="1:4" ht="33" customHeight="1">
      <c r="A7" s="3486" t="s">
        <v>2292</v>
      </c>
      <c r="B7" s="3486"/>
      <c r="C7" s="3486"/>
      <c r="D7" s="3486"/>
    </row>
    <row r="8" spans="1:4" ht="32.25" customHeight="1">
      <c r="A8" s="34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6"/>
      <c r="C8" s="3486"/>
      <c r="D8" s="3486"/>
    </row>
    <row r="9" spans="1:4" ht="33.75" customHeight="1">
      <c r="A9" s="34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6"/>
      <c r="C9" s="3486"/>
      <c r="D9" s="3486"/>
    </row>
    <row r="10" spans="1:4">
      <c r="A10" s="3486" t="str">
        <f>IF(项目基本情况!B8="抵押","4.估价师所知悉的法定优先受偿款情况为：","——")</f>
        <v>4.估价师所知悉的法定优先受偿款情况为：</v>
      </c>
      <c r="B10" s="3486"/>
      <c r="C10" s="3486"/>
      <c r="D10" s="3486"/>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9" t="s">
        <v>1860</v>
      </c>
      <c r="B12" s="3489"/>
      <c r="C12" s="3489"/>
      <c r="D12" s="3489"/>
    </row>
    <row r="13" spans="1:4">
      <c r="A13" s="3487" t="s">
        <v>2463</v>
      </c>
      <c r="B13" s="3487"/>
      <c r="C13" s="3487"/>
      <c r="D13" s="3487"/>
    </row>
    <row r="14" spans="1:4">
      <c r="A14" s="3488" t="str">
        <f>IF(项目基本情况!B8="抵押","综上，"&amp;结果表!K47,"——")</f>
        <v>综上，本次评估不存在估价师知悉的法定优先受偿款</v>
      </c>
      <c r="B14" s="3488"/>
      <c r="C14" s="3488"/>
      <c r="D14" s="3488"/>
    </row>
    <row r="15" spans="1:4" ht="58.5" customHeight="1">
      <c r="A15" s="34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6"/>
      <c r="C15" s="3486"/>
      <c r="D15" s="3486"/>
    </row>
    <row r="16" spans="1:4" ht="70.5" customHeight="1">
      <c r="A16" s="34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6"/>
      <c r="C16" s="3486"/>
      <c r="D16" s="3486"/>
    </row>
    <row r="17" spans="1:4">
      <c r="A17" s="3486" t="s">
        <v>2419</v>
      </c>
      <c r="B17" s="3486"/>
      <c r="C17" s="3486"/>
      <c r="D17" s="3486"/>
    </row>
    <row r="18" spans="1:4">
      <c r="A18" s="3486" t="s">
        <v>2411</v>
      </c>
      <c r="B18" s="3486"/>
      <c r="C18" s="3486"/>
      <c r="D18" s="3486"/>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86" t="s">
        <v>2416</v>
      </c>
      <c r="B23" s="3486"/>
      <c r="C23" s="3486"/>
      <c r="D23" s="3486"/>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98" t="s">
        <v>53</v>
      </c>
      <c r="B15" s="3499" t="s">
        <v>826</v>
      </c>
      <c r="C15" s="3495"/>
    </row>
    <row r="16" spans="1:7" ht="14.25">
      <c r="A16" s="3498"/>
      <c r="B16" s="3496" t="s">
        <v>54</v>
      </c>
      <c r="C16" s="1118" t="s">
        <v>53</v>
      </c>
    </row>
    <row r="17" spans="1:3" ht="14.25">
      <c r="A17" s="3498"/>
      <c r="B17" s="3496"/>
      <c r="C17" s="1118" t="s">
        <v>55</v>
      </c>
    </row>
    <row r="18" spans="1:3" ht="14.25">
      <c r="A18" s="3498"/>
      <c r="B18" s="3496"/>
      <c r="C18" s="1118" t="s">
        <v>56</v>
      </c>
    </row>
    <row r="19" spans="1:3" ht="14.25">
      <c r="A19" s="3498"/>
      <c r="B19" s="3494" t="s">
        <v>57</v>
      </c>
      <c r="C19" s="3495"/>
    </row>
    <row r="20" spans="1:3" ht="14.25">
      <c r="A20" s="1119" t="s">
        <v>58</v>
      </c>
      <c r="B20" s="1120"/>
      <c r="C20" s="1121"/>
    </row>
    <row r="21" spans="1:3" ht="14.25">
      <c r="A21" s="3497" t="s">
        <v>59</v>
      </c>
      <c r="B21" s="3494" t="s">
        <v>60</v>
      </c>
      <c r="C21" s="3495"/>
    </row>
    <row r="22" spans="1:3" ht="14.25">
      <c r="A22" s="3497"/>
      <c r="B22" s="3494" t="s">
        <v>61</v>
      </c>
      <c r="C22" s="3495"/>
    </row>
    <row r="23" spans="1:3" ht="14.25">
      <c r="A23" s="3497"/>
      <c r="B23" s="3494" t="s">
        <v>62</v>
      </c>
      <c r="C23" s="3495"/>
    </row>
    <row r="24" spans="1:3" ht="14.25">
      <c r="A24" s="3497"/>
      <c r="B24" s="3500" t="s">
        <v>63</v>
      </c>
      <c r="C24" s="1122" t="s">
        <v>817</v>
      </c>
    </row>
    <row r="25" spans="1:3" ht="14.25">
      <c r="A25" s="3497"/>
      <c r="B25" s="3501"/>
      <c r="C25" s="1122" t="s">
        <v>818</v>
      </c>
    </row>
    <row r="26" spans="1:3" ht="14.25">
      <c r="A26" s="3497"/>
      <c r="B26" s="3501"/>
      <c r="C26" s="1122" t="s">
        <v>819</v>
      </c>
    </row>
    <row r="27" spans="1:3" ht="14.25">
      <c r="A27" s="3497"/>
      <c r="B27" s="3501"/>
      <c r="C27" s="1122" t="s">
        <v>820</v>
      </c>
    </row>
    <row r="28" spans="1:3" ht="14.25">
      <c r="A28" s="3497"/>
      <c r="B28" s="3501"/>
      <c r="C28" s="1122" t="s">
        <v>821</v>
      </c>
    </row>
    <row r="29" spans="1:3" ht="14.25">
      <c r="A29" s="3497"/>
      <c r="B29" s="3501"/>
      <c r="C29" s="1122" t="s">
        <v>822</v>
      </c>
    </row>
    <row r="30" spans="1:3" ht="14.25">
      <c r="A30" s="3497"/>
      <c r="B30" s="3501"/>
      <c r="C30" s="1122" t="s">
        <v>823</v>
      </c>
    </row>
    <row r="31" spans="1:3" ht="14.25">
      <c r="A31" s="3497"/>
      <c r="B31" s="3501"/>
      <c r="C31" s="1122" t="s">
        <v>824</v>
      </c>
    </row>
    <row r="32" spans="1:3" ht="14.25">
      <c r="A32" s="3497"/>
      <c r="B32" s="3501"/>
      <c r="C32" s="1122" t="s">
        <v>1446</v>
      </c>
    </row>
    <row r="33" spans="1:3" ht="14.25">
      <c r="A33" s="3497"/>
      <c r="B33" s="3491" t="s">
        <v>1452</v>
      </c>
      <c r="C33" s="1122" t="s">
        <v>1447</v>
      </c>
    </row>
    <row r="34" spans="1:3" ht="14.25">
      <c r="A34" s="3497"/>
      <c r="B34" s="3492"/>
      <c r="C34" s="1127" t="s">
        <v>1448</v>
      </c>
    </row>
    <row r="35" spans="1:3" ht="14.25">
      <c r="A35" s="3497"/>
      <c r="B35" s="3492"/>
      <c r="C35" s="1128" t="s">
        <v>1449</v>
      </c>
    </row>
    <row r="36" spans="1:3" ht="14.25">
      <c r="A36" s="3497"/>
      <c r="B36" s="3492"/>
      <c r="C36" s="1128" t="s">
        <v>1450</v>
      </c>
    </row>
    <row r="37" spans="1:3" ht="14.25">
      <c r="A37" s="3497"/>
      <c r="B37" s="3493"/>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44824</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05" t="s">
        <v>1720</v>
      </c>
      <c r="B18" s="3506"/>
      <c r="C18" s="3506"/>
      <c r="D18" s="3506"/>
      <c r="E18" s="3506"/>
      <c r="F18" s="3506"/>
      <c r="G18" s="2942"/>
    </row>
    <row r="19" spans="1:7" ht="20.25" customHeight="1">
      <c r="A19" s="3502" t="s">
        <v>1721</v>
      </c>
      <c r="B19" s="3502"/>
      <c r="C19" s="3503"/>
      <c r="D19" s="3504" t="s">
        <v>1722</v>
      </c>
      <c r="E19" s="3502"/>
      <c r="F19" s="3502"/>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07"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c r="D53" s="1640"/>
      <c r="E53" s="1640"/>
    </row>
    <row r="54" spans="1:5">
      <c r="A54" s="3507"/>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7"/>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7"/>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7"/>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基准地价系数修正法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2022-09-20T02:47:48Z</dcterms:modified>
</cp:coreProperties>
</file>