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025"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9" r:id="rId29"/>
    <sheet name="剩余法-待开发" sheetId="12" r:id="rId30"/>
    <sheet name="不动产收益法" sheetId="15" state="hidden"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 name="Sheet2" sheetId="71"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7" i="6" l="1"/>
  <c r="L3" i="12" l="1"/>
  <c r="N25" i="71"/>
  <c r="L12" i="71"/>
  <c r="L7" i="71"/>
  <c r="S16" i="71"/>
  <c r="S5" i="71"/>
  <c r="S6" i="71"/>
  <c r="S7" i="71"/>
  <c r="S8" i="71"/>
  <c r="H47" i="71" l="1"/>
  <c r="L10" i="71" s="1"/>
  <c r="L11" i="71" s="1"/>
  <c r="S10" i="71" l="1"/>
  <c r="S11" i="71"/>
  <c r="S12" i="71"/>
  <c r="S13" i="71"/>
  <c r="S14" i="71"/>
  <c r="S15" i="71"/>
  <c r="S9" i="71"/>
  <c r="D21" i="70" l="1"/>
  <c r="D20" i="70"/>
  <c r="B18" i="70"/>
  <c r="I48" i="39"/>
  <c r="G48" i="39"/>
  <c r="E48" i="39"/>
  <c r="I40" i="39"/>
  <c r="G40" i="39"/>
  <c r="E40" i="39"/>
  <c r="C40" i="39"/>
  <c r="I9" i="39"/>
  <c r="G9" i="39"/>
  <c r="E9" i="39"/>
  <c r="I7" i="39"/>
  <c r="G7" i="39"/>
  <c r="E7" i="39"/>
  <c r="F19" i="6"/>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6" i="69"/>
  <c r="R7" i="69"/>
  <c r="R8" i="69"/>
  <c r="R9" i="69"/>
  <c r="R10" i="69"/>
  <c r="R11" i="69"/>
  <c r="R12" i="69"/>
  <c r="R13" i="69"/>
  <c r="R14" i="69"/>
  <c r="R15" i="69"/>
  <c r="R16" i="69"/>
  <c r="R17" i="69"/>
  <c r="R18" i="69"/>
  <c r="R19" i="69"/>
  <c r="R20" i="69"/>
  <c r="R21" i="69"/>
  <c r="R22" i="69"/>
  <c r="R2" i="69"/>
  <c r="R3" i="69"/>
  <c r="R4" i="69"/>
  <c r="R5"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A12" i="46"/>
  <c r="B73" i="63"/>
  <c r="A21" i="64"/>
  <c r="B75" i="63" s="1"/>
  <c r="A27" i="64"/>
  <c r="A15" i="64"/>
  <c r="A14" i="64"/>
  <c r="A11" i="64"/>
  <c r="A3" i="64"/>
  <c r="A45" i="9"/>
  <c r="A44" i="9"/>
  <c r="K39" i="9" s="1"/>
  <c r="C57" i="10"/>
  <c r="A28" i="51" s="1"/>
  <c r="N4" i="63" s="1"/>
  <c r="C56" i="10"/>
  <c r="A26" i="51" s="1"/>
  <c r="B19" i="63" s="1"/>
  <c r="C55" i="10"/>
  <c r="C54" i="10"/>
  <c r="B49" i="63"/>
  <c r="B44" i="63"/>
  <c r="B40" i="63"/>
  <c r="B30" i="63"/>
  <c r="B27" i="63"/>
  <c r="B25" i="63"/>
  <c r="A11" i="51"/>
  <c r="A26" i="64"/>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s="1"/>
  <c r="B49" i="50"/>
  <c r="B5" i="63"/>
  <c r="B40" i="50"/>
  <c r="B3" i="63"/>
  <c r="B21" i="63"/>
  <c r="B67" i="63"/>
  <c r="I19" i="46"/>
  <c r="Q29" i="59"/>
  <c r="F29" i="59" s="1"/>
  <c r="V29" i="59" s="1"/>
  <c r="P29" i="59"/>
  <c r="O29" i="59"/>
  <c r="N29" i="59"/>
  <c r="D90" i="59"/>
  <c r="F89" i="59"/>
  <c r="F88" i="59" s="1"/>
  <c r="E89" i="59"/>
  <c r="E88" i="59"/>
  <c r="E87" i="59" s="1"/>
  <c r="C89" i="59"/>
  <c r="D89" i="59" s="1"/>
  <c r="B89" i="59"/>
  <c r="B88" i="59" s="1"/>
  <c r="F87" i="59"/>
  <c r="B87" i="59"/>
  <c r="D86" i="59"/>
  <c r="F85" i="59"/>
  <c r="F84" i="59" s="1"/>
  <c r="E85" i="59"/>
  <c r="E84" i="59"/>
  <c r="E83" i="59" s="1"/>
  <c r="C85" i="59"/>
  <c r="B85" i="59"/>
  <c r="B84" i="59" s="1"/>
  <c r="F83" i="59"/>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AA39" i="59" s="1"/>
  <c r="O39" i="59"/>
  <c r="Y39" i="59" s="1"/>
  <c r="Z39" i="59" s="1"/>
  <c r="N39" i="59"/>
  <c r="X39" i="59" s="1"/>
  <c r="Q38" i="59"/>
  <c r="P38" i="59"/>
  <c r="O38" i="59"/>
  <c r="C39" i="59"/>
  <c r="C40" i="59" s="1"/>
  <c r="N38" i="59"/>
  <c r="B39" i="59"/>
  <c r="B40" i="59" s="1"/>
  <c r="B41" i="59" s="1"/>
  <c r="S41" i="59" s="1"/>
  <c r="D38" i="59"/>
  <c r="Q37" i="59"/>
  <c r="P37" i="59"/>
  <c r="AA37" i="59" s="1"/>
  <c r="O37" i="59"/>
  <c r="Y37" i="59" s="1"/>
  <c r="Z37" i="59" s="1"/>
  <c r="N37" i="59"/>
  <c r="X37" i="59" s="1"/>
  <c r="Q36" i="59"/>
  <c r="AB36" i="59" s="1"/>
  <c r="P36" i="59"/>
  <c r="AA36" i="59" s="1"/>
  <c r="O36" i="59"/>
  <c r="N36" i="59"/>
  <c r="X36" i="59" s="1"/>
  <c r="Q35" i="59"/>
  <c r="P35" i="59"/>
  <c r="AA35" i="59" s="1"/>
  <c r="O35" i="59"/>
  <c r="Y35" i="59" s="1"/>
  <c r="Z35" i="59" s="1"/>
  <c r="N35" i="59"/>
  <c r="X35" i="59" s="1"/>
  <c r="Q34" i="59"/>
  <c r="AB34" i="59" s="1"/>
  <c r="F35" i="59"/>
  <c r="P34" i="59"/>
  <c r="E35" i="59"/>
  <c r="E36" i="59" s="1"/>
  <c r="E37" i="59" s="1"/>
  <c r="U37" i="59" s="1"/>
  <c r="O34" i="59"/>
  <c r="N34" i="59"/>
  <c r="D34" i="59"/>
  <c r="Q33" i="59"/>
  <c r="AB33" i="59" s="1"/>
  <c r="P33" i="59"/>
  <c r="AA33" i="59" s="1"/>
  <c r="O33" i="59"/>
  <c r="N33" i="59"/>
  <c r="Q32" i="59"/>
  <c r="AB32" i="59" s="1"/>
  <c r="P32" i="59"/>
  <c r="O32" i="59"/>
  <c r="N32" i="59"/>
  <c r="X32" i="59" s="1"/>
  <c r="Q31" i="59"/>
  <c r="AB31" i="59" s="1"/>
  <c r="P31" i="59"/>
  <c r="AA31" i="59" s="1"/>
  <c r="O31" i="59"/>
  <c r="N31" i="59"/>
  <c r="Q30" i="59"/>
  <c r="P30" i="59"/>
  <c r="AA30" i="59" s="1"/>
  <c r="O30" i="59"/>
  <c r="C31" i="59"/>
  <c r="C32" i="59" s="1"/>
  <c r="N30" i="59"/>
  <c r="X30" i="59" s="1"/>
  <c r="B31" i="59"/>
  <c r="B32" i="59" s="1"/>
  <c r="D30" i="59"/>
  <c r="X3" i="59"/>
  <c r="X27" i="59"/>
  <c r="X29" i="59"/>
  <c r="AA28" i="59"/>
  <c r="Y26" i="59"/>
  <c r="Z26" i="59" s="1"/>
  <c r="Y27" i="59"/>
  <c r="Z27" i="59" s="1"/>
  <c r="Y28" i="59"/>
  <c r="Z28" i="59" s="1"/>
  <c r="Y29" i="59"/>
  <c r="Z29" i="59" s="1"/>
  <c r="AB29" i="59"/>
  <c r="AB26" i="59"/>
  <c r="AB28" i="59"/>
  <c r="B33" i="59"/>
  <c r="S33" i="59" s="1"/>
  <c r="E31" i="59"/>
  <c r="E32" i="59" s="1"/>
  <c r="E33" i="59"/>
  <c r="U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3" i="59" s="1"/>
  <c r="C56" i="59"/>
  <c r="C60" i="59"/>
  <c r="D60" i="59" s="1"/>
  <c r="C64" i="59"/>
  <c r="E67" i="59"/>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P67" i="59"/>
  <c r="C87" i="59"/>
  <c r="D87" i="59" s="1"/>
  <c r="D76" i="59"/>
  <c r="C75" i="59"/>
  <c r="D75" i="59"/>
  <c r="N67" i="59"/>
  <c r="C65" i="59"/>
  <c r="D64" i="59"/>
  <c r="C61" i="59"/>
  <c r="D61" i="59" s="1"/>
  <c r="C57" i="59"/>
  <c r="D56" i="59"/>
  <c r="D52" i="59"/>
  <c r="C45" i="59"/>
  <c r="D44" i="59"/>
  <c r="C41" i="59"/>
  <c r="D40" i="59"/>
  <c r="C33" i="59"/>
  <c r="D32" i="59"/>
  <c r="T61" i="59"/>
  <c r="T33" i="59"/>
  <c r="D33" i="59"/>
  <c r="T41" i="59"/>
  <c r="D41" i="59"/>
  <c r="T45" i="59"/>
  <c r="D45" i="59"/>
  <c r="T57" i="59"/>
  <c r="D57" i="59"/>
  <c r="T65" i="59"/>
  <c r="D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21" i="21"/>
  <c r="S31" i="39"/>
  <c r="C27" i="40"/>
  <c r="C31" i="39"/>
  <c r="B54" i="46"/>
  <c r="B74"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W10" i="40"/>
  <c r="U11" i="40"/>
  <c r="U36" i="40"/>
  <c r="S40" i="39"/>
  <c r="F11" i="21"/>
  <c r="S11" i="21" s="1"/>
  <c r="AC40" i="21"/>
  <c r="AA38" i="21"/>
  <c r="AB36" i="21"/>
  <c r="AC35" i="21"/>
  <c r="C29" i="39"/>
  <c r="C23" i="39"/>
  <c r="U36" i="39"/>
  <c r="H32" i="33"/>
  <c r="AB32" i="33"/>
  <c r="H11" i="21"/>
  <c r="U11" i="21"/>
  <c r="J11" i="21"/>
  <c r="W11" i="21"/>
  <c r="F85" i="40"/>
  <c r="G85" i="40"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s="1"/>
  <c r="H28" i="21"/>
  <c r="AB28" i="21" s="1"/>
  <c r="F28" i="21"/>
  <c r="J28" i="21"/>
  <c r="AC28" i="21"/>
  <c r="H30" i="21"/>
  <c r="U30" i="21"/>
  <c r="F30" i="21"/>
  <c r="S30" i="21" s="1"/>
  <c r="J30" i="21"/>
  <c r="J44" i="21"/>
  <c r="AC44" i="21"/>
  <c r="H44" i="21"/>
  <c r="U44" i="21" s="1"/>
  <c r="F44" i="21"/>
  <c r="AA44" i="21" s="1"/>
  <c r="H46" i="21"/>
  <c r="AB46" i="21" s="1"/>
  <c r="J46" i="21"/>
  <c r="W46" i="21" s="1"/>
  <c r="F46" i="21"/>
  <c r="AA46" i="21" s="1"/>
  <c r="H26" i="33"/>
  <c r="U26" i="33" s="1"/>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S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15" i="40"/>
  <c r="AA15" i="40" s="1"/>
  <c r="J15" i="40"/>
  <c r="AC15" i="40" s="1"/>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F72" i="9"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S33" i="40"/>
  <c r="S47" i="39"/>
  <c r="U37" i="34"/>
  <c r="AC41" i="40"/>
  <c r="W41" i="40"/>
  <c r="U41" i="40"/>
  <c r="J23" i="40"/>
  <c r="AC23" i="40"/>
  <c r="F23" i="40"/>
  <c r="S23" i="40" s="1"/>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c r="H33" i="37"/>
  <c r="AB33" i="37"/>
  <c r="AC15" i="34"/>
  <c r="U20" i="35"/>
  <c r="AB20" i="35"/>
  <c r="W23" i="40"/>
  <c r="AP11" i="1"/>
  <c r="B11" i="1"/>
  <c r="E11" i="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AA21" i="39"/>
  <c r="AC38" i="39"/>
  <c r="AC21" i="39"/>
  <c r="AC17" i="39"/>
  <c r="S14" i="39"/>
  <c r="AB15" i="39"/>
  <c r="U11" i="39"/>
  <c r="U41" i="39"/>
  <c r="AB38" i="39"/>
  <c r="U31" i="39"/>
  <c r="AB31" i="39"/>
  <c r="S38" i="39"/>
  <c r="S22" i="31"/>
  <c r="D18" i="9"/>
  <c r="M44" i="9" s="1"/>
  <c r="M43" i="9"/>
  <c r="M20" i="15"/>
  <c r="D96" i="9"/>
  <c r="M18" i="15"/>
  <c r="A18" i="64"/>
  <c r="B74" i="63"/>
  <c r="C53" i="10"/>
  <c r="A25" i="64" s="1"/>
  <c r="A18" i="51"/>
  <c r="B14" i="63" s="1"/>
  <c r="BA16" i="3"/>
  <c r="BA17" i="3"/>
  <c r="AZ17" i="3"/>
  <c r="F3" i="35"/>
  <c r="K1" i="43"/>
  <c r="K1" i="12"/>
  <c r="G1" i="44"/>
  <c r="G3" i="46"/>
  <c r="Y11" i="46" s="1"/>
  <c r="Y13" i="46" s="1"/>
  <c r="AZ15" i="3"/>
  <c r="BK5" i="3"/>
  <c r="BO5" i="3"/>
  <c r="BP5" i="3"/>
  <c r="BN5" i="3"/>
  <c r="G29" i="6" s="1"/>
  <c r="BL18" i="3"/>
  <c r="AZ18" i="3"/>
  <c r="BC5" i="3"/>
  <c r="BD5" i="3"/>
  <c r="BR5" i="3"/>
  <c r="BS5" i="3"/>
  <c r="BQ5" i="3"/>
  <c r="F28" i="6" s="1"/>
  <c r="BL16" i="3"/>
  <c r="BM5" i="3"/>
  <c r="BA13" i="3"/>
  <c r="BA5" i="3"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B6" i="63" s="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K5" i="54"/>
  <c r="B38" i="63" s="1"/>
  <c r="T41" i="4"/>
  <c r="A17" i="64" s="1"/>
  <c r="B46" i="50"/>
  <c r="B4" i="63"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AT6" i="3"/>
  <c r="AZ13" i="3"/>
  <c r="AZ16" i="3"/>
  <c r="A9" i="51"/>
  <c r="B9" i="63" s="1"/>
  <c r="E4" i="4"/>
  <c r="C4" i="4"/>
  <c r="B20" i="55" s="1"/>
  <c r="B70" i="63" s="1"/>
  <c r="G66" i="36"/>
  <c r="J18" i="36"/>
  <c r="W18" i="36" s="1"/>
  <c r="AE8" i="1"/>
  <c r="AE7" i="1"/>
  <c r="AG6" i="1"/>
  <c r="L20" i="6"/>
  <c r="L19" i="6"/>
  <c r="B21" i="55"/>
  <c r="B72" i="63" s="1"/>
  <c r="S7" i="1"/>
  <c r="S8" i="1"/>
  <c r="S9" i="1"/>
  <c r="R9" i="1"/>
  <c r="R7" i="1"/>
  <c r="R8" i="1"/>
  <c r="C45" i="9"/>
  <c r="H14" i="66"/>
  <c r="B7" i="66" s="1"/>
  <c r="C44" i="9"/>
  <c r="G14" i="66" s="1"/>
  <c r="B6" i="66" s="1"/>
  <c r="O40" i="9"/>
  <c r="K31" i="9" s="1"/>
  <c r="K32" i="9" s="1"/>
  <c r="O39" i="9"/>
  <c r="K29" i="9"/>
  <c r="K30" i="9"/>
  <c r="R6" i="54"/>
  <c r="B50" i="63" s="1"/>
  <c r="N76" i="9"/>
  <c r="C46" i="9"/>
  <c r="K33" i="9"/>
  <c r="K34" i="9" s="1"/>
  <c r="O41" i="9"/>
  <c r="I14" i="66"/>
  <c r="B8" i="66" s="1"/>
  <c r="R8" i="54"/>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H101" i="46"/>
  <c r="H102" i="46" s="1"/>
  <c r="J22" i="46"/>
  <c r="D101" i="46"/>
  <c r="D105" i="46" s="1"/>
  <c r="H70" i="46"/>
  <c r="H73" i="46"/>
  <c r="H50" i="46"/>
  <c r="H48" i="46"/>
  <c r="F35" i="46"/>
  <c r="I17" i="46"/>
  <c r="H63" i="46"/>
  <c r="I101" i="46"/>
  <c r="I105" i="46" s="1"/>
  <c r="N101" i="46"/>
  <c r="N105" i="46" s="1"/>
  <c r="AD11" i="46"/>
  <c r="H64" i="46"/>
  <c r="H66" i="46"/>
  <c r="D100" i="46"/>
  <c r="H62" i="46"/>
  <c r="AF12" i="46"/>
  <c r="K100" i="46"/>
  <c r="AB12" i="46"/>
  <c r="AJ12" i="46"/>
  <c r="C101" i="46"/>
  <c r="C109" i="46" s="1"/>
  <c r="J101" i="46"/>
  <c r="J106" i="46" s="1"/>
  <c r="N104" i="45"/>
  <c r="F22" i="46"/>
  <c r="Z7" i="46"/>
  <c r="E22" i="46"/>
  <c r="Z11" i="46"/>
  <c r="AA11" i="46"/>
  <c r="AA13" i="46" s="1"/>
  <c r="AF11" i="46"/>
  <c r="H60" i="46"/>
  <c r="H59" i="46"/>
  <c r="H74" i="46"/>
  <c r="H65" i="46"/>
  <c r="AB11" i="46"/>
  <c r="H75" i="46"/>
  <c r="H72" i="46"/>
  <c r="H69" i="46"/>
  <c r="H77" i="46"/>
  <c r="H76" i="46"/>
  <c r="H55" i="46"/>
  <c r="H54" i="46"/>
  <c r="H52" i="46"/>
  <c r="H47" i="46"/>
  <c r="AD12" i="46"/>
  <c r="AH12" i="46"/>
  <c r="B22" i="59"/>
  <c r="B21" i="59" s="1"/>
  <c r="C23" i="46"/>
  <c r="G20" i="46"/>
  <c r="E41" i="46" s="1"/>
  <c r="C41" i="46" s="1"/>
  <c r="F16" i="15"/>
  <c r="F28" i="44"/>
  <c r="F14" i="67"/>
  <c r="E14" i="67"/>
  <c r="M22" i="15"/>
  <c r="F8" i="44"/>
  <c r="F13" i="15"/>
  <c r="F39" i="44"/>
  <c r="M29" i="44"/>
  <c r="M28" i="44"/>
  <c r="M10" i="44"/>
  <c r="N3" i="65"/>
  <c r="I5" i="65"/>
  <c r="L48" i="44"/>
  <c r="J7" i="65"/>
  <c r="B14" i="67"/>
  <c r="M27" i="15"/>
  <c r="M9" i="15"/>
  <c r="E10" i="67"/>
  <c r="M23" i="15"/>
  <c r="B8" i="67"/>
  <c r="B10" i="67"/>
  <c r="I7" i="65"/>
  <c r="F10" i="44"/>
  <c r="B13" i="67"/>
  <c r="F8" i="67"/>
  <c r="L47" i="15"/>
  <c r="L49" i="44"/>
  <c r="B12" i="67"/>
  <c r="N4" i="65"/>
  <c r="B9" i="67"/>
  <c r="F12" i="67"/>
  <c r="F38" i="44"/>
  <c r="M25" i="44"/>
  <c r="J3" i="65"/>
  <c r="F9" i="15"/>
  <c r="F26" i="15"/>
  <c r="M26" i="44"/>
  <c r="E11" i="67"/>
  <c r="F11" i="44"/>
  <c r="F18" i="44"/>
  <c r="E8" i="67"/>
  <c r="N6" i="65"/>
  <c r="J6" i="65"/>
  <c r="M11" i="44"/>
  <c r="N7" i="65"/>
  <c r="M24" i="44"/>
  <c r="F42" i="15"/>
  <c r="I4" i="65"/>
  <c r="M24" i="15"/>
  <c r="F13" i="67"/>
  <c r="E13" i="67"/>
  <c r="E9" i="67"/>
  <c r="I6" i="65"/>
  <c r="I3" i="65"/>
  <c r="F40" i="44"/>
  <c r="F8" i="15"/>
  <c r="B11" i="67"/>
  <c r="F46" i="44"/>
  <c r="M8" i="44"/>
  <c r="E12" i="67"/>
  <c r="M31" i="44"/>
  <c r="F43" i="44"/>
  <c r="M30" i="44"/>
  <c r="J4" i="65"/>
  <c r="F43" i="15"/>
  <c r="F10" i="67"/>
  <c r="M6" i="15"/>
  <c r="L48" i="15"/>
  <c r="F9" i="67"/>
  <c r="N5" i="65"/>
  <c r="J5" i="65"/>
  <c r="F45" i="44"/>
  <c r="F11" i="67"/>
  <c r="F38" i="15"/>
  <c r="J17" i="44"/>
  <c r="M26" i="15"/>
  <c r="F36" i="15"/>
  <c r="F15" i="44"/>
  <c r="F9" i="44"/>
  <c r="J51" i="15" l="1"/>
  <c r="E53" i="40"/>
  <c r="F27" i="6"/>
  <c r="AE11" i="46"/>
  <c r="AE13" i="46" s="1"/>
  <c r="AI11" i="46"/>
  <c r="AI13" i="46" s="1"/>
  <c r="AH11" i="46"/>
  <c r="AG11" i="46"/>
  <c r="AG13" i="46" s="1"/>
  <c r="K101" i="46"/>
  <c r="K109" i="46" s="1"/>
  <c r="E101" i="46"/>
  <c r="L101" i="46"/>
  <c r="B113" i="46"/>
  <c r="G101" i="46"/>
  <c r="G104" i="46" s="1"/>
  <c r="AJ11" i="46"/>
  <c r="AJ13" i="46" s="1"/>
  <c r="AC11" i="46"/>
  <c r="M101" i="46"/>
  <c r="F101" i="46"/>
  <c r="F106" i="46" s="1"/>
  <c r="G22" i="46"/>
  <c r="W29" i="39"/>
  <c r="S29" i="39"/>
  <c r="AB29" i="39"/>
  <c r="F100" i="39"/>
  <c r="G100" i="39" s="1"/>
  <c r="H27" i="39"/>
  <c r="AB27" i="39" s="1"/>
  <c r="F27" i="39"/>
  <c r="AA27" i="39" s="1"/>
  <c r="J27" i="39"/>
  <c r="AC27" i="39" s="1"/>
  <c r="U27" i="39"/>
  <c r="S27" i="39"/>
  <c r="AB25" i="39"/>
  <c r="W25" i="39"/>
  <c r="S25" i="39"/>
  <c r="W23" i="39"/>
  <c r="U23" i="39"/>
  <c r="S23" i="39"/>
  <c r="AB19" i="39"/>
  <c r="AA19" i="39"/>
  <c r="AC19" i="39"/>
  <c r="F105" i="46"/>
  <c r="F30" i="6"/>
  <c r="E29" i="6"/>
  <c r="L16" i="4"/>
  <c r="N16" i="4"/>
  <c r="AP7" i="1"/>
  <c r="G8" i="1"/>
  <c r="G12" i="1"/>
  <c r="G9" i="1"/>
  <c r="B20" i="59"/>
  <c r="B19" i="59" s="1"/>
  <c r="B18" i="59" s="1"/>
  <c r="S21" i="59"/>
  <c r="F20" i="59"/>
  <c r="F19" i="59" s="1"/>
  <c r="F18" i="59" s="1"/>
  <c r="F17" i="59" s="1"/>
  <c r="V21" i="59"/>
  <c r="BL5" i="3"/>
  <c r="AZ488" i="3"/>
  <c r="AZ520" i="3"/>
  <c r="F31" i="6"/>
  <c r="L13" i="71" s="1"/>
  <c r="N26" i="71" s="1"/>
  <c r="U18" i="36"/>
  <c r="B118" i="46"/>
  <c r="C118" i="46" s="1"/>
  <c r="D115" i="46"/>
  <c r="E115" i="46" s="1"/>
  <c r="F115" i="46" s="1"/>
  <c r="G115" i="46" s="1"/>
  <c r="H115" i="46" s="1"/>
  <c r="D116" i="46"/>
  <c r="E116" i="46" s="1"/>
  <c r="F116" i="46" s="1"/>
  <c r="G116" i="46" s="1"/>
  <c r="H116" i="46" s="1"/>
  <c r="I116" i="46"/>
  <c r="J116" i="46" s="1"/>
  <c r="K116" i="46" s="1"/>
  <c r="L116" i="46" s="1"/>
  <c r="M116" i="46" s="1"/>
  <c r="L102" i="46"/>
  <c r="C22" i="59"/>
  <c r="AB13" i="46"/>
  <c r="AF13" i="46"/>
  <c r="AD13" i="46"/>
  <c r="N69" i="9"/>
  <c r="R7" i="54"/>
  <c r="B52" i="63" s="1"/>
  <c r="AC18" i="36"/>
  <c r="A3" i="55"/>
  <c r="B56" i="63" s="1"/>
  <c r="E58" i="39"/>
  <c r="A17" i="51"/>
  <c r="B13" i="63" s="1"/>
  <c r="U25" i="33"/>
  <c r="AB11" i="33"/>
  <c r="AC11" i="34"/>
  <c r="AH13" i="46"/>
  <c r="S10" i="35"/>
  <c r="AC41" i="34"/>
  <c r="W31" i="34"/>
  <c r="AB40" i="37"/>
  <c r="W46" i="33"/>
  <c r="W35" i="35"/>
  <c r="AC34" i="36"/>
  <c r="AZ389" i="3"/>
  <c r="AZ404" i="3"/>
  <c r="AZ416" i="3"/>
  <c r="AZ421" i="3"/>
  <c r="AZ440" i="3"/>
  <c r="AZ464" i="3"/>
  <c r="AZ480" i="3"/>
  <c r="AZ368" i="3"/>
  <c r="AZ384" i="3"/>
  <c r="AZ386" i="3"/>
  <c r="AZ218" i="3"/>
  <c r="AZ234" i="3"/>
  <c r="AZ246" i="3"/>
  <c r="AZ250" i="3"/>
  <c r="AZ266" i="3"/>
  <c r="AZ280" i="3"/>
  <c r="H5" i="3"/>
  <c r="AZ396" i="3"/>
  <c r="AZ409" i="3"/>
  <c r="AZ412" i="3"/>
  <c r="AZ429" i="3"/>
  <c r="AZ448" i="3"/>
  <c r="AZ472" i="3"/>
  <c r="AZ210" i="3"/>
  <c r="AZ226" i="3"/>
  <c r="AZ254" i="3"/>
  <c r="AZ258" i="3"/>
  <c r="AZ272" i="3"/>
  <c r="F9" i="36"/>
  <c r="H9" i="36"/>
  <c r="H24" i="36"/>
  <c r="AZ288" i="3"/>
  <c r="AZ296" i="3"/>
  <c r="AZ125" i="3"/>
  <c r="AZ128" i="3"/>
  <c r="AZ141" i="3"/>
  <c r="AZ144" i="3"/>
  <c r="AZ155" i="3"/>
  <c r="AZ168" i="3"/>
  <c r="AZ171" i="3"/>
  <c r="AZ186" i="3"/>
  <c r="AZ194" i="3"/>
  <c r="AZ22" i="3"/>
  <c r="AZ5" i="3" s="1"/>
  <c r="E3" i="6" s="1"/>
  <c r="AZ33" i="3"/>
  <c r="AZ38" i="3"/>
  <c r="AZ49" i="3"/>
  <c r="AZ54" i="3"/>
  <c r="AZ64" i="3"/>
  <c r="AZ69" i="3"/>
  <c r="AZ80" i="3"/>
  <c r="AZ89" i="3"/>
  <c r="AZ100" i="3"/>
  <c r="AZ105" i="3"/>
  <c r="A30" i="64"/>
  <c r="A30" i="51"/>
  <c r="B22" i="63" s="1"/>
  <c r="B37" i="50"/>
  <c r="B2" i="63" s="1"/>
  <c r="Y9" i="59"/>
  <c r="Z9" i="59" s="1"/>
  <c r="X9" i="59"/>
  <c r="AB9" i="59"/>
  <c r="AA9" i="59"/>
  <c r="D53" i="59"/>
  <c r="T53" i="59"/>
  <c r="Y34" i="59"/>
  <c r="Z34" i="59" s="1"/>
  <c r="C35" i="59"/>
  <c r="AA38" i="59"/>
  <c r="E39" i="59"/>
  <c r="E40" i="59" s="1"/>
  <c r="E41" i="59" s="1"/>
  <c r="U41" i="59" s="1"/>
  <c r="X7" i="59"/>
  <c r="X5" i="59"/>
  <c r="X8" i="59"/>
  <c r="X6" i="59"/>
  <c r="X10" i="59"/>
  <c r="X11" i="59"/>
  <c r="X40" i="59"/>
  <c r="AB5" i="59"/>
  <c r="AB7" i="59"/>
  <c r="AB6" i="59"/>
  <c r="AB8" i="59"/>
  <c r="AB10" i="59"/>
  <c r="AB11" i="59"/>
  <c r="AB40" i="59"/>
  <c r="T73" i="59"/>
  <c r="C72" i="59"/>
  <c r="T81" i="59"/>
  <c r="C80" i="59"/>
  <c r="B29" i="59"/>
  <c r="X26" i="59"/>
  <c r="X28" i="59"/>
  <c r="E29" i="59"/>
  <c r="AA3" i="59"/>
  <c r="AA27" i="59"/>
  <c r="AA29" i="59"/>
  <c r="AC12" i="46"/>
  <c r="Z12" i="46"/>
  <c r="Z13" i="46" s="1"/>
  <c r="AA26" i="59"/>
  <c r="AB30" i="59"/>
  <c r="F31" i="59"/>
  <c r="F32" i="59" s="1"/>
  <c r="F33" i="59" s="1"/>
  <c r="V33" i="59" s="1"/>
  <c r="AB3" i="59"/>
  <c r="AB27" i="59"/>
  <c r="Y31" i="59"/>
  <c r="Z31" i="59" s="1"/>
  <c r="Y32" i="59"/>
  <c r="Z32" i="59" s="1"/>
  <c r="Y33" i="59"/>
  <c r="Z33" i="59" s="1"/>
  <c r="X34" i="59"/>
  <c r="B35" i="59"/>
  <c r="B36" i="59" s="1"/>
  <c r="B37" i="59" s="1"/>
  <c r="S37" i="59" s="1"/>
  <c r="X38" i="59"/>
  <c r="AB38" i="59"/>
  <c r="F39" i="59"/>
  <c r="F40" i="59" s="1"/>
  <c r="F41" i="59" s="1"/>
  <c r="V41" i="59" s="1"/>
  <c r="AB39" i="59"/>
  <c r="AA5" i="59"/>
  <c r="AA7" i="59"/>
  <c r="AA6" i="59"/>
  <c r="AA8" i="59"/>
  <c r="AA10" i="59"/>
  <c r="AA11" i="59"/>
  <c r="C48" i="59"/>
  <c r="D48" i="59" s="1"/>
  <c r="D47" i="59"/>
  <c r="Q67" i="59"/>
  <c r="Q66" i="59"/>
  <c r="O69" i="59"/>
  <c r="C68" i="59"/>
  <c r="D85" i="59"/>
  <c r="C84" i="59"/>
  <c r="Y25" i="59"/>
  <c r="Z25" i="59" s="1"/>
  <c r="Y30" i="59"/>
  <c r="Z30" i="59" s="1"/>
  <c r="X31" i="59"/>
  <c r="AA32" i="59"/>
  <c r="X33" i="59"/>
  <c r="AA34" i="59"/>
  <c r="AB35" i="59"/>
  <c r="Y36" i="59"/>
  <c r="Z36" i="59" s="1"/>
  <c r="AB37" i="59"/>
  <c r="Y38" i="59"/>
  <c r="Z38" i="59" s="1"/>
  <c r="Y8" i="59"/>
  <c r="Z8" i="59" s="1"/>
  <c r="Y5" i="59"/>
  <c r="Z5" i="59" s="1"/>
  <c r="Y7" i="59"/>
  <c r="Z7" i="59" s="1"/>
  <c r="Y6" i="59"/>
  <c r="Z6" i="59" s="1"/>
  <c r="Y10" i="59"/>
  <c r="Z10" i="59" s="1"/>
  <c r="Y11" i="59"/>
  <c r="Z11" i="59" s="1"/>
  <c r="A28" i="64"/>
  <c r="U25" i="59"/>
  <c r="F28" i="59"/>
  <c r="F27" i="59" s="1"/>
  <c r="C29" i="59"/>
  <c r="X25" i="59"/>
  <c r="X22" i="59"/>
  <c r="Y24" i="59"/>
  <c r="Z24" i="59" s="1"/>
  <c r="AB24" i="59"/>
  <c r="X19" i="59"/>
  <c r="X18" i="59"/>
  <c r="Y18" i="59"/>
  <c r="Z18" i="59" s="1"/>
  <c r="AA15" i="59"/>
  <c r="AB18" i="59"/>
  <c r="X15" i="59"/>
  <c r="AB25" i="59"/>
  <c r="X24" i="59"/>
  <c r="AA24" i="59"/>
  <c r="AA19" i="59"/>
  <c r="X13" i="59"/>
  <c r="Y15" i="59"/>
  <c r="Z15" i="59" s="1"/>
  <c r="AB15" i="59"/>
  <c r="AA22" i="59"/>
  <c r="Y19" i="59"/>
  <c r="Z19" i="59" s="1"/>
  <c r="AB19" i="59"/>
  <c r="AA16" i="59"/>
  <c r="X17" i="59"/>
  <c r="AA14" i="59"/>
  <c r="X12" i="59"/>
  <c r="X14" i="59"/>
  <c r="AB12" i="59"/>
  <c r="Y13" i="59"/>
  <c r="Z13" i="59" s="1"/>
  <c r="Y14" i="59"/>
  <c r="Z14" i="59" s="1"/>
  <c r="AB16" i="59"/>
  <c r="AA18" i="59"/>
  <c r="AA12" i="59"/>
  <c r="AA13" i="59"/>
  <c r="AB13" i="59"/>
  <c r="AB14" i="59"/>
  <c r="Y12" i="59"/>
  <c r="Z12"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J1" i="65"/>
  <c r="F50" i="15"/>
  <c r="C27"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F63" i="15"/>
  <c r="C4" i="65"/>
  <c r="B39" i="1" s="1"/>
  <c r="C19" i="44"/>
  <c r="J36" i="15"/>
  <c r="E3" i="65"/>
  <c r="F40" i="15"/>
  <c r="E2" i="65"/>
  <c r="F7" i="15"/>
  <c r="F6" i="15"/>
  <c r="J15" i="15"/>
  <c r="C18" i="44"/>
  <c r="F37" i="15"/>
  <c r="M29" i="15"/>
  <c r="C17" i="15"/>
  <c r="M28" i="15"/>
  <c r="M8" i="15"/>
  <c r="C16" i="15"/>
  <c r="AC13" i="46" l="1"/>
  <c r="K104" i="46"/>
  <c r="F107" i="46"/>
  <c r="F104" i="46"/>
  <c r="I115" i="46"/>
  <c r="D117" i="46"/>
  <c r="E117" i="46" s="1"/>
  <c r="F117" i="46" s="1"/>
  <c r="G117" i="46" s="1"/>
  <c r="H117" i="46" s="1"/>
  <c r="I118" i="46"/>
  <c r="J118" i="46" s="1"/>
  <c r="K118" i="46" s="1"/>
  <c r="L118" i="46" s="1"/>
  <c r="M118" i="46" s="1"/>
  <c r="G118" i="46"/>
  <c r="H118" i="46" s="1"/>
  <c r="E106" i="46"/>
  <c r="E105" i="46"/>
  <c r="G103" i="46"/>
  <c r="G106" i="46"/>
  <c r="G107" i="46"/>
  <c r="L105" i="46"/>
  <c r="L109" i="46"/>
  <c r="L107" i="46"/>
  <c r="K103" i="46"/>
  <c r="K107" i="46"/>
  <c r="W27" i="39"/>
  <c r="S3" i="46"/>
  <c r="E16" i="6"/>
  <c r="F64" i="15"/>
  <c r="F49" i="15"/>
  <c r="C48" i="15" s="1"/>
  <c r="M7" i="15"/>
  <c r="M17" i="15" s="1"/>
  <c r="Q72" i="15"/>
  <c r="F67" i="15"/>
  <c r="F31" i="15"/>
  <c r="C6" i="15"/>
  <c r="D16" i="43"/>
  <c r="C16" i="43" s="1"/>
  <c r="D46" i="9"/>
  <c r="C21" i="4"/>
  <c r="O5" i="54" s="1"/>
  <c r="B45" i="63" s="1"/>
  <c r="L38" i="9"/>
  <c r="B14" i="66" s="1"/>
  <c r="B1" i="66" s="1"/>
  <c r="D45" i="9"/>
  <c r="D44" i="9"/>
  <c r="E6" i="6"/>
  <c r="D16" i="12"/>
  <c r="D19" i="12" s="1"/>
  <c r="C19" i="12" s="1"/>
  <c r="B16" i="59"/>
  <c r="B15" i="59" s="1"/>
  <c r="B14" i="59" s="1"/>
  <c r="B13" i="59" s="1"/>
  <c r="S17" i="59"/>
  <c r="D29" i="59"/>
  <c r="T29" i="59"/>
  <c r="C28" i="59"/>
  <c r="D84" i="59"/>
  <c r="C83" i="59"/>
  <c r="D83" i="59" s="1"/>
  <c r="O68" i="59"/>
  <c r="C67" i="59"/>
  <c r="D68" i="59"/>
  <c r="B28" i="59"/>
  <c r="B27" i="59" s="1"/>
  <c r="S29" i="59"/>
  <c r="AB24" i="36"/>
  <c r="U24" i="36"/>
  <c r="AA9" i="36"/>
  <c r="S9" i="36"/>
  <c r="C21" i="59"/>
  <c r="D22" i="59"/>
  <c r="E16" i="59"/>
  <c r="E15" i="59" s="1"/>
  <c r="E14" i="59" s="1"/>
  <c r="E13" i="59" s="1"/>
  <c r="U17" i="59"/>
  <c r="U29" i="59"/>
  <c r="E28" i="59"/>
  <c r="E27" i="59" s="1"/>
  <c r="C79" i="59"/>
  <c r="D79" i="59" s="1"/>
  <c r="D80" i="59"/>
  <c r="D72" i="59"/>
  <c r="C71" i="59"/>
  <c r="D71" i="59" s="1"/>
  <c r="D35" i="59"/>
  <c r="C36" i="59"/>
  <c r="AB9" i="36"/>
  <c r="U9" i="36"/>
  <c r="M86" i="9"/>
  <c r="N86" i="9" s="1"/>
  <c r="M84" i="9"/>
  <c r="N84" i="9" s="1"/>
  <c r="M88" i="9"/>
  <c r="N88" i="9" s="1"/>
  <c r="M87" i="9"/>
  <c r="N87" i="9" s="1"/>
  <c r="M85" i="9"/>
  <c r="N85" i="9" s="1"/>
  <c r="M83" i="9"/>
  <c r="N83" i="9" s="1"/>
  <c r="N89" i="9" s="1"/>
  <c r="O89" i="9" s="1"/>
  <c r="F16" i="59"/>
  <c r="F15" i="59" s="1"/>
  <c r="F14" i="59" s="1"/>
  <c r="F13" i="59" s="1"/>
  <c r="V17" i="59"/>
  <c r="C7" i="46"/>
  <c r="G5" i="3"/>
  <c r="B3" i="3" s="1"/>
  <c r="F21" i="43"/>
  <c r="F33" i="12"/>
  <c r="C34" i="12" s="1"/>
  <c r="D33" i="12" s="1"/>
  <c r="S21" i="6"/>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F7" i="34"/>
  <c r="AA7" i="34" s="1"/>
  <c r="R49" i="34" s="1"/>
  <c r="J7" i="34"/>
  <c r="W7" i="34" s="1"/>
  <c r="G16" i="1"/>
  <c r="J12" i="40" s="1"/>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F1" i="15"/>
  <c r="Q53" i="15"/>
  <c r="Q61" i="15"/>
  <c r="Q74" i="15"/>
  <c r="AE6" i="1"/>
  <c r="S2" i="46" l="1"/>
  <c r="S4" i="46"/>
  <c r="S6" i="46"/>
  <c r="S5" i="46"/>
  <c r="S7" i="46"/>
  <c r="T7" i="46" s="1"/>
  <c r="V7" i="46" s="1"/>
  <c r="J115" i="46"/>
  <c r="K115" i="46" s="1"/>
  <c r="L115" i="46" s="1"/>
  <c r="M115" i="46" s="1"/>
  <c r="C16" i="12"/>
  <c r="J6" i="15"/>
  <c r="J18" i="15" s="1"/>
  <c r="V13" i="59"/>
  <c r="F12" i="59"/>
  <c r="F11" i="59" s="1"/>
  <c r="C20" i="59"/>
  <c r="T21" i="59"/>
  <c r="D21" i="59"/>
  <c r="D67" i="59"/>
  <c r="O67" i="59"/>
  <c r="O66" i="59"/>
  <c r="C27" i="59"/>
  <c r="D27" i="59" s="1"/>
  <c r="D28" i="59"/>
  <c r="C37" i="59"/>
  <c r="D36" i="59"/>
  <c r="C7" i="66"/>
  <c r="C8" i="66"/>
  <c r="C6"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69" i="39"/>
  <c r="E71" i="39"/>
  <c r="G52" i="21"/>
  <c r="H52" i="21" s="1"/>
  <c r="G53" i="21"/>
  <c r="H53" i="21" s="1"/>
  <c r="I53" i="34"/>
  <c r="J53" i="34" s="1"/>
  <c r="R50" i="34"/>
  <c r="E49" i="34"/>
  <c r="I52" i="33"/>
  <c r="J52" i="33" s="1"/>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47" i="15" s="1"/>
  <c r="C10" i="15"/>
  <c r="C5" i="15" s="1"/>
  <c r="C20" i="11"/>
  <c r="C21" i="11" s="1"/>
  <c r="C22" i="11" s="1"/>
  <c r="C23" i="11" s="1"/>
  <c r="B2" i="11" s="1"/>
  <c r="F41" i="15"/>
  <c r="J5" i="15" l="1"/>
  <c r="J24" i="15" s="1"/>
  <c r="D113" i="46"/>
  <c r="F68" i="15"/>
  <c r="D37" i="59"/>
  <c r="T37" i="59"/>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E29" i="46"/>
  <c r="C65" i="15"/>
  <c r="C59" i="15"/>
  <c r="B5" i="11"/>
  <c r="B3" i="11"/>
  <c r="B4" i="11"/>
  <c r="J26" i="15"/>
  <c r="J29" i="15" s="1"/>
  <c r="C38" i="15"/>
  <c r="Q58" i="44"/>
  <c r="Q67" i="44"/>
  <c r="Q49" i="44"/>
  <c r="Q55" i="44" s="1"/>
  <c r="C14" i="15"/>
  <c r="C16" i="44"/>
  <c r="F7" i="67"/>
  <c r="E6" i="3" l="1"/>
  <c r="C18" i="59"/>
  <c r="D19"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H27" i="6" l="1"/>
  <c r="R26" i="6"/>
  <c r="C17" i="59"/>
  <c r="D18" i="59"/>
  <c r="F7" i="59"/>
  <c r="B8" i="59"/>
  <c r="E8" i="59"/>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4" i="40"/>
  <c r="H66" i="40"/>
  <c r="H71" i="39"/>
  <c r="I69" i="39"/>
  <c r="N46" i="36"/>
  <c r="E3" i="67"/>
  <c r="B2" i="67"/>
  <c r="D4" i="46"/>
  <c r="B3" i="46"/>
  <c r="B4" i="46"/>
  <c r="F37" i="44"/>
  <c r="F35" i="15"/>
  <c r="M21" i="15"/>
  <c r="M23" i="44"/>
  <c r="C16" i="59" l="1"/>
  <c r="T17" i="59"/>
  <c r="D17" i="59"/>
  <c r="E7" i="59"/>
  <c r="B7" i="59"/>
  <c r="F6" i="59"/>
  <c r="I6" i="6"/>
  <c r="I5" i="6"/>
  <c r="J22" i="44"/>
  <c r="J20" i="15"/>
  <c r="F62" i="15"/>
  <c r="C61" i="15" s="1"/>
  <c r="C34" i="15"/>
  <c r="C36" i="44"/>
  <c r="R16" i="1"/>
  <c r="C18" i="43"/>
  <c r="C18" i="12"/>
  <c r="C23" i="12" s="1"/>
  <c r="O46" i="36"/>
  <c r="J7" i="36" s="1"/>
  <c r="F7" i="36"/>
  <c r="H7" i="36"/>
  <c r="J64" i="40"/>
  <c r="I66" i="40"/>
  <c r="J69" i="39"/>
  <c r="I71" i="39"/>
  <c r="B3" i="67"/>
  <c r="B4" i="67"/>
  <c r="D16" i="59" l="1"/>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C12" i="59" l="1"/>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M25" i="71"/>
  <c r="O25" i="71" s="1"/>
  <c r="D7" i="59"/>
  <c r="C6" i="59"/>
  <c r="B5" i="39"/>
  <c r="B4" i="39"/>
  <c r="B3" i="39"/>
  <c r="B5" i="40"/>
  <c r="B4" i="40"/>
  <c r="B3" i="40"/>
  <c r="C21" i="9"/>
  <c r="C20" i="9"/>
  <c r="M26" i="71" l="1"/>
  <c r="Q28" i="71"/>
  <c r="O26" i="71"/>
  <c r="D6" i="59"/>
  <c r="C5" i="59"/>
  <c r="F20" i="43"/>
  <c r="D20" i="43" s="1"/>
  <c r="F26" i="12"/>
  <c r="F26" i="44"/>
  <c r="F24" i="15"/>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C63" i="15"/>
  <c r="C57" i="15" s="1"/>
  <c r="C66" i="15" s="1"/>
  <c r="C67" i="15" s="1"/>
  <c r="C70" i="15" s="1"/>
  <c r="C39" i="44"/>
  <c r="C32" i="44" s="1"/>
  <c r="C42" i="44" s="1"/>
  <c r="C43" i="44"/>
  <c r="J15" i="44"/>
  <c r="J25" i="44" s="1"/>
  <c r="J18" i="44" s="1"/>
  <c r="J27" i="44" s="1"/>
  <c r="J16" i="15"/>
  <c r="J25" i="15" s="1"/>
  <c r="L51" i="15"/>
  <c r="Q70" i="15" l="1"/>
  <c r="Q69" i="15" s="1"/>
  <c r="C40" i="15"/>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C6" i="12"/>
  <c r="Q76" i="15"/>
  <c r="Q69" i="44"/>
  <c r="Q59" i="44"/>
  <c r="Q64" i="44" s="1"/>
  <c r="Q68" i="44"/>
  <c r="Q77" i="44" s="1"/>
  <c r="C24" i="12" l="1"/>
  <c r="C29" i="12"/>
  <c r="C35" i="12" l="1"/>
  <c r="C33" i="12" s="1"/>
  <c r="C28" i="12"/>
  <c r="C26" i="12" s="1"/>
  <c r="C31" i="12" s="1"/>
  <c r="C30" i="12" s="1"/>
  <c r="C36" i="12" l="1"/>
  <c r="B2" i="12" s="1"/>
  <c r="B3" i="12" s="1"/>
  <c r="D19" i="9"/>
  <c r="D20" i="9"/>
  <c r="B4" i="12" l="1"/>
  <c r="L44" i="9"/>
  <c r="D22" i="9"/>
  <c r="G19" i="9"/>
  <c r="N43" i="9" s="1"/>
  <c r="B5" i="12"/>
  <c r="G20" i="9"/>
  <c r="D21" i="9"/>
  <c r="G22" i="9" l="1"/>
  <c r="C32" i="9"/>
  <c r="O38" i="9" s="1"/>
  <c r="G21" i="9"/>
  <c r="O43" i="9"/>
  <c r="C35" i="9" l="1"/>
  <c r="F42" i="9" s="1"/>
  <c r="C34" i="9"/>
  <c r="M38" i="9" s="1"/>
  <c r="K27" i="9" s="1"/>
  <c r="C33" i="9"/>
  <c r="D42" i="9" s="1"/>
  <c r="Q5" i="54" s="1"/>
  <c r="B47" i="63" s="1"/>
  <c r="C42" i="9"/>
  <c r="R5" i="54" s="1"/>
  <c r="B48" i="63" s="1"/>
  <c r="K25" i="9"/>
  <c r="K26" i="9"/>
  <c r="N38" i="9" l="1"/>
  <c r="K28" i="9" s="1"/>
  <c r="N68" i="9"/>
  <c r="D63" i="9"/>
  <c r="C111" i="9" s="1"/>
  <c r="C104" i="9" s="1"/>
  <c r="E42" i="9"/>
  <c r="P5" i="54" s="1"/>
  <c r="B46" i="63" s="1"/>
  <c r="D14" i="66"/>
  <c r="F14" i="66" s="1"/>
  <c r="D70" i="9" l="1"/>
  <c r="B5" i="66"/>
  <c r="D5" i="66" s="1"/>
  <c r="C82" i="9"/>
  <c r="C81" i="9" s="1"/>
  <c r="C85" i="9" s="1"/>
  <c r="C86" i="9" s="1"/>
  <c r="D72" i="9" s="1"/>
  <c r="C90" i="9"/>
  <c r="E14" i="66"/>
  <c r="C103" i="9"/>
  <c r="C96" i="9"/>
  <c r="C91" i="9" s="1"/>
  <c r="D73" i="9"/>
  <c r="N73" i="9" s="1"/>
  <c r="D71" i="9"/>
  <c r="D66" i="9" s="1"/>
  <c r="N72" i="9" s="1"/>
  <c r="C113" i="9"/>
  <c r="C114" i="9" s="1"/>
  <c r="E114" i="9" s="1"/>
  <c r="E115" i="9" s="1"/>
  <c r="C5" i="66" l="1"/>
  <c r="C97" i="9"/>
  <c r="C98" i="9" s="1"/>
  <c r="E98" i="9" s="1"/>
  <c r="E99" i="9" s="1"/>
  <c r="C115" i="9"/>
  <c r="D76" i="9" s="1"/>
  <c r="D74" i="9" s="1"/>
  <c r="N74" i="9" s="1"/>
  <c r="O77" i="9" s="1"/>
  <c r="O78" i="9" s="1"/>
  <c r="C99" i="9" l="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<sst xmlns="http://schemas.openxmlformats.org/spreadsheetml/2006/main" count="7475" uniqueCount="3313">
  <si>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</si>
  <si>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</si>
  <si>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</si>
  <si>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</si>
  <si>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</si>
  <si>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</si>
  <si>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</si>
  <si>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</si>
  <si>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</si>
  <si>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</si>
  <si>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</si>
  <si>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</si>
  <si>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</si>
  <si>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</si>
  <si>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</si>
  <si>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</si>
  <si>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</si>
  <si>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</si>
  <si>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</si>
  <si>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</si>
  <si>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</si>
  <si>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</si>
  <si>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</si>
  <si>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</si>
  <si>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</si>
  <si>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</si>
  <si>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</si>
  <si>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</si>
  <si>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</si>
  <si>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</si>
  <si>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</si>
  <si>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</si>
  <si>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</si>
  <si>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</si>
  <si>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</si>
  <si>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</si>
  <si>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</si>
  <si>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</si>
  <si>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</si>
  <si>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</si>
  <si>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</si>
  <si>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</si>
  <si>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</si>
  <si>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</si>
  <si>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</si>
  <si>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</si>
  <si>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</si>
  <si>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</si>
  <si>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</si>
  <si>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</si>
  <si>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</si>
  <si>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</si>
  <si>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</si>
  <si>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</si>
  <si>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</si>
  <si>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</si>
  <si>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</si>
  <si>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</si>
  <si>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</si>
  <si>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</si>
  <si>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</si>
  <si>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</si>
  <si>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</si>
  <si>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</si>
  <si>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</si>
  <si>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</si>
  <si>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</si>
  <si>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</si>
  <si>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</si>
  <si>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</si>
  <si>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</si>
  <si>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</si>
  <si>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</si>
  <si>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</si>
  <si>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</si>
  <si>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</si>
  <si>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</si>
  <si>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</si>
  <si>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</si>
  <si>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</si>
  <si>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</si>
  <si>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</si>
  <si>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</si>
  <si>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</si>
  <si>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</si>
  <si>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</si>
  <si>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</si>
  <si>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</si>
  <si>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</si>
  <si>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</si>
  <si>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</si>
  <si>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</si>
  <si>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</si>
  <si>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</si>
  <si>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</si>
  <si>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</si>
  <si>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</si>
  <si>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</si>
  <si>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</si>
  <si>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</si>
  <si>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</si>
  <si>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</si>
  <si>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</si>
  <si>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</si>
  <si>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</si>
  <si>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</si>
  <si>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</si>
  <si>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</si>
  <si>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</si>
  <si>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</si>
  <si>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</si>
  <si>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</si>
  <si>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</si>
  <si>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</si>
  <si>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</si>
  <si>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</si>
  <si>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</si>
  <si>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</si>
  <si>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</si>
  <si>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</si>
  <si>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</si>
  <si>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</si>
  <si>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</si>
  <si>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</si>
  <si>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</si>
  <si>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</si>
  <si>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</si>
  <si>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</si>
  <si>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</si>
  <si>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</si>
  <si>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</si>
  <si>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</si>
  <si>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</si>
  <si>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</si>
  <si>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</si>
  <si>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</si>
  <si>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</si>
  <si>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</si>
  <si>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</si>
  <si>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</si>
  <si>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</si>
  <si>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</si>
  <si>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</si>
  <si>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</si>
  <si>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</si>
  <si>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</si>
  <si>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</si>
  <si>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</si>
  <si>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</si>
  <si>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</si>
  <si>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</si>
  <si>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</si>
  <si>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</si>
  <si>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</si>
  <si>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</si>
  <si>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</si>
  <si>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</si>
  <si>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</si>
  <si>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</si>
  <si>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</si>
  <si>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</si>
  <si>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</si>
  <si>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</si>
  <si>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</si>
  <si>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</si>
  <si>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</si>
  <si>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</si>
  <si>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</si>
  <si>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</si>
  <si>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</si>
  <si>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</si>
  <si>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</si>
  <si>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</si>
  <si>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</si>
  <si>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</si>
  <si>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</si>
  <si>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</si>
  <si>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</si>
  <si>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</si>
  <si>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</si>
  <si>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</si>
  <si>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</si>
  <si>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</si>
  <si>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</si>
  <si>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</si>
  <si>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</si>
  <si>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</si>
  <si>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</si>
  <si>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</si>
  <si>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</si>
  <si>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</si>
  <si>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</si>
  <si>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</si>
  <si>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</si>
  <si>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</si>
  <si>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</si>
  <si>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</si>
  <si>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</si>
  <si>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</si>
  <si>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</si>
  <si>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</si>
  <si>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</si>
  <si>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</si>
  <si>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</si>
  <si>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</si>
  <si>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</si>
  <si>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</si>
  <si>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</si>
  <si>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</si>
  <si>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</si>
  <si>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</si>
  <si>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</si>
  <si>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</si>
  <si>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</si>
  <si>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</si>
  <si>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</si>
  <si>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</si>
  <si>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</si>
  <si>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</si>
  <si>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</si>
  <si>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</si>
  <si>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</si>
  <si>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</si>
  <si>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</si>
  <si>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</si>
  <si>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</si>
  <si>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</si>
  <si>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</si>
  <si>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</si>
  <si>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</si>
  <si>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</si>
  <si>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</si>
  <si>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</si>
  <si>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</si>
  <si>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</si>
  <si>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</si>
  <si>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</si>
  <si>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</si>
  <si>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</si>
  <si>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</si>
  <si>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</si>
  <si>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</si>
  <si>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</si>
  <si>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</si>
  <si>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</si>
  <si>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</si>
  <si>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</si>
  <si>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</si>
  <si>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</si>
  <si>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</si>
  <si>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</si>
  <si>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</si>
  <si>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</si>
  <si>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</si>
  <si>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</si>
  <si>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</si>
  <si>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</si>
  <si>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</si>
  <si>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</si>
  <si>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</si>
  <si>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</si>
  <si>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</si>
  <si>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</si>
  <si>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</si>
  <si>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</si>
  <si>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</si>
  <si>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</si>
  <si>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</si>
  <si>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</si>
  <si>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</si>
  <si>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</si>
  <si>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</si>
  <si>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</si>
  <si>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</si>
  <si>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</si>
  <si>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</si>
  <si>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</si>
  <si>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</si>
  <si>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</si>
  <si>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</si>
  <si>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</si>
  <si>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</si>
  <si>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</si>
  <si>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</si>
  <si>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</si>
  <si>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</si>
  <si>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</si>
  <si>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</si>
  <si>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</si>
  <si>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</si>
  <si>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</si>
  <si>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</si>
  <si>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</si>
  <si>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</si>
  <si>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</si>
  <si>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</si>
  <si>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</si>
  <si>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</si>
  <si>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</si>
  <si>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</si>
  <si>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</si>
  <si>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</si>
  <si>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</si>
  <si>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</si>
  <si>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</si>
  <si>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</si>
  <si>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</si>
  <si>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</si>
  <si>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</si>
  <si>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</si>
  <si>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</si>
  <si>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</si>
  <si>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</si>
  <si>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</si>
  <si>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</si>
  <si>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</si>
  <si>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</si>
  <si>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</si>
  <si>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</si>
  <si>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</si>
  <si>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</si>
  <si>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</si>
  <si>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</si>
  <si>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</si>
  <si>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</si>
  <si>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</si>
  <si>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</si>
  <si>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</si>
  <si>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</si>
  <si>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</si>
  <si>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</si>
  <si>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</si>
  <si>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</si>
  <si>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</si>
  <si>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</si>
  <si>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</si>
  <si>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</si>
  <si>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</si>
  <si>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</si>
  <si>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</si>
  <si>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</si>
  <si>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</si>
  <si>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</si>
  <si>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</si>
  <si>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</si>
  <si>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</si>
  <si>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</si>
  <si>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</si>
  <si>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</si>
  <si>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</si>
  <si>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</si>
  <si>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</si>
  <si>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</si>
  <si>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</si>
  <si>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</si>
  <si>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</si>
  <si>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</si>
  <si>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</si>
  <si>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</si>
  <si>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</si>
  <si>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</si>
  <si>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</si>
  <si>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</si>
  <si>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</si>
  <si>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</si>
  <si>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</si>
  <si>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</si>
  <si>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</si>
  <si>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</si>
  <si>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</si>
  <si>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</si>
  <si>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</si>
  <si>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</si>
  <si>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</si>
  <si>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</si>
  <si>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</si>
  <si>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</si>
  <si>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</si>
  <si>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</si>
  <si>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</si>
  <si>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</si>
  <si>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</si>
  <si>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</si>
  <si>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</si>
  <si>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</si>
  <si>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</si>
  <si>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</si>
  <si>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</si>
  <si>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</si>
  <si>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</si>
  <si>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</si>
  <si>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</si>
  <si>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</si>
  <si>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</si>
  <si>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</si>
  <si>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</si>
  <si>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</si>
  <si>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</si>
  <si>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</si>
  <si>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</si>
  <si>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</si>
  <si>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</si>
  <si>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</si>
  <si>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</si>
  <si>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</si>
  <si>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</si>
  <si>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</si>
  <si>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</si>
  <si>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</si>
  <si>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</si>
  <si>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</si>
  <si>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</si>
  <si>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</si>
  <si>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</si>
  <si>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</si>
  <si>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</si>
  <si>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</si>
  <si>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</si>
  <si>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</si>
  <si>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</si>
  <si>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</si>
  <si>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</si>
  <si>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</si>
  <si>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</si>
  <si>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</si>
  <si>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</si>
  <si>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</si>
  <si>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</si>
  <si>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</si>
  <si>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</si>
  <si>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</si>
  <si>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</si>
  <si>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</si>
  <si>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</si>
  <si>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</si>
  <si>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</si>
  <si>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</si>
  <si>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</si>
  <si>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</si>
  <si>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</si>
  <si>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</si>
  <si>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</si>
  <si>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</si>
  <si>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</si>
  <si>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</si>
  <si>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</si>
  <si>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</si>
  <si>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</si>
  <si>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</si>
  <si>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</si>
  <si>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</si>
  <si>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</si>
  <si>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</si>
  <si>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</si>
  <si>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</si>
  <si>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</si>
  <si>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</si>
  <si>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</si>
  <si>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</si>
  <si>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</si>
  <si>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</si>
  <si>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</si>
  <si>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</si>
  <si>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</si>
  <si>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</si>
  <si>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</si>
  <si>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</si>
  <si>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</si>
  <si>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</si>
  <si>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</si>
  <si>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</si>
  <si>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</si>
  <si>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</si>
  <si>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</si>
  <si>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</si>
  <si>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</si>
  <si>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</si>
  <si>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</si>
  <si>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</si>
  <si>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</si>
  <si>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</si>
  <si>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</si>
  <si>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</si>
  <si>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</si>
  <si>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</si>
  <si>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</si>
  <si>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</si>
  <si>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</si>
  <si>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</si>
  <si>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</si>
  <si>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</si>
  <si>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</si>
  <si>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</si>
  <si>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</si>
  <si>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</si>
  <si>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</si>
  <si>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</si>
  <si>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</si>
  <si>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</si>
  <si>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</si>
  <si>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</si>
  <si>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</si>
  <si>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</si>
  <si>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</si>
  <si>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</si>
  <si>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</si>
  <si>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</si>
  <si>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</si>
  <si>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</si>
  <si>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</si>
  <si>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</si>
  <si>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</si>
  <si>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</si>
  <si>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</si>
  <si>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</si>
  <si>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</si>
  <si>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</si>
  <si>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</si>
  <si>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</si>
  <si>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</si>
  <si>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</si>
  <si>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</si>
  <si>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</si>
  <si>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</si>
  <si>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</si>
  <si>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</si>
  <si>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</si>
  <si>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</si>
  <si>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</si>
  <si>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</si>
  <si>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</si>
  <si>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</si>
  <si>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</si>
  <si>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</si>
  <si>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</si>
  <si>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</si>
  <si>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</si>
  <si>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</si>
  <si>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</si>
  <si>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</si>
  <si>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</si>
  <si>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</si>
  <si>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</si>
  <si>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</si>
  <si>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</si>
  <si>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</si>
  <si>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</si>
  <si>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</si>
  <si>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</si>
  <si>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</si>
  <si>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</si>
  <si>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</si>
  <si>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</si>
  <si>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</si>
  <si>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</si>
  <si>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</si>
  <si>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</si>
  <si>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</si>
  <si>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</si>
  <si>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</si>
  <si>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</si>
  <si>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</si>
  <si>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</si>
  <si>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</si>
  <si>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</si>
  <si>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</si>
  <si>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</si>
  <si>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</si>
  <si>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</si>
  <si>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</si>
  <si>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</si>
  <si>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</si>
  <si>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</si>
  <si>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</si>
  <si>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</si>
  <si>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</si>
  <si>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</si>
  <si>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</si>
  <si>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</si>
  <si>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</si>
  <si>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</si>
  <si>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</si>
  <si>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</si>
  <si>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</si>
  <si>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</si>
  <si>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</si>
  <si>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</si>
  <si>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</si>
  <si>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</si>
  <si>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</si>
  <si>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</si>
  <si>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</si>
  <si>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</si>
  <si>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</si>
  <si>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</si>
  <si>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</si>
  <si>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</si>
  <si>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</si>
  <si>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</si>
  <si>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</si>
  <si>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</si>
  <si>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</si>
  <si>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</si>
  <si>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</si>
  <si>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</si>
  <si>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</si>
  <si>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</si>
  <si>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</si>
  <si>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</si>
  <si>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</si>
  <si>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</si>
  <si>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</si>
  <si>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</si>
  <si>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</si>
  <si>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</si>
  <si>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</si>
  <si>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</si>
  <si>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</si>
  <si>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</si>
  <si>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</si>
  <si>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</si>
  <si>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</si>
  <si>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</si>
  <si>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</si>
  <si>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</si>
  <si>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</si>
  <si>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</si>
  <si>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</si>
  <si>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</si>
  <si>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</si>
  <si>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</si>
  <si>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</si>
  <si>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</si>
  <si>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</si>
  <si>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</si>
  <si>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</si>
  <si>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</si>
  <si>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</si>
  <si>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</si>
  <si>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</si>
  <si>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</si>
  <si>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</si>
  <si>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</si>
  <si>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</si>
  <si>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</si>
  <si>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</si>
  <si>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</si>
  <si>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</si>
  <si>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</si>
  <si>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</si>
  <si>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</si>
  <si>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</si>
  <si>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</si>
  <si>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</si>
  <si>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</si>
  <si>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</si>
  <si>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</si>
  <si>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</si>
  <si>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</si>
  <si>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</si>
  <si>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</si>
  <si>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</si>
  <si>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</si>
  <si>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</si>
  <si>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</si>
  <si>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</si>
  <si>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</si>
  <si>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</si>
  <si>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</si>
  <si>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</si>
  <si>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</si>
  <si>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</si>
  <si>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</si>
  <si>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</si>
  <si>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</si>
  <si>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</si>
  <si>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</si>
  <si>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</si>
  <si>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</si>
  <si>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</si>
  <si>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</si>
  <si>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</si>
  <si>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</si>
  <si>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</si>
  <si>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</si>
  <si>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</si>
  <si>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</si>
  <si>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</si>
  <si>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</si>
  <si>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</si>
  <si>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</si>
  <si>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</si>
  <si>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</si>
  <si>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</si>
  <si>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</si>
  <si>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</si>
  <si>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</si>
  <si>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</si>
  <si>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</si>
  <si>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</si>
  <si>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</si>
  <si>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</si>
  <si>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</si>
  <si>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</si>
  <si>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</si>
  <si>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</si>
  <si>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</si>
  <si>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</si>
  <si>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</si>
  <si>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</si>
  <si>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</si>
  <si>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</si>
  <si>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</si>
  <si>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</si>
  <si>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</si>
  <si>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</si>
  <si>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</si>
  <si>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</si>
  <si>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</si>
  <si>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</si>
  <si>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</si>
  <si>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</si>
  <si>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</si>
  <si>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</si>
  <si>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</si>
  <si>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</si>
  <si>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</si>
  <si>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</si>
  <si>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</si>
  <si>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</si>
  <si>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</si>
  <si>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</si>
  <si>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</si>
  <si>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</si>
  <si>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</si>
  <si>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</si>
  <si>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</si>
  <si>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</si>
  <si>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</si>
  <si>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</si>
  <si>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</si>
  <si>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</si>
  <si>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</si>
  <si>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</si>
  <si>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</si>
  <si>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</si>
  <si>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</si>
  <si>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</si>
  <si>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</si>
  <si>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</si>
  <si>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</si>
  <si>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</si>
  <si>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</si>
  <si>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</si>
  <si>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</si>
  <si>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</si>
  <si>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</si>
  <si>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</si>
  <si>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</si>
  <si>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</si>
  <si>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</si>
  <si>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</si>
  <si>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</si>
  <si>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</si>
  <si>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</si>
  <si>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</si>
  <si>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</si>
  <si>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</si>
  <si>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</si>
  <si>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</si>
  <si>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</si>
  <si>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</si>
  <si>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</si>
  <si>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</si>
  <si>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</si>
  <si>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</si>
  <si>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</si>
  <si>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</si>
  <si>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</si>
  <si>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</si>
  <si>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</si>
  <si>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</si>
  <si>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</si>
  <si>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</si>
  <si>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</si>
  <si>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</si>
  <si>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</si>
  <si>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</si>
  <si>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</si>
  <si>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</si>
  <si>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</si>
  <si>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</si>
  <si>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</si>
  <si>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</si>
  <si>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</si>
  <si>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</si>
  <si>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</si>
  <si>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</si>
  <si>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</si>
  <si>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</si>
  <si>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</si>
  <si>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</si>
  <si>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</si>
  <si>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</si>
  <si>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</si>
  <si>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</si>
  <si>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</si>
  <si>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</si>
  <si>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</si>
  <si>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</si>
  <si>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</si>
  <si>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</si>
  <si>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</si>
  <si>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</si>
  <si>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</si>
  <si>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</si>
  <si>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</si>
  <si>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</si>
  <si>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</si>
  <si>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</si>
  <si>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</si>
  <si>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</si>
  <si>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</si>
  <si>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</si>
  <si>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</si>
  <si>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</si>
  <si>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</si>
  <si>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</si>
  <si>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</si>
  <si>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</si>
  <si>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</si>
  <si>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</si>
  <si>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</si>
  <si>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</si>
  <si>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</si>
  <si>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</si>
  <si>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</si>
  <si>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</si>
  <si>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</si>
  <si>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</si>
  <si>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</si>
  <si>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</si>
  <si>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</si>
  <si>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</si>
  <si>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</si>
  <si>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</si>
  <si>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</si>
  <si>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</si>
  <si>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</si>
  <si>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</si>
  <si>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</si>
  <si>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</si>
  <si>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</si>
  <si>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</si>
  <si>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</si>
  <si>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</si>
  <si>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</si>
  <si>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</si>
  <si>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</si>
  <si>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</si>
  <si>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</si>
  <si>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</si>
  <si>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</si>
  <si>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</si>
  <si>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</si>
  <si>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</si>
  <si>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</si>
  <si>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</si>
  <si>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</si>
  <si>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</si>
  <si>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</si>
  <si>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</si>
  <si>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</si>
  <si>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</si>
  <si>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</si>
  <si>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</si>
  <si>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</si>
  <si>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</si>
  <si>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</si>
  <si>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</si>
  <si>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</si>
  <si>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</si>
  <si>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</si>
  <si>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</si>
  <si>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</si>
  <si>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</si>
  <si>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</si>
  <si>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</si>
  <si>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</si>
  <si>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</si>
  <si>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</si>
  <si>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</si>
  <si>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</si>
  <si>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</si>
  <si>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</si>
  <si>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</si>
  <si>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</si>
  <si>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</si>
  <si>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</si>
  <si>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</si>
  <si>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</si>
  <si>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</si>
  <si>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</si>
  <si>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</si>
  <si>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</si>
  <si>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</si>
  <si>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</si>
  <si>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</si>
  <si>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</si>
  <si>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</si>
  <si>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</si>
  <si>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</si>
  <si>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</si>
  <si>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</si>
  <si>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</si>
  <si>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</si>
  <si>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</si>
  <si>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</si>
  <si>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</si>
  <si>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</si>
  <si>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</si>
  <si>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</si>
  <si>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</si>
  <si>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</si>
  <si>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</si>
  <si>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</si>
  <si>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</si>
  <si>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</si>
  <si>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</si>
  <si>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</si>
  <si>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</si>
  <si>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</si>
  <si>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</si>
  <si>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</si>
  <si>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</si>
  <si>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</si>
  <si>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</si>
  <si>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</si>
  <si>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</si>
  <si>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</si>
  <si>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</si>
  <si>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</si>
  <si>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</si>
  <si>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</si>
  <si>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</si>
  <si>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</si>
  <si>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</si>
  <si>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</si>
  <si>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</si>
  <si>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</si>
  <si>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</si>
  <si>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</si>
  <si>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</si>
  <si>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</si>
  <si>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</si>
  <si>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</si>
  <si>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</si>
  <si>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</si>
  <si>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</si>
  <si>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</si>
  <si>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</si>
  <si>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</si>
  <si>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</si>
  <si>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</si>
  <si>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</si>
  <si>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</si>
  <si>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</si>
  <si>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</si>
  <si>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</si>
  <si>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</si>
  <si>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</si>
  <si>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</si>
  <si>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</si>
  <si>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</si>
  <si>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</si>
  <si>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</si>
  <si>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</si>
  <si>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</si>
  <si>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</si>
  <si>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</si>
  <si>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</si>
  <si>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</si>
  <si>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</si>
  <si>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</si>
  <si>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</si>
  <si>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</si>
  <si>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</si>
  <si>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</si>
  <si>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</si>
  <si>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</si>
  <si>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</si>
  <si>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</si>
  <si>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</si>
  <si>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</si>
  <si>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</si>
  <si>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</si>
  <si>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</si>
  <si>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</si>
  <si>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</si>
  <si>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</si>
  <si>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</si>
  <si>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</si>
  <si>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</si>
  <si>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</si>
  <si>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</si>
  <si>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</si>
  <si>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</si>
  <si>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</si>
  <si>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</si>
  <si>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</si>
  <si>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</si>
  <si>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</si>
  <si>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</si>
  <si>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</si>
  <si>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</si>
  <si>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</si>
  <si>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</si>
  <si>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</si>
  <si>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</si>
  <si>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</si>
  <si>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</si>
  <si>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</si>
  <si>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</si>
  <si>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</si>
  <si>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</si>
  <si>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</si>
  <si>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</si>
  <si>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</si>
  <si>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</si>
  <si>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</si>
  <si>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</si>
  <si>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</si>
  <si>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</si>
  <si>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</si>
  <si>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</si>
  <si>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</si>
  <si>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</si>
  <si>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</si>
  <si>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</si>
  <si>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</si>
  <si>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</si>
  <si>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</si>
  <si>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</si>
  <si>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</si>
  <si>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</si>
  <si>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</si>
  <si>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</si>
  <si>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</si>
  <si>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</si>
  <si>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</si>
  <si>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</si>
  <si>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</si>
  <si>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</si>
  <si>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</si>
  <si>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</si>
  <si>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</si>
  <si>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</si>
  <si>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</si>
  <si>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</si>
  <si>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</si>
  <si>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</si>
  <si>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</si>
  <si>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</si>
  <si>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</si>
  <si>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</si>
  <si>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</si>
  <si>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</si>
  <si>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</si>
  <si>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</si>
  <si>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</si>
  <si>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</si>
  <si>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</si>
  <si>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</si>
  <si>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</si>
  <si>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</si>
  <si>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</si>
  <si>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</si>
  <si>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</si>
  <si>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</si>
  <si>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</si>
  <si>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</si>
  <si>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</si>
  <si>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</si>
  <si>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</si>
  <si>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</si>
  <si>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</si>
  <si>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</si>
  <si>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</si>
  <si>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</si>
  <si>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</si>
  <si>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</si>
  <si>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</si>
  <si>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</si>
  <si>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</si>
  <si>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</si>
  <si>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</si>
  <si>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</si>
  <si>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</si>
  <si>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</si>
  <si>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</si>
  <si>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</si>
  <si>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</si>
  <si>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</si>
  <si>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</si>
  <si>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</si>
  <si>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</si>
  <si>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</si>
  <si>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</si>
  <si>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</si>
  <si>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</si>
  <si>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</si>
  <si>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</si>
  <si>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</si>
  <si>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</si>
  <si>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</si>
  <si>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</si>
  <si>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</si>
  <si>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</si>
  <si>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</si>
  <si>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</si>
  <si>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</si>
  <si>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</si>
  <si>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</si>
  <si>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</si>
  <si>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</si>
  <si>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</si>
  <si>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</si>
  <si>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</si>
  <si>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</si>
  <si>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</si>
  <si>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</si>
  <si>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</si>
  <si>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</si>
  <si>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</si>
  <si>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</si>
  <si>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</si>
  <si>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</si>
  <si>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</si>
  <si>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</si>
  <si>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</si>
  <si>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</si>
  <si>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</si>
  <si>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</si>
  <si>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</si>
  <si>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</si>
  <si>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</si>
  <si>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</si>
  <si>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</si>
  <si>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</si>
  <si>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</si>
  <si>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</si>
  <si>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</si>
  <si>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</si>
  <si>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</si>
  <si>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</si>
  <si>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</si>
  <si>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</si>
  <si>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</si>
  <si>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</si>
  <si>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</si>
  <si>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</si>
  <si>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</si>
  <si>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</si>
  <si>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</si>
  <si>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</si>
  <si>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</si>
  <si>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</si>
  <si>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</si>
  <si>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</si>
  <si>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</si>
  <si>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</si>
  <si>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</si>
  <si>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</si>
  <si>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</si>
  <si>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</si>
  <si>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</si>
  <si>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</si>
  <si>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</si>
  <si>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</si>
  <si>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</si>
  <si>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</si>
  <si>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</si>
  <si>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</si>
  <si>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</si>
  <si>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</si>
  <si>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</si>
  <si>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</si>
  <si>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</si>
  <si>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</si>
  <si>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</si>
  <si>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</si>
  <si>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</si>
  <si>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</si>
  <si>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</si>
  <si>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</si>
  <si>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</si>
  <si>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</si>
  <si>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</si>
  <si>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</si>
  <si>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</si>
  <si>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</si>
  <si>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</si>
  <si>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</si>
  <si>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</si>
  <si>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</si>
  <si>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</si>
  <si>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</si>
  <si>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</si>
  <si>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</si>
  <si>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</si>
  <si>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</si>
  <si>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</si>
  <si>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</si>
  <si>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</si>
  <si>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</si>
  <si>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</si>
  <si>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</si>
  <si>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</si>
  <si>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</si>
  <si>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</si>
  <si>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</si>
  <si>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</si>
  <si>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</si>
  <si>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</si>
  <si>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</si>
  <si>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</si>
  <si>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</si>
  <si>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</si>
  <si>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</si>
  <si>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</si>
  <si>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</si>
  <si>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</si>
  <si>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</si>
  <si>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</si>
  <si>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</si>
  <si>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</si>
  <si>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</si>
  <si>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</si>
  <si>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</si>
  <si>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</si>
  <si>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</si>
  <si>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</si>
  <si>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</si>
  <si>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</si>
  <si>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</si>
  <si>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</si>
  <si>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</si>
  <si>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</si>
  <si>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</si>
  <si>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</si>
  <si>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</si>
  <si>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</si>
  <si>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</si>
  <si>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</si>
  <si>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</si>
  <si>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</si>
  <si>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</si>
  <si>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</si>
  <si>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</si>
  <si>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</si>
  <si>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</si>
  <si>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</si>
  <si>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</si>
  <si>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</si>
  <si>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</si>
  <si>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</si>
  <si>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</si>
  <si>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</si>
  <si>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</si>
  <si>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</si>
  <si>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</si>
  <si>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</si>
  <si>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</si>
  <si>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</si>
  <si>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</si>
  <si>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</si>
  <si>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</si>
  <si>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</si>
  <si>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</si>
  <si>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</si>
  <si>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</si>
  <si>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</si>
  <si>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</si>
  <si>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</si>
  <si>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</si>
  <si>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</si>
  <si>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</si>
  <si>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</si>
  <si>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</si>
  <si>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</si>
  <si>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</si>
  <si>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</si>
  <si>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</si>
  <si>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</si>
  <si>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</si>
  <si>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</si>
  <si>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</si>
  <si>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</si>
  <si>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</si>
  <si>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</si>
  <si>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</si>
  <si>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</si>
  <si>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</si>
  <si>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</si>
  <si>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</si>
  <si>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</si>
  <si>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</si>
  <si>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</si>
  <si>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</si>
  <si>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</si>
  <si>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</si>
  <si>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</si>
  <si>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</si>
  <si>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</si>
  <si>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</si>
  <si>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</si>
  <si>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</si>
  <si>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</si>
  <si>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</si>
  <si>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</si>
  <si>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</si>
  <si>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</si>
  <si>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</si>
  <si>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</si>
  <si>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</si>
  <si>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</si>
  <si>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</si>
  <si>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</si>
  <si>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</si>
  <si>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</si>
  <si>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</si>
  <si>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</si>
  <si>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</si>
  <si>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</si>
  <si>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</si>
  <si>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</si>
  <si>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</si>
  <si>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</si>
  <si>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</si>
  <si>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</si>
  <si>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</si>
  <si>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</si>
  <si>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</si>
  <si>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</si>
  <si>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</si>
  <si>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</si>
  <si>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</si>
  <si>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</si>
  <si>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</si>
  <si>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</si>
  <si>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</si>
  <si>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</si>
  <si>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</si>
  <si>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</si>
  <si>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</si>
  <si>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</si>
  <si>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</si>
  <si>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</si>
  <si>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</si>
  <si>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</si>
  <si>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</si>
  <si>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</si>
  <si>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</si>
  <si>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</si>
  <si>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</si>
  <si>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</si>
  <si>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</si>
  <si>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</si>
  <si>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</si>
  <si>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</si>
  <si>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</si>
  <si>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</si>
  <si>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</si>
  <si>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</si>
  <si>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</si>
  <si>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</si>
  <si>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</si>
  <si>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</si>
  <si>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</si>
  <si>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</si>
  <si>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</si>
  <si>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</si>
  <si>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</si>
  <si>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</si>
  <si>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</si>
  <si>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</si>
  <si>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</si>
  <si>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</si>
  <si>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</si>
  <si>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</si>
  <si>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</si>
  <si>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</si>
  <si>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</si>
  <si>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</si>
  <si>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</si>
  <si>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</si>
  <si>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</si>
  <si>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</si>
  <si>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</si>
  <si>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</si>
  <si>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</si>
  <si>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</si>
  <si>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</si>
  <si>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</si>
  <si>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</si>
  <si>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</si>
  <si>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</si>
  <si>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</si>
  <si>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</si>
  <si>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</si>
  <si>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</si>
  <si>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</si>
  <si>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</si>
  <si>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</si>
  <si>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</si>
  <si>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</si>
  <si>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</si>
  <si>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</si>
  <si>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</si>
  <si>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</si>
  <si>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</si>
  <si>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</si>
  <si>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</si>
  <si>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</si>
  <si>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</si>
  <si>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</si>
  <si>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</si>
  <si>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</si>
  <si>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</si>
  <si>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</si>
  <si>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</si>
  <si>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</si>
  <si>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</si>
  <si>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</si>
  <si>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</si>
  <si>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</si>
  <si>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</si>
  <si>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</si>
  <si>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</si>
  <si>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</si>
  <si>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</si>
  <si>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</si>
  <si>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</si>
  <si>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</si>
  <si>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</si>
  <si>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</si>
  <si>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</si>
  <si>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</si>
  <si>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</si>
  <si>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</si>
  <si>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</si>
  <si>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</si>
  <si>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</si>
  <si>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</si>
  <si>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</si>
  <si>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</si>
  <si>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</si>
  <si>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</si>
  <si>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</si>
  <si>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</si>
  <si>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</si>
  <si>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</si>
  <si>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</si>
  <si>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</si>
  <si>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</si>
  <si>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</si>
  <si>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</si>
  <si>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</si>
  <si>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</si>
  <si>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</si>
  <si>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</si>
  <si>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</si>
  <si>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</si>
  <si>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</si>
  <si>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</si>
  <si>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</si>
  <si>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</si>
  <si>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</si>
  <si>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</si>
  <si>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</si>
  <si>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</si>
  <si>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</si>
  <si>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</si>
  <si>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</si>
  <si>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</si>
  <si>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</si>
  <si>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</si>
  <si>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</si>
  <si>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</si>
  <si>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</si>
  <si>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</si>
  <si>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</si>
  <si>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</si>
  <si>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</si>
  <si>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</si>
  <si>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</si>
  <si>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</si>
  <si>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</si>
  <si>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</si>
  <si>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</si>
  <si>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</si>
  <si>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</si>
  <si>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</si>
  <si>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</si>
  <si>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</si>
  <si>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</si>
  <si>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</si>
  <si>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</si>
  <si>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</si>
  <si>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</si>
  <si>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</si>
  <si>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</si>
  <si>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</si>
  <si>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</si>
  <si>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</si>
  <si>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</si>
  <si>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</si>
  <si>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</si>
  <si>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</si>
  <si>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</si>
  <si>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</si>
  <si>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</si>
  <si>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</si>
  <si>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</si>
  <si>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</si>
  <si>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</si>
  <si>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</si>
  <si>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</si>
  <si>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</si>
  <si>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</si>
  <si>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</si>
  <si>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</si>
  <si>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</si>
  <si>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</si>
  <si>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</si>
  <si>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</si>
  <si>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</si>
  <si>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</si>
  <si>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</si>
  <si>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</si>
  <si>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</si>
  <si>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</si>
  <si>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</si>
  <si>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</si>
  <si>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</si>
  <si>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</si>
  <si>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</si>
  <si>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</si>
  <si>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</si>
  <si>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</si>
  <si>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</si>
  <si>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</si>
  <si>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</si>
  <si>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</si>
  <si>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</si>
  <si>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</si>
  <si>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</si>
  <si>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</si>
  <si>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</si>
  <si>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</si>
  <si>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</si>
  <si>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</si>
  <si>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</si>
  <si>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</si>
  <si>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</si>
  <si>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</si>
  <si>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</si>
  <si>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</si>
  <si>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</si>
  <si>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</si>
  <si>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</si>
  <si>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</si>
  <si>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</si>
  <si>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</si>
  <si>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</si>
  <si>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</si>
  <si>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</si>
  <si>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</si>
  <si>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</si>
  <si>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</si>
  <si>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</si>
  <si>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</si>
  <si>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</si>
  <si>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</si>
  <si>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</si>
  <si>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</si>
  <si>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</si>
  <si>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</si>
  <si>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</si>
  <si>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</si>
  <si>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</si>
  <si>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</si>
  <si>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</si>
  <si>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</si>
  <si>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</si>
  <si>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</si>
  <si>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</si>
  <si>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</si>
  <si>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</si>
  <si>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</si>
  <si>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</si>
  <si>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</si>
  <si>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</si>
  <si>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</si>
  <si>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</si>
  <si>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</si>
  <si>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</si>
  <si>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</si>
  <si>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</si>
  <si>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</si>
  <si>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</si>
  <si>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</si>
  <si>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</si>
  <si>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</si>
  <si>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</si>
  <si>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</si>
  <si>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</si>
  <si>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</si>
  <si>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</si>
  <si>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</si>
  <si>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</si>
  <si>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</si>
  <si>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</si>
  <si>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</si>
  <si>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</si>
  <si>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</si>
  <si>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</si>
  <si>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</si>
  <si>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</si>
  <si>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</si>
  <si>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</si>
  <si>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</si>
  <si>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</si>
  <si>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</si>
  <si>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</si>
  <si>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</si>
  <si>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</si>
  <si>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</si>
  <si>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</si>
  <si>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</si>
  <si>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</si>
  <si>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</si>
  <si>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</si>
  <si>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</si>
  <si>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</si>
  <si>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</si>
  <si>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</si>
  <si>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</si>
  <si>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</si>
  <si>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</si>
  <si>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</si>
  <si>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</si>
  <si>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</si>
  <si>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</si>
  <si>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</si>
  <si>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</si>
  <si>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</si>
  <si>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</si>
  <si>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</si>
  <si>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</si>
  <si>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</si>
  <si>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</si>
  <si>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</si>
  <si>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</si>
  <si>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</si>
  <si>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</si>
  <si>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</si>
  <si>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</si>
  <si>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</si>
  <si>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</si>
  <si>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</si>
  <si>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</si>
  <si>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</si>
  <si>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</si>
  <si>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</si>
  <si>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</si>
  <si>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</si>
  <si>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</si>
  <si>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</si>
  <si>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</si>
  <si>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</si>
  <si>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</si>
  <si>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</si>
  <si>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</si>
  <si>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</si>
  <si>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</si>
  <si>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</si>
  <si>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</si>
  <si>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</si>
  <si>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</si>
  <si>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</si>
  <si>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</si>
  <si>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</si>
  <si>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</si>
  <si>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</si>
  <si>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</si>
  <si>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</si>
  <si>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</si>
  <si>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</si>
  <si>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</si>
  <si>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</si>
  <si>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</si>
  <si>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</si>
  <si>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</si>
  <si>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</si>
  <si>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</si>
  <si>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</si>
  <si>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</si>
  <si>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</si>
  <si>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</si>
  <si>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</si>
  <si>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</si>
  <si>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</si>
  <si>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</si>
  <si>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</si>
  <si>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</si>
  <si>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</si>
  <si>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</si>
  <si>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</si>
  <si>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</si>
  <si>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</si>
  <si>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</si>
  <si>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</si>
  <si>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</si>
  <si>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</si>
  <si>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</si>
  <si>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</si>
  <si>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</si>
  <si>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</si>
  <si>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</si>
  <si>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</si>
  <si>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</si>
  <si>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</si>
  <si>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</si>
  <si>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</si>
  <si>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</si>
  <si>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</si>
  <si>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</si>
  <si>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</si>
  <si>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</si>
  <si>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</si>
  <si>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</si>
  <si>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</si>
  <si>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</si>
  <si>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</si>
  <si>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</si>
  <si>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</si>
  <si>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</si>
  <si>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</si>
  <si>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</si>
  <si>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</si>
  <si>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</si>
  <si>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</si>
  <si>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</si>
  <si>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</si>
  <si>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</si>
  <si>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</si>
  <si>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</si>
  <si>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</si>
  <si>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</si>
  <si>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</si>
  <si>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</si>
  <si>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</si>
  <si>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</si>
  <si>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</si>
  <si>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</si>
  <si>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</si>
  <si>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</si>
  <si>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</si>
  <si>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</si>
  <si>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</si>
  <si>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</si>
  <si>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</si>
  <si>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</si>
  <si>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</si>
  <si>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</si>
  <si>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</si>
  <si>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</si>
  <si>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</si>
  <si>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</si>
  <si>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</si>
  <si>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</si>
  <si>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</si>
  <si>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</si>
  <si>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</si>
  <si>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</si>
  <si>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</si>
  <si>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</si>
  <si>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</si>
  <si>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</si>
  <si>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</si>
  <si>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</si>
  <si>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</si>
  <si>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</si>
  <si>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</si>
  <si>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</si>
  <si>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</si>
  <si>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</si>
  <si>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</si>
  <si>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</si>
  <si>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</si>
  <si>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</si>
  <si>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</si>
  <si>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</si>
  <si>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</si>
  <si>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</si>
  <si>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</si>
  <si>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</si>
  <si>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</si>
  <si>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</si>
  <si>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</si>
  <si>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</si>
  <si>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</si>
  <si>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</si>
  <si>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</si>
  <si>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</si>
  <si>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</si>
  <si>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</si>
  <si>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</si>
  <si>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</si>
  <si>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</si>
  <si>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</si>
  <si>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</si>
  <si>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</si>
  <si>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</si>
  <si>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</si>
  <si>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</si>
  <si>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</si>
  <si>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</si>
  <si>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</si>
  <si>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</si>
  <si>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</si>
  <si>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</si>
  <si>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</si>
  <si>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</si>
  <si>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</si>
  <si>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</si>
  <si>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</si>
  <si>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</si>
  <si>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</si>
  <si>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</si>
  <si>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</si>
  <si>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</si>
  <si>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</si>
  <si>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</si>
  <si>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</si>
  <si>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</si>
  <si>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</si>
  <si>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</si>
  <si>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</si>
  <si>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</si>
  <si>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</si>
  <si>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</si>
  <si>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</si>
  <si>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</si>
  <si>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</si>
  <si>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</si>
  <si>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</si>
  <si>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</si>
  <si>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</si>
  <si>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</si>
  <si>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</si>
  <si>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</si>
  <si>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</si>
  <si>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</si>
  <si>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</si>
  <si>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</si>
  <si>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</si>
  <si>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</si>
  <si>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</si>
  <si>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</si>
  <si>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</si>
  <si>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</si>
  <si>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</si>
  <si>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</si>
  <si>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</si>
  <si>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</si>
  <si>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</si>
  <si>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</si>
  <si>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</si>
  <si>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</si>
  <si>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</si>
  <si>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</si>
  <si>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</si>
  <si>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</si>
  <si>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</si>
  <si>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</si>
  <si>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</si>
  <si>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</si>
  <si>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</si>
  <si>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</si>
  <si>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</si>
  <si>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</si>
  <si>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</si>
  <si>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</si>
  <si>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</si>
  <si>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</si>
  <si>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</si>
  <si>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</si>
  <si>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</si>
  <si>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</si>
  <si>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</si>
  <si>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</si>
  <si>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</si>
  <si>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</si>
  <si>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</si>
  <si>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</si>
  <si>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</si>
  <si>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</si>
  <si>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</si>
  <si>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</si>
  <si>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</si>
  <si>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</si>
  <si>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</si>
  <si>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</si>
  <si>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</si>
  <si>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</si>
  <si>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</si>
  <si>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</si>
  <si>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</si>
  <si>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</si>
  <si>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</si>
  <si>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</si>
  <si>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</si>
  <si>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</si>
  <si>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</si>
  <si>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</si>
  <si>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</si>
  <si>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</si>
  <si>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</si>
  <si>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</si>
  <si>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</si>
  <si>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</si>
  <si>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</si>
  <si>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</si>
  <si>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</si>
  <si>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</si>
  <si>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</si>
  <si>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</si>
  <si>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</si>
  <si>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</si>
  <si>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</si>
  <si>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</si>
  <si>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</si>
  <si>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</si>
  <si>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</si>
  <si>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</si>
  <si>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</si>
  <si>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</si>
  <si>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</si>
  <si>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</si>
  <si>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</si>
  <si>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</si>
  <si>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</si>
  <si>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</si>
  <si>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</si>
  <si>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</si>
  <si>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</si>
  <si>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</si>
  <si>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</si>
  <si>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</si>
  <si>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</si>
  <si>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</si>
  <si>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</si>
  <si>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</si>
  <si>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</si>
  <si>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</si>
  <si>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</si>
  <si>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</si>
  <si>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</si>
  <si>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</si>
  <si>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</si>
  <si>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</si>
  <si>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</si>
  <si>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</si>
  <si>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</si>
  <si>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</si>
  <si>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</si>
  <si>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</si>
  <si>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</si>
  <si>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</si>
  <si>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</si>
  <si>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</si>
  <si>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</si>
  <si>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</si>
  <si>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</si>
  <si>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</si>
  <si>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</si>
  <si>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</si>
  <si>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</si>
  <si>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</si>
  <si>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</si>
  <si>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</si>
  <si>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</si>
  <si>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</si>
  <si>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</si>
  <si>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</si>
  <si>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</si>
  <si>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</si>
  <si>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</si>
  <si>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</si>
  <si>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</si>
  <si>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</si>
  <si>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</si>
  <si>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</si>
  <si>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</si>
  <si>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</si>
  <si>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</si>
  <si>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</si>
  <si>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</si>
  <si>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</si>
  <si>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</si>
  <si>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</si>
  <si>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</si>
  <si>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</si>
  <si>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</si>
  <si>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</si>
  <si>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</si>
  <si>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</si>
  <si>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</si>
  <si>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</si>
  <si>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</si>
  <si>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</si>
  <si>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</si>
  <si>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</si>
  <si>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</si>
  <si>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</si>
  <si>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</si>
  <si>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</si>
  <si>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</si>
  <si>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</si>
  <si>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</si>
  <si>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</si>
  <si>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</si>
  <si>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</si>
  <si>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</si>
  <si>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</si>
  <si>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</si>
  <si>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</si>
  <si>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</si>
  <si>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</si>
  <si>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</si>
  <si>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</si>
  <si>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</si>
  <si>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</si>
  <si>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</si>
  <si>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</si>
  <si>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</si>
  <si>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</si>
  <si>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</si>
  <si>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</si>
  <si>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</si>
  <si>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</si>
  <si>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</si>
  <si>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</si>
  <si>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</si>
  <si>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</si>
  <si>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</si>
  <si>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</si>
  <si>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</si>
  <si>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</si>
  <si>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</si>
  <si>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</si>
  <si>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</si>
  <si>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</si>
  <si>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</si>
  <si>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</si>
  <si>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</si>
  <si>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</si>
  <si>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</si>
  <si>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</si>
  <si>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</si>
  <si>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</si>
  <si>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</si>
  <si>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</si>
  <si>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</si>
  <si>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</si>
  <si>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</si>
  <si>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</si>
  <si>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</si>
  <si>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</si>
  <si>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</si>
  <si>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</si>
  <si>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</si>
  <si>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</si>
  <si>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</si>
  <si>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</si>
  <si>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</si>
  <si>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</si>
  <si>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</si>
  <si>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</si>
  <si>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</si>
  <si>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</si>
  <si>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</si>
  <si>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</si>
  <si>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</si>
  <si>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</si>
  <si>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</si>
  <si>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</si>
  <si>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</si>
  <si>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</si>
  <si>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</si>
  <si>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</si>
  <si>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</si>
  <si>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</si>
  <si>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</si>
  <si>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</si>
  <si>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</si>
  <si>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</si>
  <si>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</si>
  <si>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</si>
  <si>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</si>
  <si>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</si>
  <si>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</si>
  <si>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</si>
  <si>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</si>
  <si>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</si>
  <si>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</si>
  <si>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</si>
  <si>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</si>
  <si>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</si>
  <si>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</si>
  <si>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</si>
  <si>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</si>
  <si>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</si>
  <si>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</si>
  <si>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</si>
  <si>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</si>
  <si>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</si>
  <si>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</si>
  <si>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</si>
  <si>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</si>
  <si>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</si>
  <si>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</si>
  <si>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</si>
  <si>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</si>
  <si>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</si>
  <si>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</si>
  <si>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</si>
  <si>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</si>
  <si>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</si>
  <si>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</si>
  <si>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</si>
  <si>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</si>
  <si>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</si>
  <si>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</si>
  <si>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</si>
  <si>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</si>
  <si>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</si>
  <si>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</si>
  <si>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</si>
  <si>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</si>
  <si>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</si>
  <si>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</si>
  <si>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</si>
  <si>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</si>
  <si>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</si>
  <si>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</si>
  <si>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</si>
  <si>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</si>
  <si>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</si>
  <si>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</si>
  <si>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</si>
  <si>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</si>
  <si>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</si>
  <si>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</si>
  <si>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</si>
  <si>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</si>
  <si>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</si>
  <si>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</si>
  <si>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</si>
  <si>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</si>
  <si>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</si>
  <si>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</si>
  <si>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</si>
  <si>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</si>
  <si>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</si>
  <si>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</si>
  <si>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</si>
  <si>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</si>
  <si>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</si>
  <si>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</si>
  <si>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</si>
  <si>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</si>
  <si>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</si>
  <si>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</si>
  <si>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</si>
  <si>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</si>
  <si>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</si>
  <si>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</si>
  <si>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</si>
  <si>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</si>
  <si>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</si>
  <si>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</si>
  <si>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</si>
  <si>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</si>
  <si>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</si>
  <si>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</si>
  <si>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</si>
  <si>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</si>
  <si>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</si>
  <si>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</si>
  <si>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</si>
  <si>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</si>
  <si>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</si>
  <si>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</si>
  <si>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</si>
  <si>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</si>
  <si>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</si>
  <si>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</si>
  <si>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</si>
  <si>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</si>
  <si>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</si>
  <si>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</si>
  <si>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</si>
  <si>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</si>
  <si>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</si>
  <si>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</si>
  <si>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</si>
  <si>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</si>
  <si>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</si>
  <si>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</si>
  <si>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</si>
  <si>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</si>
  <si>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</si>
  <si>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</si>
  <si>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</si>
  <si>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</si>
  <si>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</si>
  <si>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</si>
  <si>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</si>
  <si>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</si>
  <si>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</si>
  <si>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</si>
  <si>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</si>
  <si>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</si>
  <si>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</si>
  <si>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</si>
  <si>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</si>
  <si>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</si>
  <si>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</si>
  <si>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</si>
  <si>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</si>
  <si>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</si>
  <si>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</si>
  <si>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</si>
  <si>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</si>
  <si>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</si>
  <si>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</si>
  <si>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</si>
  <si>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</si>
  <si>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</si>
  <si>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</si>
  <si>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</si>
  <si>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</si>
  <si>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</si>
  <si>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</si>
  <si>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</si>
  <si>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</si>
  <si>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</si>
  <si>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</si>
  <si>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</si>
  <si>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</si>
  <si>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</si>
  <si>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</si>
  <si>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</si>
  <si>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</si>
  <si>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</si>
  <si>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</si>
  <si>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</si>
  <si>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</si>
  <si>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</si>
  <si>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</si>
  <si>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</si>
  <si>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</si>
  <si>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</si>
  <si>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</si>
  <si>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</si>
  <si>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</si>
  <si>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</si>
  <si>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</si>
  <si>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</si>
  <si>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</si>
  <si>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</si>
  <si>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</si>
  <si>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</si>
  <si>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</si>
  <si>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</si>
  <si>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</si>
  <si>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</si>
  <si>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</si>
  <si>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</si>
  <si>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</si>
  <si>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</si>
  <si>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</si>
  <si>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</si>
  <si>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</si>
  <si>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</si>
  <si>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</si>
  <si>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</si>
  <si>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</si>
  <si>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</si>
  <si>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</si>
  <si>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</si>
  <si>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</si>
  <si>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</si>
  <si>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</si>
  <si>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</si>
  <si>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</si>
  <si>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</si>
  <si>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</si>
  <si>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</si>
  <si>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</si>
  <si>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</si>
  <si>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</si>
  <si>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</si>
  <si>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</si>
  <si>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</si>
  <si>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</si>
  <si>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</si>
  <si>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</si>
  <si>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</si>
  <si>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</si>
  <si>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</si>
  <si>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</si>
  <si>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</si>
  <si>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</si>
  <si>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</si>
  <si>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</si>
  <si>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</si>
  <si>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</si>
  <si>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</si>
  <si>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</si>
  <si>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</si>
  <si>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</si>
  <si>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</si>
  <si>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</si>
  <si>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</si>
  <si>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</si>
  <si>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</si>
  <si>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</si>
  <si>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</si>
  <si>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</si>
  <si>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</si>
  <si>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</si>
  <si>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</si>
  <si>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</si>
  <si>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</si>
  <si>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</si>
  <si>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</si>
  <si>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</si>
  <si>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</si>
  <si>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</si>
  <si>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</si>
  <si>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</si>
  <si>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</si>
  <si>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</si>
  <si>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</si>
  <si>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</si>
  <si>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</si>
  <si>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</si>
  <si>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</si>
  <si>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</si>
  <si>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</si>
  <si>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</si>
  <si>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</si>
  <si>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</si>
  <si>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</si>
  <si>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</si>
  <si>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</si>
  <si>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</si>
  <si>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</si>
  <si>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</si>
  <si>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</si>
  <si>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</si>
  <si>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</si>
  <si>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</si>
  <si>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</si>
  <si>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</si>
  <si>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</si>
  <si>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</si>
  <si>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</si>
  <si>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</si>
  <si>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</si>
  <si>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</si>
  <si>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</si>
  <si>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</si>
  <si>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</si>
  <si>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</si>
  <si>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</si>
  <si>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</si>
  <si>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</si>
  <si>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</si>
  <si>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</si>
  <si>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</si>
  <si>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</si>
  <si>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</si>
  <si>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</si>
  <si>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</si>
  <si>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</si>
  <si>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</si>
  <si>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</si>
  <si>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</si>
  <si>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</si>
  <si>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</si>
  <si>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</si>
  <si>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</si>
  <si>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</si>
  <si>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</si>
  <si>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</si>
  <si>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</si>
  <si>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</si>
  <si>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</si>
  <si>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</si>
  <si>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</si>
  <si>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</si>
  <si>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</si>
  <si>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</si>
  <si>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</si>
  <si>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</si>
  <si>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</si>
  <si>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</si>
  <si>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</si>
  <si>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</si>
  <si>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</si>
  <si>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</si>
  <si>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</si>
  <si>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</si>
  <si>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</si>
  <si>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</si>
  <si>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</si>
  <si>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</si>
  <si>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</si>
  <si>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</si>
  <si>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</si>
  <si>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</si>
  <si>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</si>
  <si>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</si>
  <si>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</si>
  <si>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</si>
  <si>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</si>
  <si>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</si>
  <si>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</si>
  <si>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</si>
  <si>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</si>
  <si>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</si>
  <si>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</si>
  <si>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</si>
  <si>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</si>
  <si>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</si>
  <si>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</si>
  <si>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</si>
  <si>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</si>
  <si>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</si>
  <si>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</si>
  <si>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</si>
  <si>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</si>
  <si>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</si>
  <si>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</si>
  <si>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</si>
  <si>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</si>
  <si>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</si>
  <si>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</si>
  <si>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</si>
  <si>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</si>
  <si>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</si>
  <si>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</si>
  <si>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</si>
  <si>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</si>
  <si>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</si>
  <si>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</si>
  <si>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</si>
  <si>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</si>
  <si>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</si>
  <si>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</si>
  <si>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</si>
  <si>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</si>
  <si>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</si>
  <si>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</si>
  <si>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</si>
  <si>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</si>
  <si>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</si>
  <si>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</si>
  <si>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</si>
  <si>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</si>
  <si>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</si>
  <si>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</si>
  <si>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</si>
  <si>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</si>
  <si>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</si>
  <si>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</si>
  <si>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</si>
  <si>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</si>
  <si>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</si>
  <si>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</si>
  <si>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</si>
  <si>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</si>
  <si>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</si>
  <si>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</si>
  <si>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</si>
  <si>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</si>
  <si>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</si>
  <si>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</si>
  <si>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</si>
  <si>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</si>
  <si>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</si>
  <si>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</si>
  <si>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</si>
  <si>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</si>
  <si>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</si>
  <si>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</si>
  <si>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</si>
  <si>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</si>
  <si>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</si>
  <si>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</si>
  <si>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</si>
  <si>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</si>
  <si>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</si>
  <si>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</si>
  <si>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</si>
  <si>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</si>
  <si>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</si>
  <si>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</si>
  <si>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</si>
  <si>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</si>
  <si>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</si>
  <si>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</si>
  <si>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</si>
  <si>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</si>
  <si>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</si>
  <si>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</si>
  <si>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</si>
  <si>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</si>
  <si>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</si>
  <si>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</si>
  <si>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</si>
  <si>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</si>
  <si>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</si>
  <si>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</si>
  <si>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</si>
  <si>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</si>
  <si>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</si>
  <si>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</si>
  <si>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</si>
  <si>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</si>
  <si>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</si>
  <si>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</si>
  <si>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</si>
  <si>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</si>
  <si>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</si>
  <si>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</si>
  <si>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</si>
  <si>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</si>
  <si>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</si>
  <si>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</si>
  <si>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</si>
  <si>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</si>
  <si>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</si>
  <si>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</si>
  <si>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</si>
  <si>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</si>
  <si>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</si>
  <si>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</si>
  <si>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</si>
  <si>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</si>
  <si>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</si>
  <si>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</si>
  <si>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</si>
  <si>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</si>
  <si>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</si>
  <si>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</si>
  <si>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</si>
  <si>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</si>
  <si>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</si>
  <si>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</si>
  <si>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</si>
  <si>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</si>
  <si>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</si>
  <si>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</si>
  <si>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</si>
  <si>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</si>
  <si>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</si>
  <si>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</si>
  <si>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</si>
  <si>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</si>
  <si>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</si>
  <si>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</si>
  <si>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</si>
  <si>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</si>
  <si>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</si>
  <si>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</si>
  <si>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</si>
  <si>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</si>
  <si>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</si>
  <si>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</si>
  <si>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</si>
  <si>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</si>
  <si>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</si>
  <si>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</si>
  <si>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</si>
  <si>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</si>
  <si>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</si>
  <si>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</si>
  <si>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</si>
  <si>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</si>
  <si>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</si>
  <si>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</si>
  <si>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</si>
  <si>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</si>
  <si>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</si>
  <si>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</si>
  <si>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</si>
  <si>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</si>
  <si>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</si>
  <si>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</si>
  <si>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</si>
  <si>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</si>
  <si>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</si>
  <si>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</si>
  <si>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</si>
  <si>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</si>
  <si>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</si>
  <si>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</si>
  <si>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</si>
  <si>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</si>
  <si>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</si>
  <si>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</si>
  <si>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</si>
  <si>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</si>
  <si>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</si>
  <si>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</si>
  <si>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</si>
  <si>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</si>
  <si>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</si>
  <si>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</si>
  <si>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</si>
  <si>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</si>
  <si>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</si>
  <si>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</si>
  <si>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</si>
  <si>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</si>
  <si>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</si>
  <si>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</si>
  <si>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</si>
  <si>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</si>
  <si>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</si>
  <si>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</si>
  <si>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</si>
  <si>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</si>
  <si>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</si>
  <si>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</si>
  <si>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</si>
  <si>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</si>
  <si>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</si>
  <si>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</si>
  <si>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</si>
  <si>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</si>
  <si>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</si>
  <si>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</si>
  <si>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</si>
  <si>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</si>
  <si>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</si>
  <si>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</si>
  <si>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</si>
  <si>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</si>
  <si>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</si>
  <si>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</si>
  <si>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</si>
  <si>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</si>
  <si>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</si>
  <si>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</si>
  <si>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</si>
  <si>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</si>
  <si>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</si>
  <si>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</si>
  <si>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</si>
  <si>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</si>
  <si>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</si>
  <si>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</si>
  <si>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</si>
  <si>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</si>
  <si>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</si>
  <si>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</si>
  <si>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</si>
  <si>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</si>
  <si>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</si>
  <si>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</si>
  <si>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</si>
  <si>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</si>
  <si>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</si>
  <si>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</si>
  <si>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</si>
  <si>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</si>
  <si>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</si>
  <si>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</si>
  <si>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</si>
  <si>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</si>
  <si>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</si>
  <si>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</si>
  <si>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</si>
  <si>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</si>
  <si>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</si>
  <si>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</si>
  <si>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</si>
  <si>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</si>
  <si>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</si>
  <si>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</si>
  <si>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</si>
  <si>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</si>
  <si>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</si>
  <si>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</si>
  <si>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</si>
  <si>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</si>
  <si>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</si>
  <si>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</si>
  <si>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</si>
  <si>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</si>
  <si>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</si>
  <si>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</si>
  <si>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</si>
  <si>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</si>
  <si>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</si>
  <si>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</si>
  <si>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</si>
  <si>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</si>
  <si>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</si>
  <si>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</si>
  <si>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</si>
  <si>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</si>
  <si>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</si>
  <si>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</si>
  <si>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</si>
  <si>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</si>
  <si>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</si>
  <si>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</si>
  <si>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</si>
  <si>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</si>
  <si>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</si>
  <si>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</si>
  <si>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</si>
  <si>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</si>
  <si>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</si>
  <si>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</si>
  <si>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</si>
  <si>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</si>
  <si>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</si>
  <si>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</si>
  <si>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</si>
  <si>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</si>
  <si>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</si>
  <si>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</si>
  <si>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</si>
  <si>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</si>
  <si>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</si>
  <si>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</si>
  <si>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</si>
  <si>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</si>
  <si>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</si>
  <si>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</si>
  <si>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</si>
  <si>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</si>
  <si>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</si>
  <si>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</si>
  <si>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</si>
  <si>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</si>
  <si>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</si>
  <si>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</si>
  <si>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</si>
  <si>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</si>
  <si>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</si>
  <si>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</si>
  <si>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</si>
  <si>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</si>
  <si>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</si>
  <si>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</si>
  <si>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</si>
  <si>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</si>
  <si>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</si>
  <si>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</si>
  <si>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</si>
  <si>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</si>
  <si>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</si>
  <si>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</si>
  <si>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</si>
  <si>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</si>
  <si>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</si>
  <si>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</si>
  <si>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</si>
  <si>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</si>
  <si>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</si>
  <si>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</si>
  <si>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</si>
  <si>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</si>
  <si>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</si>
  <si>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</si>
  <si>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</si>
  <si>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</si>
  <si>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</si>
  <si>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</si>
  <si>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</si>
  <si>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</si>
  <si>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</si>
  <si>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</si>
  <si>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</si>
  <si>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</si>
  <si>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</si>
  <si>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</si>
  <si>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</si>
  <si>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</si>
  <si>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</si>
  <si>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</si>
  <si>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</si>
  <si>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</si>
  <si>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</si>
  <si>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</si>
  <si>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</si>
  <si>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</si>
  <si>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</si>
  <si>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</si>
  <si>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</si>
  <si>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</si>
  <si>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</si>
  <si>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</si>
  <si>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</si>
  <si>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</si>
  <si>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</si>
  <si>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</si>
  <si>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</si>
  <si>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</si>
  <si>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</si>
  <si>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</si>
  <si>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</si>
  <si>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</si>
  <si>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</si>
  <si>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</si>
  <si>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</si>
  <si>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</si>
  <si>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</si>
  <si>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</si>
  <si>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</si>
  <si>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</si>
  <si>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</si>
  <si>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</si>
  <si>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</si>
  <si>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</si>
  <si>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</si>
  <si>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</si>
  <si>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</si>
  <si>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</si>
  <si>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</si>
  <si>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</si>
  <si>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</si>
  <si>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</si>
  <si>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</si>
  <si>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</si>
  <si>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</si>
  <si>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</si>
  <si>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</si>
  <si>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</si>
  <si>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</si>
  <si>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</si>
  <si>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</si>
  <si>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</si>
  <si>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</si>
  <si>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</si>
  <si>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</si>
  <si>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</si>
  <si>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</si>
  <si>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</si>
  <si>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</si>
  <si>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</si>
  <si>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</si>
  <si>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</si>
  <si>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</si>
  <si>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</si>
  <si>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</si>
  <si>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</si>
  <si>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</si>
  <si>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</si>
  <si>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</si>
  <si>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</si>
  <si>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</si>
  <si>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</si>
  <si>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</si>
  <si>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</si>
  <si>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</si>
  <si>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</si>
  <si>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</si>
  <si>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</si>
  <si>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</si>
  <si>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</si>
  <si>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</si>
  <si>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</si>
  <si>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</si>
  <si>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</si>
  <si>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</si>
  <si>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</si>
  <si>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</si>
  <si>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</si>
  <si>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</si>
  <si>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</si>
  <si>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</si>
  <si>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</si>
  <si>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</si>
  <si>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</si>
  <si>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</si>
  <si>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</si>
  <si>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</si>
  <si>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</si>
  <si>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</si>
  <si>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</si>
  <si>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</si>
  <si>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</si>
  <si>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</si>
  <si>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</si>
  <si>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</si>
  <si>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</si>
  <si>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</si>
  <si>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</si>
  <si>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</si>
  <si>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</si>
  <si>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</si>
  <si>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</si>
  <si>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</si>
  <si>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</si>
  <si>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</si>
  <si>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</si>
  <si>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</si>
  <si>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</si>
  <si>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</si>
  <si>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</si>
  <si>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</si>
  <si>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</si>
  <si>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</si>
  <si>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</si>
  <si>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</si>
  <si>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</si>
  <si>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</si>
  <si>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</si>
  <si>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</si>
  <si>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</si>
  <si>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</si>
  <si>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</si>
  <si>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</si>
  <si>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</si>
  <si>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</si>
  <si>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</si>
  <si>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</si>
  <si>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</si>
  <si>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</si>
  <si>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</si>
  <si>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</si>
  <si>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</si>
  <si>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</si>
  <si>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</si>
  <si>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</si>
  <si>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</si>
  <si>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</si>
  <si>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</si>
  <si>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</si>
  <si>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</si>
  <si>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</si>
  <si>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</si>
  <si>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</si>
  <si>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</si>
  <si>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</si>
  <si>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</si>
  <si>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</si>
  <si>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</si>
  <si>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</si>
  <si>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</si>
  <si>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</si>
  <si>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</si>
  <si>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</si>
  <si>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</si>
  <si>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</si>
  <si>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</si>
  <si>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</si>
  <si>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</si>
  <si>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</si>
  <si>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</si>
  <si>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</si>
  <si>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</si>
  <si>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</si>
  <si>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</si>
  <si>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</si>
  <si>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</si>
  <si>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</si>
  <si>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</si>
  <si>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</si>
  <si>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</si>
  <si>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</si>
  <si>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</si>
  <si>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</si>
  <si>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</si>
  <si>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</si>
  <si>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</si>
  <si>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</si>
  <si>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</si>
  <si>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</si>
  <si>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</si>
  <si>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</si>
  <si>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</si>
  <si>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</si>
  <si>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</si>
  <si>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</si>
  <si>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</si>
  <si>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</si>
  <si>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</si>
  <si>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</si>
  <si>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</si>
  <si>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</si>
  <si>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</si>
  <si>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</si>
  <si>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</si>
  <si>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</si>
  <si>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</si>
  <si>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</si>
  <si>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</si>
  <si>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</si>
  <si>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</si>
  <si>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</si>
  <si>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</si>
  <si>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</si>
  <si>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</si>
  <si>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</si>
  <si>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</si>
  <si>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</si>
  <si>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</si>
  <si>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</si>
  <si>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</si>
  <si>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</si>
  <si>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</si>
  <si>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</si>
  <si>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</si>
  <si>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</si>
  <si>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</si>
  <si>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</si>
  <si>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</si>
  <si>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</si>
  <si>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</si>
  <si>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</si>
  <si>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</si>
  <si>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</si>
  <si>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</si>
  <si>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</si>
  <si>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</si>
  <si>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</si>
  <si>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</si>
  <si>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</si>
  <si>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</si>
  <si>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</si>
  <si>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</si>
  <si>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</si>
  <si>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</si>
  <si>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</si>
  <si>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</si>
  <si>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</si>
  <si>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</si>
  <si>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</si>
  <si>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</si>
  <si>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</si>
  <si>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</si>
  <si>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</si>
  <si>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</si>
  <si>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</si>
  <si>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</si>
  <si>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</si>
  <si>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</si>
  <si>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</si>
  <si>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</si>
  <si>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</si>
  <si>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</si>
  <si>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</si>
  <si>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</si>
  <si>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</si>
  <si>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</si>
  <si>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</si>
  <si>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</si>
  <si>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</si>
  <si>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</si>
  <si>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</si>
  <si>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</si>
  <si>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</si>
  <si>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</si>
  <si>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</si>
  <si>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</si>
  <si>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</si>
  <si>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</si>
  <si>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</si>
  <si>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</si>
  <si>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</si>
  <si>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</si>
  <si>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</si>
  <si>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</si>
  <si>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</si>
  <si>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</si>
  <si>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</si>
  <si>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</si>
  <si>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</si>
  <si>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</si>
  <si>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</si>
  <si>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</si>
  <si>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</si>
  <si>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</si>
  <si>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</si>
  <si>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</si>
  <si>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</si>
  <si>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</si>
  <si>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</si>
  <si>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</si>
  <si>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</si>
  <si>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</si>
  <si>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</si>
  <si>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</si>
  <si>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</si>
  <si>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</si>
  <si>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</si>
  <si>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</si>
  <si>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</si>
  <si>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</si>
  <si>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</si>
  <si>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</si>
  <si>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</si>
  <si>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</si>
  <si>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</si>
  <si>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</si>
  <si>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</si>
  <si>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</si>
  <si>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</si>
  <si>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</si>
  <si>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</si>
  <si>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</si>
  <si>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</si>
  <si>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经一路东、规划路南、县人民医院北侧</t>
  </si>
  <si>
    <t>济南市</t>
  </si>
  <si>
    <t>商业/办公用地</t>
  </si>
  <si>
    <t>大于或等于1.2并且小于1.5</t>
  </si>
  <si>
    <t>挂牌</t>
  </si>
  <si>
    <t>商务金融用地</t>
  </si>
  <si>
    <t>2021-12-23</t>
  </si>
  <si>
    <t>山东炬通程燃气工程有限公司济阳分公司</t>
  </si>
  <si>
    <t>3星</t>
  </si>
  <si>
    <t>经一路东、规划路南侧</t>
  </si>
  <si>
    <t>大于或等于1.2并且小于或等于2</t>
  </si>
  <si>
    <t>经一路东、纬三路北</t>
  </si>
  <si>
    <t>大于或等于1.2并且小于2</t>
  </si>
  <si>
    <t>山东林华置业有限公司</t>
  </si>
  <si>
    <t>实验二中西、纬四路南</t>
  </si>
  <si>
    <t>大于或等于1.2并且小于1.4</t>
  </si>
  <si>
    <t>济南百佳置业有限公司</t>
  </si>
  <si>
    <t>中科新经济科创园D-6地块</t>
  </si>
  <si>
    <t>1.5≤地上容积率≤2.0,地下容积率≤1.0</t>
  </si>
  <si>
    <t>2021-12-13</t>
  </si>
  <si>
    <t>济南先行投资有限责任公司</t>
  </si>
  <si>
    <t>2星</t>
  </si>
  <si>
    <t>澄波湖路东、同德街南、银河路西</t>
  </si>
  <si>
    <t>大于或等于1.2并且小于2.6</t>
  </si>
  <si>
    <t>2021-11-27</t>
  </si>
  <si>
    <t>济南万成商贸有限公司</t>
  </si>
  <si>
    <t>汇鑫路西、银安路北</t>
  </si>
  <si>
    <t>大于或等于1.2并且小于1.6</t>
  </si>
  <si>
    <t>2021-10-30</t>
  </si>
  <si>
    <t>济南栖凤置业有限公司</t>
  </si>
  <si>
    <t>汇鑫路东、闻韶佳苑路北</t>
  </si>
  <si>
    <t>大于或等于1.2并且小于2.4</t>
  </si>
  <si>
    <t>山东利隆置业有限公司</t>
  </si>
  <si>
    <t>大寺河东、G220线西、济太路南、富阳街北</t>
  </si>
  <si>
    <t>大于或等于1.2并且小于或等于1.5</t>
  </si>
  <si>
    <t>第二批</t>
  </si>
  <si>
    <t>2021-09-10</t>
  </si>
  <si>
    <t>山东中荣置业有限公司</t>
  </si>
  <si>
    <t>纬二路北、经四路西</t>
  </si>
  <si>
    <t>大于或等于2并且小于3</t>
  </si>
  <si>
    <t>2021-08-05</t>
  </si>
  <si>
    <t>济南济北新城置业有限公司</t>
  </si>
  <si>
    <t>澄波湖路东、同德街南</t>
  </si>
  <si>
    <t>大于或等于1.2并且小于或等于2.6</t>
  </si>
  <si>
    <t>2021-06-30</t>
  </si>
  <si>
    <t>山东国民科技发展有限公司</t>
  </si>
  <si>
    <t>先行区崔寨片区中科新经济科创园D-3地块</t>
  </si>
  <si>
    <t>1.0≤地上容积率≤1.8,*地下容积率≤1.0</t>
  </si>
  <si>
    <t>2021-06-10</t>
  </si>
  <si>
    <t>先行区崔寨片区中科新经济科创园D-1地块</t>
  </si>
  <si>
    <t>1.2≤地上容积率≤1.8,地下容积率≤1.0</t>
  </si>
  <si>
    <t>光明街北、银河路西</t>
  </si>
  <si>
    <t>2021-05-31</t>
  </si>
  <si>
    <t>济南华硕置业有限公司</t>
  </si>
  <si>
    <t>纬二路南、经三路东</t>
  </si>
  <si>
    <t>2021-03-04</t>
  </si>
  <si>
    <t>王继伦</t>
  </si>
  <si>
    <t>纬二路北、步行街东、泉城尚郡南</t>
  </si>
  <si>
    <t>小于或等于1</t>
  </si>
  <si>
    <t>2021-02-21</t>
  </si>
  <si>
    <t>济南众海置业有限公司</t>
  </si>
  <si>
    <t>曲堤镇G220线东、规划四路北</t>
  </si>
  <si>
    <t>2021-01-25</t>
  </si>
  <si>
    <t>济南安群仓储有限公司</t>
  </si>
  <si>
    <t>新元大街南、正安路东</t>
  </si>
  <si>
    <t>大于或等于3并且小于3.5</t>
  </si>
  <si>
    <t>2020-12-26</t>
  </si>
  <si>
    <t>济南泽阳置业有限公司</t>
  </si>
  <si>
    <t>规划一路东、纬二路北、经二路西</t>
  </si>
  <si>
    <t>2020-12-14</t>
  </si>
  <si>
    <t>山东力高凯力房地产有限公司</t>
  </si>
  <si>
    <t>纬三路北、现济阳区第二实验中学东</t>
  </si>
  <si>
    <t>大于或等于1.2并且小于1.7</t>
  </si>
  <si>
    <t>2020-11-28</t>
  </si>
  <si>
    <t>卫玉焕</t>
  </si>
  <si>
    <t>崔寨片区34街区C-3地块</t>
  </si>
  <si>
    <t>1.2≤地上容积率≤3.5,地下容积率≤2.0</t>
  </si>
  <si>
    <t>2020-10-19</t>
  </si>
  <si>
    <t>绿地北展济南置业有限公司</t>
  </si>
  <si>
    <t>垛石街道、省道248线东</t>
  </si>
  <si>
    <t>2020-10-12</t>
  </si>
  <si>
    <t>王建康</t>
  </si>
  <si>
    <t>1星</t>
  </si>
  <si>
    <t>国道220线东、同德街北</t>
  </si>
  <si>
    <t>1.2≤地上容积率＜1.5,地下容积率＜1.0</t>
  </si>
  <si>
    <t>2020-09-02</t>
  </si>
  <si>
    <t>山东万建房地产开发有限公司</t>
  </si>
  <si>
    <t>曲白路东、高速公路连接线(科技九路)南</t>
  </si>
  <si>
    <t>2020-07-19</t>
  </si>
  <si>
    <t>济南经开投资有限公司</t>
  </si>
  <si>
    <t>新元大街南、规划纵二路西</t>
  </si>
  <si>
    <t>1.2≤地上容积率＜1.6,地下容积率≤1.0</t>
  </si>
  <si>
    <t>2020-07-05</t>
  </si>
  <si>
    <t>济南世茂新发展置业有限公司</t>
  </si>
  <si>
    <t>富阳街南、规划纵二路东、规划纵三路西、规划横一路北</t>
  </si>
  <si>
    <t>1.2≤地上容积率,地下容积率≤1.0</t>
  </si>
  <si>
    <t>济南意达置业西、龙源路东</t>
  </si>
  <si>
    <t>≥1.2</t>
  </si>
  <si>
    <t>2020-02-16</t>
  </si>
  <si>
    <t>姜华</t>
  </si>
  <si>
    <t>纬二路北、经一路西、纬三路南</t>
  </si>
  <si>
    <t>商服用地</t>
  </si>
  <si>
    <t>2019-12-25</t>
  </si>
  <si>
    <t>杨孟玉</t>
  </si>
  <si>
    <t>黄河大街南、银河路西</t>
  </si>
  <si>
    <t>1.5≤地上容积率＜2.0</t>
  </si>
  <si>
    <t>2019-12-24</t>
  </si>
  <si>
    <t>济南济阳鑫土投资有限公司</t>
  </si>
  <si>
    <t>1.2≤地上容积率＜2.0</t>
  </si>
  <si>
    <t>2019-12-23</t>
  </si>
  <si>
    <t>经一路东、纬四路南</t>
  </si>
  <si>
    <t>1.3≤地上容积率＜1.5</t>
  </si>
  <si>
    <t>济南柯基置业有限公司</t>
  </si>
  <si>
    <t>纬二路南、经四路西</t>
  </si>
  <si>
    <t>1.5≤r＜2.2</t>
  </si>
  <si>
    <t>2019-10-14</t>
  </si>
  <si>
    <t>山东兴鸿房地产开发有限公司</t>
  </si>
  <si>
    <t>纬二路北、经二路西</t>
  </si>
  <si>
    <t>≥1.2且＜2.2</t>
  </si>
  <si>
    <t>2019-10-03</t>
  </si>
  <si>
    <t>中国农业银行股份有限公司济南济阳支行</t>
  </si>
  <si>
    <t>经五路东、富阳街北</t>
  </si>
  <si>
    <t>大于或等于1.2并且小于2.2</t>
  </si>
  <si>
    <t>济阳县城建开发有限公司</t>
  </si>
  <si>
    <t>纬二路南、区中医院西、雅居园北苑北</t>
  </si>
  <si>
    <t>2.0≤r＜2.5</t>
  </si>
  <si>
    <t>2019-09-25</t>
  </si>
  <si>
    <t>山东龙港投资置业有限公司</t>
  </si>
  <si>
    <t>纬二路南、区中医院西、济阳县工程咨询设计有限公司北</t>
  </si>
  <si>
    <t>大于或等于2并且小于2.5</t>
  </si>
  <si>
    <t>新元大街北、经五路西</t>
  </si>
  <si>
    <t>大于或等于1并且小于1.5</t>
  </si>
  <si>
    <t>2019-09-24</t>
  </si>
  <si>
    <t>济南绿发置业发展有限公司</t>
  </si>
  <si>
    <t>垛石镇西宋屯村</t>
  </si>
  <si>
    <t>大于或等于1.2并且小于或等于1.8</t>
  </si>
  <si>
    <t>2019-08-31</t>
  </si>
  <si>
    <t>山东济阳农村商业银行股份有限公司</t>
  </si>
  <si>
    <t>垛石镇唐庙南街村</t>
  </si>
  <si>
    <t>抵押价格</t>
  </si>
  <si>
    <t>其他：</t>
  </si>
  <si>
    <t>企业</t>
  </si>
  <si>
    <t>出让</t>
  </si>
  <si>
    <t>一致</t>
  </si>
  <si>
    <t>商业</t>
  </si>
  <si>
    <t>地上</t>
  </si>
  <si>
    <t>加气站</t>
  </si>
  <si>
    <t>加气站</t>
    <phoneticPr fontId="7" type="noConversion"/>
  </si>
  <si>
    <t>工程进度</t>
  </si>
  <si>
    <t>利息：取LPR加浮动点数</t>
  </si>
  <si>
    <t>不动产收益法</t>
  </si>
  <si>
    <t>正常</t>
    <phoneticPr fontId="26" type="noConversion"/>
  </si>
  <si>
    <t>单位面积地价</t>
  </si>
  <si>
    <t>一般</t>
    <phoneticPr fontId="26" type="noConversion"/>
  </si>
  <si>
    <t>较好</t>
    <phoneticPr fontId="26" type="noConversion"/>
  </si>
  <si>
    <t>七通</t>
    <phoneticPr fontId="26" type="noConversion"/>
  </si>
  <si>
    <t>网上查询</t>
    <phoneticPr fontId="225" type="noConversion"/>
  </si>
  <si>
    <t>押一</t>
  </si>
  <si>
    <t>按租金收入计税</t>
  </si>
  <si>
    <t>钢</t>
  </si>
  <si>
    <t>比较法-住宅、综合</t>
  </si>
  <si>
    <t>剩余法-待开发</t>
  </si>
  <si>
    <t>适用的楼面熟地价</t>
    <phoneticPr fontId="225" type="noConversion"/>
  </si>
  <si>
    <t>用途修正系数</t>
    <phoneticPr fontId="225" type="noConversion"/>
  </si>
  <si>
    <t>期日修正系数</t>
    <phoneticPr fontId="225" type="noConversion"/>
  </si>
  <si>
    <t>年期修正系数</t>
    <phoneticPr fontId="225" type="noConversion"/>
  </si>
  <si>
    <t>容积率修正</t>
    <phoneticPr fontId="225" type="noConversion"/>
  </si>
  <si>
    <t>因素修正</t>
    <phoneticPr fontId="225" type="noConversion"/>
  </si>
  <si>
    <t>结果</t>
    <phoneticPr fontId="225" type="noConversion"/>
  </si>
  <si>
    <t>年度</t>
    <phoneticPr fontId="225" type="noConversion"/>
  </si>
  <si>
    <t>季度</t>
    <phoneticPr fontId="225" type="noConversion"/>
  </si>
  <si>
    <t>市场比较法</t>
    <phoneticPr fontId="225" type="noConversion"/>
  </si>
  <si>
    <t>基准地价系数修正法</t>
    <phoneticPr fontId="225" type="noConversion"/>
  </si>
  <si>
    <t>总价</t>
    <phoneticPr fontId="225" type="noConversion"/>
  </si>
  <si>
    <t>单价</t>
    <phoneticPr fontId="225" type="noConversion"/>
  </si>
  <si>
    <t>占比</t>
    <phoneticPr fontId="225" type="noConversion"/>
  </si>
  <si>
    <t>评估总价</t>
    <phoneticPr fontId="225" type="noConversion"/>
  </si>
  <si>
    <t>楼面单价</t>
    <phoneticPr fontId="225" type="noConversion"/>
  </si>
  <si>
    <t>地面单价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</si>
</sst>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xf numFmtId="0" fontId="83" fillId="6" borderId="0" xfId="16" applyFill="1"/>
    <xf numFmtId="0" fontId="0" fillId="6" borderId="0" xfId="0" applyFill="1">
      <alignment vertical="center"/>
    </xf>
    <xf numFmtId="0" fontId="83" fillId="9" borderId="0" xfId="16" applyFill="1"/>
    <xf numFmtId="0" fontId="0" fillId="9"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3" fillId="0" borderId="0" xfId="0" applyFont="1">
      <alignment vertical="center"/>
    </xf>
    <xf numFmtId="0" fontId="142" fillId="0" borderId="0" xfId="0" applyNumberFormat="1" applyFont="1">
      <alignment vertical="center"/>
    </xf>
    <xf numFmtId="10" fontId="0" fillId="0" borderId="0" xfId="0" applyNumberFormat="1">
      <alignment vertical="center"/>
    </xf>
    <xf numFmtId="9" fontId="142" fillId="0" borderId="0" xfId="0" applyNumberFormat="1" applyFont="1">
      <alignment vertical="center"/>
    </xf>
    <xf numFmtId="9" fontId="0" fillId="0" borderId="0" xfId="0" applyNumberFormat="1">
      <alignment vertical="center"/>
    </xf>
    <xf numFmtId="0" fontId="0" fillId="0" borderId="0" xfId="0" applyNumberFormat="1">
      <alignment vertical="center"/>
    </xf>
    <xf numFmtId="0" fontId="161" fillId="0" borderId="0" xfId="0" applyFont="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12</xdr:col>
      <xdr:colOff>627281</xdr:colOff>
      <xdr:row>87</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0"/>
          <a:ext cx="10961906"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6</xdr:col>
      <xdr:colOff>142343</xdr:colOff>
      <xdr:row>11</xdr:row>
      <xdr:rowOff>152198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9100"/>
          <a:ext cx="4257143" cy="1619048"/>
        </a:xfrm>
        <a:prstGeom prst="rect">
          <a:avLst/>
        </a:prstGeom>
      </xdr:spPr>
    </xdr:pic>
    <xdr:clientData/>
  </xdr:twoCellAnchor>
  <xdr:twoCellAnchor editAs="oneCell">
    <xdr:from>
      <xdr:col>0</xdr:col>
      <xdr:colOff>219075</xdr:colOff>
      <xdr:row>21</xdr:row>
      <xdr:rowOff>104775</xdr:rowOff>
    </xdr:from>
    <xdr:to>
      <xdr:col>9</xdr:col>
      <xdr:colOff>466725</xdr:colOff>
      <xdr:row>58</xdr:row>
      <xdr:rowOff>39738</xdr:rowOff>
    </xdr:to>
    <xdr:pic>
      <xdr:nvPicPr>
        <xdr:cNvPr id="4" name="图片 3" descr="https://imagepphcloud.thepaper.cn/pph/image/107/49/71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705225"/>
          <a:ext cx="6419850" cy="6278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24</xdr:row>
      <xdr:rowOff>76200</xdr:rowOff>
    </xdr:from>
    <xdr:to>
      <xdr:col>15</xdr:col>
      <xdr:colOff>228600</xdr:colOff>
      <xdr:row>55</xdr:row>
      <xdr:rowOff>28575</xdr:rowOff>
    </xdr:to>
    <xdr:pic>
      <xdr:nvPicPr>
        <xdr:cNvPr id="5" name="图片 4" descr="https://imagepphcloud.thepaper.cn/pph/image/107/49/70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0" y="4191000"/>
          <a:ext cx="3181350"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608839</xdr:colOff>
      <xdr:row>20</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5239" cy="3504762"/>
        </a:xfrm>
        <a:prstGeom prst="rect">
          <a:avLst/>
        </a:prstGeom>
      </xdr:spPr>
    </xdr:pic>
    <xdr:clientData/>
  </xdr:twoCellAnchor>
  <xdr:twoCellAnchor editAs="oneCell">
    <xdr:from>
      <xdr:col>0</xdr:col>
      <xdr:colOff>0</xdr:colOff>
      <xdr:row>21</xdr:row>
      <xdr:rowOff>0</xdr:rowOff>
    </xdr:from>
    <xdr:to>
      <xdr:col>8</xdr:col>
      <xdr:colOff>332648</xdr:colOff>
      <xdr:row>30</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5819048" cy="1638095"/>
        </a:xfrm>
        <a:prstGeom prst="rect">
          <a:avLst/>
        </a:prstGeom>
      </xdr:spPr>
    </xdr:pic>
    <xdr:clientData/>
  </xdr:twoCellAnchor>
  <xdr:twoCellAnchor editAs="oneCell">
    <xdr:from>
      <xdr:col>0</xdr:col>
      <xdr:colOff>0</xdr:colOff>
      <xdr:row>31</xdr:row>
      <xdr:rowOff>0</xdr:rowOff>
    </xdr:from>
    <xdr:to>
      <xdr:col>6</xdr:col>
      <xdr:colOff>351867</xdr:colOff>
      <xdr:row>49</xdr:row>
      <xdr:rowOff>113900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4466667" cy="3200000"/>
        </a:xfrm>
        <a:prstGeom prst="rect">
          <a:avLst/>
        </a:prstGeom>
      </xdr:spPr>
    </xdr:pic>
    <xdr:clientData/>
  </xdr:twoCellAnchor>
  <xdr:twoCellAnchor editAs="oneCell">
    <xdr:from>
      <xdr:col>0</xdr:col>
      <xdr:colOff>0</xdr:colOff>
      <xdr:row>51</xdr:row>
      <xdr:rowOff>0</xdr:rowOff>
    </xdr:from>
    <xdr:to>
      <xdr:col>8</xdr:col>
      <xdr:colOff>532648</xdr:colOff>
      <xdr:row>68</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6019048" cy="3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受贵公司委托，我公司对出让国有建设用地使用权抵押价格进行了预评估。</v>
      </c>
      <c r="AM6" s="2542"/>
    </row>
    <row r="7" spans="1:55" s="2516" customFormat="1">
      <c r="A7" s="2517" t="s">
        <v>2374</v>
      </c>
      <c r="B7" s="2518" t="str">
        <f>'预评函-1'!A6</f>
        <v>估价对象为使用的、位于出让国有建设用地使用权。根据《国有土地使用证》[]，估价对象（分摊）出让国有建设用地使用权面积为16450平方米。根据《建设工程规划许可证》[]、《出让合同》[]，估价对象规划建筑面积为1790.62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2022年9月15日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根据《国有土地使用证》[]，估价对象（分摊）出让国有建设用地使用权面积为16450平方米。根据《建设工程规划许可证》[]、《出让合同》[]，估价对象规划建筑面积为1790.62平方米。</v>
      </c>
    </row>
    <row r="16" spans="1:55" s="2516" customFormat="1">
      <c r="A16" s="2517" t="s">
        <v>2386</v>
      </c>
      <c r="B16" s="2518" t="str">
        <f>'预评函-1'!A22</f>
        <v>本次估价对象为出让国有建设用地使用权，《国有土地使用证》[]证载土地终止日期为商业2054年4月17日。截至估价期日，出让国有建设用地使用权剩余土地使用年限为。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估价期日：2022年9月15日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16450</v>
      </c>
    </row>
    <row r="44" spans="1:2">
      <c r="A44" s="2517" t="s">
        <v>2457</v>
      </c>
      <c r="B44" s="2518" t="str">
        <f>'预评函-2'!O3</f>
        <v>规划建筑面积/㎡</v>
      </c>
    </row>
    <row r="45" spans="1:2">
      <c r="A45" s="2517" t="s">
        <v>2439</v>
      </c>
      <c r="B45" s="2518">
        <f>'预评函-2'!O5</f>
        <v>1790.62</v>
      </c>
    </row>
    <row r="46" spans="1:2">
      <c r="A46" s="2517" t="s">
        <v>2440</v>
      </c>
      <c r="B46" s="2518">
        <f ca="1">'预评函-2'!P5</f>
        <v>1323</v>
      </c>
    </row>
    <row r="47" spans="1:2">
      <c r="A47" s="2517" t="s">
        <v>2441</v>
      </c>
      <c r="B47" s="2518">
        <f ca="1">'预评函-2'!Q5</f>
        <v>12152</v>
      </c>
    </row>
    <row r="48" spans="1:2">
      <c r="A48" s="2517" t="s">
        <v>2442</v>
      </c>
      <c r="B48" s="2518">
        <f ca="1">'预评函-2'!R5</f>
        <v>2176</v>
      </c>
    </row>
    <row r="49" spans="1:2">
      <c r="A49" s="2517" t="s">
        <v>2458</v>
      </c>
      <c r="B49" s="2518" t="str">
        <f>'预评函-2'!A6</f>
        <v>抵押价格</v>
      </c>
    </row>
    <row r="50" spans="1:2">
      <c r="A50" s="2517" t="s">
        <v>2443</v>
      </c>
      <c r="B50" s="2518" t="str">
        <f>'预评函-2'!R6</f>
        <v>——</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综上，本次评估不存在估价师知悉的法定优先受偿款</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O25" sqref="O25"/>
    </sheetView>
  </sheetViews>
  <sheetFormatPr defaultColWidth="10" defaultRowHeight="14.25"/>
  <cols>
    <col min="1" max="1" width="15.375" style="1568" customWidth="1"/>
    <col min="2" max="2" width="11.375" style="1568" customWidth="1"/>
    <col min="3" max="3" width="12.625" style="1568" customWidth="1"/>
    <col min="4" max="4" width="11.75"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1729</v>
      </c>
      <c r="B1" s="3503" t="str">
        <f>IF(B10="北京市","北京市",C10)&amp;F10&amp;B16&amp;"国有建设用地使用权"&amp;B9&amp;"预评估"</f>
        <v>出让国有建设用地使用权抵押价格预评估</v>
      </c>
      <c r="C1" s="3504"/>
      <c r="D1" s="3504"/>
      <c r="E1" s="3504"/>
      <c r="F1" s="3504"/>
      <c r="G1" s="3504"/>
      <c r="H1" s="3504"/>
      <c r="I1" s="3505"/>
      <c r="J1" s="2982"/>
      <c r="K1" s="2264" t="str">
        <f>IF(B10="北京市","北京市",C10)&amp;F10&amp;B16&amp;"国有建设用地使用权"&amp;B9</f>
        <v>出让国有建设用地使用权抵押价格</v>
      </c>
      <c r="L1" s="2961"/>
      <c r="M1" s="2961"/>
      <c r="N1" s="2962"/>
      <c r="O1" s="2963"/>
      <c r="P1" s="2962"/>
      <c r="Q1" s="2962"/>
      <c r="R1" s="2962"/>
      <c r="S1" s="2962"/>
      <c r="T1" s="2962"/>
      <c r="U1" s="2962"/>
    </row>
    <row r="2" spans="1:21">
      <c r="A2" s="1542" t="s">
        <v>1730</v>
      </c>
      <c r="B2" s="1710"/>
      <c r="D2" s="2982"/>
      <c r="E2" s="2982"/>
      <c r="F2" s="2982"/>
      <c r="G2" s="2982"/>
      <c r="H2" s="2983"/>
      <c r="I2" s="2984"/>
      <c r="J2" s="2982"/>
      <c r="K2" s="2264" t="str">
        <f>IF(B10="北京市","北京市",C10)&amp;F10&amp;B16&amp;"国有建设用地使用权"</f>
        <v>出让国有建设用地使用权</v>
      </c>
      <c r="L2" s="2961"/>
      <c r="M2" s="2961"/>
      <c r="N2" s="2962"/>
      <c r="O2" s="2963"/>
      <c r="P2" s="2962"/>
      <c r="Q2" s="2962"/>
      <c r="R2" s="2962"/>
      <c r="S2" s="2962"/>
      <c r="T2" s="2962"/>
      <c r="U2" s="2962"/>
    </row>
    <row r="3" spans="1:21">
      <c r="A3" s="1543" t="s">
        <v>1731</v>
      </c>
      <c r="B3" s="1544"/>
      <c r="C3" s="2905" t="s">
        <v>1787</v>
      </c>
      <c r="D3" s="1544">
        <v>44819</v>
      </c>
      <c r="E3" s="2982"/>
      <c r="F3" s="2982"/>
      <c r="G3" s="2982"/>
      <c r="H3" s="2983"/>
      <c r="I3" s="2984"/>
      <c r="J3" s="2982"/>
      <c r="K3" s="2965"/>
      <c r="L3" s="2961"/>
      <c r="M3" s="2961"/>
      <c r="N3" s="2962"/>
      <c r="O3" s="2963"/>
      <c r="P3" s="2962"/>
      <c r="Q3" s="2962"/>
      <c r="R3" s="2962"/>
      <c r="S3" s="2962"/>
      <c r="T3" s="2962"/>
      <c r="U3" s="2962"/>
    </row>
    <row r="4" spans="1:21" ht="29.2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1733</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2423</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2424</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1734</v>
      </c>
      <c r="B8" s="1552" t="s">
        <v>2688</v>
      </c>
      <c r="C8" s="1553"/>
      <c r="D8" s="3509" t="s">
        <v>1736</v>
      </c>
      <c r="E8" s="1712"/>
      <c r="F8" s="1554"/>
      <c r="G8" s="2983"/>
      <c r="H8" s="2983"/>
      <c r="I8" s="2986"/>
      <c r="J8" s="2982"/>
      <c r="K8" s="2965"/>
      <c r="L8" s="2961"/>
      <c r="M8" s="2961"/>
      <c r="N8" s="2962"/>
      <c r="O8" s="2963"/>
      <c r="P8" s="2962"/>
      <c r="Q8" s="2962"/>
      <c r="R8" s="2962"/>
      <c r="S8" s="2962"/>
      <c r="T8" s="2962"/>
      <c r="U8" s="2962"/>
    </row>
    <row r="9" spans="1:21" ht="15" thickBot="1">
      <c r="A9" s="2907" t="s">
        <v>1735</v>
      </c>
      <c r="B9" s="1555" t="s">
        <v>3273</v>
      </c>
      <c r="C9" s="1556"/>
      <c r="D9" s="3510"/>
      <c r="E9" s="1555"/>
      <c r="F9" s="1619"/>
      <c r="G9" s="2987"/>
      <c r="H9" s="2987"/>
      <c r="I9" s="2988"/>
      <c r="J9" s="2982"/>
      <c r="K9" s="2965"/>
      <c r="L9" s="2961"/>
      <c r="M9" s="2961"/>
      <c r="N9" s="2962"/>
      <c r="O9" s="2963"/>
      <c r="P9" s="2962"/>
      <c r="Q9" s="2962"/>
      <c r="R9" s="2962"/>
      <c r="S9" s="2962"/>
      <c r="T9" s="2962"/>
      <c r="U9" s="2962"/>
    </row>
    <row r="10" spans="1:21" ht="15" thickTop="1">
      <c r="A10" s="2908" t="s">
        <v>1791</v>
      </c>
      <c r="B10" s="1595" t="s">
        <v>3274</v>
      </c>
      <c r="C10" s="1557"/>
      <c r="D10" s="1549"/>
      <c r="E10" s="1558" t="s">
        <v>1738</v>
      </c>
      <c r="F10" s="1559"/>
      <c r="G10" s="1617"/>
      <c r="H10" s="1618"/>
      <c r="I10" s="1549"/>
      <c r="J10" s="2982"/>
      <c r="K10" s="2965"/>
      <c r="L10" s="2961"/>
      <c r="M10" s="2961"/>
      <c r="N10" s="2962"/>
      <c r="O10" s="2963"/>
      <c r="P10" s="2962"/>
      <c r="Q10" s="2962"/>
      <c r="R10" s="2962"/>
      <c r="S10" s="2962"/>
      <c r="T10" s="2962"/>
      <c r="U10" s="2962"/>
    </row>
    <row r="11" spans="1:21">
      <c r="A11" s="2909" t="s">
        <v>1792</v>
      </c>
      <c r="B11" s="1574" t="s">
        <v>3275</v>
      </c>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1850</v>
      </c>
      <c r="B12" s="3506"/>
      <c r="C12" s="3507"/>
      <c r="D12" s="3508"/>
      <c r="E12" s="1575" t="s">
        <v>1853</v>
      </c>
      <c r="F12" s="3524" t="s">
        <v>2602</v>
      </c>
      <c r="G12" s="3525"/>
      <c r="H12" s="3525"/>
      <c r="I12" s="3526"/>
      <c r="J12" s="2982"/>
      <c r="K12" s="2965"/>
      <c r="L12" s="2961"/>
      <c r="M12" s="2961"/>
      <c r="N12" s="2962"/>
      <c r="O12" s="2963"/>
      <c r="P12" s="2962"/>
      <c r="Q12" s="2962"/>
      <c r="R12" s="2962"/>
      <c r="S12" s="2962"/>
      <c r="T12" s="2962"/>
      <c r="U12" s="2962"/>
    </row>
    <row r="13" spans="1:21">
      <c r="A13" s="1566" t="s">
        <v>1851</v>
      </c>
      <c r="B13" s="3506"/>
      <c r="C13" s="3507"/>
      <c r="D13" s="3508"/>
      <c r="E13" s="1575" t="s">
        <v>1853</v>
      </c>
      <c r="F13" s="3524" t="s">
        <v>2603</v>
      </c>
      <c r="G13" s="3525"/>
      <c r="H13" s="3525"/>
      <c r="I13" s="3526"/>
      <c r="J13" s="2982"/>
      <c r="K13" s="2965"/>
      <c r="L13" s="2961"/>
      <c r="M13" s="2961"/>
      <c r="N13" s="2962"/>
      <c r="O13" s="2963"/>
      <c r="P13" s="2962"/>
      <c r="Q13" s="2962"/>
      <c r="R13" s="2962"/>
      <c r="S13" s="2962"/>
      <c r="T13" s="2962"/>
      <c r="U13" s="2962"/>
    </row>
    <row r="14" spans="1:21">
      <c r="A14" s="1543" t="s">
        <v>1854</v>
      </c>
      <c r="B14" s="1575"/>
      <c r="C14" s="1713" t="s">
        <v>3277</v>
      </c>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1741</v>
      </c>
      <c r="E15" s="1638" t="s">
        <v>1742</v>
      </c>
      <c r="F15" s="1638" t="s">
        <v>1743</v>
      </c>
      <c r="G15" s="1565" t="s">
        <v>1744</v>
      </c>
      <c r="H15" s="1565" t="s">
        <v>1745</v>
      </c>
      <c r="I15" s="1565" t="s">
        <v>1746</v>
      </c>
      <c r="J15" s="2982"/>
      <c r="K15" s="2965"/>
      <c r="L15" s="2961"/>
      <c r="M15" s="2961"/>
      <c r="N15" s="2962"/>
      <c r="O15" s="2963"/>
      <c r="P15" s="2962"/>
      <c r="Q15" s="2962"/>
      <c r="R15" s="2962"/>
      <c r="S15" s="2962"/>
      <c r="T15" s="2962"/>
      <c r="U15" s="2962"/>
    </row>
    <row r="16" spans="1:21" ht="28.5">
      <c r="A16" s="2910" t="s">
        <v>1739</v>
      </c>
      <c r="B16" s="1561" t="s">
        <v>3276</v>
      </c>
      <c r="C16" s="1575" t="s">
        <v>1740</v>
      </c>
      <c r="D16" s="2410" t="s">
        <v>1741</v>
      </c>
      <c r="E16" s="1598" t="s">
        <v>3278</v>
      </c>
      <c r="F16" s="1598"/>
      <c r="G16" s="1598"/>
      <c r="H16" s="1598"/>
      <c r="I16" s="1565" t="s">
        <v>1746</v>
      </c>
      <c r="J16" s="2982"/>
      <c r="K16" s="2265" t="str">
        <f>IF(D17="","",D16&amp;TEXT(D17,"yyyy年m月d日;;"))</f>
        <v/>
      </c>
      <c r="L16" s="1575" t="str">
        <f>IF(OR(K16="",M16=""),"","、")</f>
        <v/>
      </c>
      <c r="M16" s="2265" t="str">
        <f>IF(E17="","",E16&amp;TEXT(E17,"yyyy年m月d日;;"))</f>
        <v>商业2054年4月17日</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
      </c>
    </row>
    <row r="17" spans="1:21">
      <c r="A17" s="1635"/>
      <c r="B17" s="1562"/>
      <c r="C17" s="2911" t="s">
        <v>1747</v>
      </c>
      <c r="D17" s="1576"/>
      <c r="E17" s="1576">
        <v>56356</v>
      </c>
      <c r="F17" s="1576"/>
      <c r="G17" s="1576"/>
      <c r="H17" s="1576"/>
      <c r="I17" s="1576"/>
      <c r="J17" s="2982"/>
      <c r="K17" s="2960" t="str">
        <f>CONCATENATE(K16,L16,M16,N16,O16,P16,Q16,R16,S16,T16,,U16)</f>
        <v>商业2054年4月17日</v>
      </c>
      <c r="L17" s="2961"/>
      <c r="M17" s="2961"/>
      <c r="N17" s="2962"/>
      <c r="O17" s="2963"/>
      <c r="P17" s="2962"/>
      <c r="Q17" s="2962"/>
      <c r="R17" s="2962"/>
      <c r="S17" s="2962"/>
      <c r="T17" s="2962"/>
      <c r="U17" s="2962"/>
    </row>
    <row r="18" spans="1:21">
      <c r="A18" s="1635"/>
      <c r="B18" s="1562"/>
      <c r="C18" s="2911" t="s">
        <v>1748</v>
      </c>
      <c r="D18" s="1563"/>
      <c r="E18" s="1563">
        <v>40</v>
      </c>
      <c r="F18" s="1563"/>
      <c r="G18" s="1563"/>
      <c r="H18" s="1563"/>
      <c r="I18" s="1563"/>
      <c r="J18" s="2982"/>
      <c r="K18" s="2965"/>
      <c r="L18" s="2961"/>
      <c r="M18" s="2961"/>
      <c r="N18" s="2962"/>
      <c r="O18" s="2963"/>
      <c r="P18" s="2962"/>
      <c r="Q18" s="2962"/>
      <c r="R18" s="2962"/>
      <c r="S18" s="2962"/>
      <c r="T18" s="2962"/>
      <c r="U18" s="2962"/>
    </row>
    <row r="19" spans="1:21">
      <c r="A19" s="1635"/>
      <c r="B19" s="1562"/>
      <c r="C19" s="1542" t="s">
        <v>1749</v>
      </c>
      <c r="D19" s="1630" t="str">
        <f>IF(B16="出让",IF(D17="","",ROUNDDOWN(MIN((D17-$D$3)/365,D18),2)),D18)</f>
        <v/>
      </c>
      <c r="E19" s="1564">
        <f>IF(B16="出让",IF(E17="","",ROUNDDOWN(MIN((E17-$D$3)/365,E18),2)),E18)</f>
        <v>31.6</v>
      </c>
      <c r="F19" s="1564" t="str">
        <f>IF(B16="出让",IF(F17="","",ROUNDDOWN(MIN((F17-$D$3)/365,F18),2)),F18)</f>
        <v/>
      </c>
      <c r="G19" s="1564" t="str">
        <f>IF(B16="出让",IF(G17="","",ROUNDDOWN(MIN((G17-$D$3)/365,G18),2)),G18)</f>
        <v/>
      </c>
      <c r="H19" s="1564" t="str">
        <f>IF(B16="出让",IF(H17="","",ROUNDDOWN(MIN((H17-$D$3)/365,H18),2)),H18)</f>
        <v/>
      </c>
      <c r="I19" s="1564" t="str">
        <f>IF(B16="出让",IF(I17="","",ROUNDDOWN(MIN((I17-$D$3)/365,I18),2)),I18)</f>
        <v/>
      </c>
      <c r="J19" s="2982"/>
      <c r="K19" s="2965"/>
      <c r="L19" s="2961"/>
      <c r="M19" s="2961"/>
      <c r="N19" s="2962"/>
      <c r="O19" s="2963"/>
      <c r="P19" s="2962"/>
      <c r="Q19" s="2962"/>
      <c r="R19" s="2962"/>
      <c r="S19" s="2962"/>
      <c r="T19" s="2962"/>
      <c r="U19" s="2962"/>
    </row>
    <row r="20" spans="1:21">
      <c r="A20" s="1655"/>
      <c r="B20" s="1656"/>
      <c r="C20" s="1657" t="s">
        <v>1852</v>
      </c>
      <c r="D20" s="3521"/>
      <c r="E20" s="3522"/>
      <c r="F20" s="3522"/>
      <c r="G20" s="3522"/>
      <c r="H20" s="3522"/>
      <c r="I20" s="3523"/>
      <c r="J20" s="2982"/>
      <c r="K20" s="2965"/>
      <c r="L20" s="2961"/>
      <c r="M20" s="2961"/>
      <c r="N20" s="2962"/>
      <c r="O20" s="2963"/>
      <c r="P20" s="2962"/>
      <c r="Q20" s="2962"/>
      <c r="R20" s="2962"/>
      <c r="S20" s="2962"/>
      <c r="T20" s="2962"/>
      <c r="U20" s="2962"/>
    </row>
    <row r="21" spans="1:21">
      <c r="A21" s="1635" t="s">
        <v>1750</v>
      </c>
      <c r="B21" s="1636" t="s">
        <v>1751</v>
      </c>
      <c r="C21" s="1631">
        <f>'数据-汇总表'!E3</f>
        <v>1790.62</v>
      </c>
      <c r="D21" s="1632" t="s">
        <v>1752</v>
      </c>
      <c r="E21" s="3511" t="s">
        <v>1790</v>
      </c>
      <c r="F21" s="3512"/>
      <c r="G21" s="3512"/>
      <c r="H21" s="3512"/>
      <c r="I21" s="3513"/>
      <c r="J21" s="2982"/>
      <c r="K21" s="2965"/>
      <c r="L21" s="2961"/>
      <c r="M21" s="2961"/>
      <c r="N21" s="2962"/>
      <c r="O21" s="2963"/>
      <c r="P21" s="2962"/>
      <c r="Q21" s="2962"/>
      <c r="R21" s="2962"/>
      <c r="S21" s="2962"/>
      <c r="T21" s="2962"/>
      <c r="U21" s="2962"/>
    </row>
    <row r="22" spans="1:21">
      <c r="A22" s="2720" t="s">
        <v>931</v>
      </c>
      <c r="B22" s="1543" t="s">
        <v>1753</v>
      </c>
      <c r="C22" s="1565">
        <f>'数据-汇总表'!D3</f>
        <v>16450</v>
      </c>
      <c r="D22" s="1566" t="s">
        <v>1752</v>
      </c>
      <c r="E22" s="3511" t="s">
        <v>2604</v>
      </c>
      <c r="F22" s="3512"/>
      <c r="G22" s="3512"/>
      <c r="H22" s="3512"/>
      <c r="I22" s="3513"/>
      <c r="J22" s="2982"/>
      <c r="K22" s="2965"/>
      <c r="L22" s="2961"/>
      <c r="M22" s="2961"/>
      <c r="N22" s="2962"/>
      <c r="O22" s="2963"/>
      <c r="P22" s="2962"/>
      <c r="Q22" s="2962"/>
      <c r="R22" s="2962"/>
      <c r="S22" s="2962"/>
      <c r="T22" s="2962"/>
      <c r="U22" s="2962"/>
    </row>
    <row r="23" spans="1:21" ht="43.5" thickBot="1">
      <c r="A23" s="1637" t="s">
        <v>1754</v>
      </c>
      <c r="B23" s="1577" t="s">
        <v>1755</v>
      </c>
      <c r="C23" s="1578"/>
      <c r="D23" s="1579" t="s">
        <v>1756</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1757</v>
      </c>
      <c r="B24" s="3514" t="s">
        <v>1758</v>
      </c>
      <c r="C24" s="3515"/>
      <c r="D24" s="3516" t="s">
        <v>1759</v>
      </c>
      <c r="E24" s="3517"/>
      <c r="F24" s="1584" t="s">
        <v>1760</v>
      </c>
      <c r="G24" s="2982"/>
      <c r="H24" s="2982"/>
      <c r="I24" s="2986"/>
      <c r="J24" s="2982"/>
      <c r="K24" s="3502"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2115</v>
      </c>
      <c r="C25" s="1585" t="s">
        <v>1762</v>
      </c>
      <c r="D25" s="1586"/>
      <c r="E25" s="1587" t="s">
        <v>931</v>
      </c>
      <c r="F25" s="1588"/>
      <c r="G25" s="2982"/>
      <c r="H25" s="2982"/>
      <c r="I25" s="2986"/>
      <c r="J25" s="2982"/>
      <c r="K25" s="3502"/>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1763</v>
      </c>
      <c r="C26" s="1585" t="s">
        <v>2116</v>
      </c>
      <c r="D26" s="2983"/>
      <c r="E26" s="2983"/>
      <c r="F26" s="2989"/>
      <c r="G26" s="2982"/>
      <c r="H26" s="2982"/>
      <c r="I26" s="2986"/>
      <c r="J26" s="2982"/>
      <c r="K26" s="3502"/>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1764</v>
      </c>
      <c r="B27" s="1625" t="s">
        <v>1765</v>
      </c>
      <c r="C27" s="1589"/>
      <c r="D27" s="2415" t="s">
        <v>1765</v>
      </c>
      <c r="E27" s="1590"/>
      <c r="F27" s="2989"/>
      <c r="G27" s="2982"/>
      <c r="H27" s="2982"/>
      <c r="I27" s="2986"/>
      <c r="J27" s="2982"/>
      <c r="K27" s="2965"/>
      <c r="L27" s="2961"/>
      <c r="M27" s="2961"/>
      <c r="N27" s="2962"/>
      <c r="O27" s="2963"/>
      <c r="P27" s="2962"/>
      <c r="Q27" s="2962"/>
      <c r="R27" s="2962"/>
      <c r="S27" s="2962"/>
      <c r="T27" s="2962"/>
      <c r="U27" s="2962"/>
    </row>
    <row r="28" spans="1:21">
      <c r="A28" s="1628"/>
      <c r="B28" s="1625" t="s">
        <v>1766</v>
      </c>
      <c r="C28" s="1591"/>
      <c r="D28" s="2416" t="s">
        <v>1766</v>
      </c>
      <c r="E28" s="1592"/>
      <c r="F28" s="2989"/>
      <c r="G28" s="2982"/>
      <c r="H28" s="2982"/>
      <c r="I28" s="2986"/>
      <c r="J28" s="2982"/>
      <c r="K28" s="2965"/>
      <c r="L28" s="2961"/>
      <c r="M28" s="2961"/>
      <c r="N28" s="2962"/>
      <c r="O28" s="2963"/>
      <c r="P28" s="2962"/>
      <c r="Q28" s="2962"/>
      <c r="R28" s="2962"/>
      <c r="S28" s="2962"/>
      <c r="T28" s="2962"/>
      <c r="U28" s="2962"/>
    </row>
    <row r="29" spans="1:21">
      <c r="A29" s="1628"/>
      <c r="B29" s="1625" t="s">
        <v>1767</v>
      </c>
      <c r="C29" s="1591"/>
      <c r="D29" s="2416" t="s">
        <v>1767</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1768</v>
      </c>
      <c r="C30" s="1593"/>
      <c r="D30" s="2417" t="s">
        <v>1768</v>
      </c>
      <c r="E30" s="1594"/>
      <c r="F30" s="2990"/>
      <c r="G30" s="2987"/>
      <c r="H30" s="2987"/>
      <c r="I30" s="2988"/>
      <c r="J30" s="2982"/>
      <c r="K30" s="2965"/>
      <c r="L30" s="2961"/>
      <c r="M30" s="2961"/>
      <c r="N30" s="2962"/>
      <c r="O30" s="2963"/>
      <c r="P30" s="2962"/>
      <c r="Q30" s="2962"/>
      <c r="R30" s="2962"/>
      <c r="S30" s="2962"/>
      <c r="T30" s="2962"/>
      <c r="U30" s="2962"/>
    </row>
    <row r="31" spans="1:21" ht="15" thickTop="1">
      <c r="A31" s="3529" t="s">
        <v>1793</v>
      </c>
      <c r="B31" s="1636" t="s">
        <v>1794</v>
      </c>
      <c r="C31" s="3527"/>
      <c r="D31" s="3528"/>
      <c r="E31" s="2982"/>
      <c r="F31" s="2982"/>
      <c r="G31" s="2982"/>
      <c r="H31" s="2982"/>
      <c r="I31" s="2986"/>
      <c r="J31" s="2982"/>
      <c r="K31" s="2968"/>
      <c r="L31" s="2962"/>
      <c r="M31" s="2962"/>
      <c r="N31" s="2962"/>
      <c r="O31" s="2962"/>
      <c r="P31" s="2962"/>
      <c r="Q31" s="2962"/>
      <c r="R31" s="2962"/>
      <c r="S31" s="2962"/>
      <c r="T31" s="2962"/>
      <c r="U31" s="2962"/>
    </row>
    <row r="32" spans="1:21">
      <c r="A32" s="3529"/>
      <c r="B32" s="1543" t="s">
        <v>1795</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529"/>
      <c r="B33" s="1543" t="s">
        <v>1796</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530"/>
      <c r="B34" s="1543" t="s">
        <v>1797</v>
      </c>
      <c r="C34" s="3531"/>
      <c r="D34" s="3532"/>
      <c r="E34" s="2982"/>
      <c r="F34" s="2982"/>
      <c r="G34" s="2982"/>
      <c r="H34" s="2982"/>
      <c r="I34" s="2986"/>
      <c r="J34" s="2982"/>
      <c r="K34" s="2968"/>
      <c r="L34" s="2962"/>
      <c r="M34" s="2962"/>
      <c r="N34" s="2962"/>
      <c r="O34" s="2962"/>
      <c r="P34" s="2962"/>
      <c r="Q34" s="2962"/>
      <c r="R34" s="2962"/>
      <c r="S34" s="2962"/>
      <c r="T34" s="2962"/>
      <c r="U34" s="2962"/>
    </row>
    <row r="35" spans="1:28">
      <c r="A35" s="3533" t="s">
        <v>827</v>
      </c>
      <c r="B35" s="1598"/>
      <c r="C35" s="1645" t="str">
        <f>IF(B35="场地平整","——","具体情况：")</f>
        <v>具体情况：</v>
      </c>
      <c r="D35" s="3535"/>
      <c r="E35" s="3536"/>
      <c r="F35" s="3536"/>
      <c r="G35" s="3536"/>
      <c r="H35" s="3536"/>
      <c r="I35" s="3537"/>
      <c r="J35" s="2982"/>
      <c r="K35" s="2969"/>
      <c r="L35" s="2961"/>
      <c r="M35" s="2961"/>
      <c r="N35" s="2962"/>
      <c r="O35" s="2963"/>
      <c r="P35" s="2962"/>
      <c r="Q35" s="2962"/>
      <c r="R35" s="2962"/>
      <c r="S35" s="2962"/>
      <c r="T35" s="2962"/>
      <c r="U35" s="2962"/>
    </row>
    <row r="36" spans="1:28">
      <c r="A36" s="3529"/>
      <c r="B36" s="3538" t="s">
        <v>1846</v>
      </c>
      <c r="C36" s="3539"/>
      <c r="D36" s="1661"/>
      <c r="E36" s="3540"/>
      <c r="F36" s="3540"/>
      <c r="G36" s="1566" t="str">
        <f>IF(B35="场地未平整","估价结果处理","")</f>
        <v/>
      </c>
      <c r="H36" s="3541"/>
      <c r="I36" s="3541"/>
      <c r="J36" s="2982"/>
      <c r="K36" s="2969"/>
      <c r="L36" s="2961"/>
      <c r="M36" s="2961"/>
      <c r="N36" s="2962"/>
      <c r="O36" s="2963"/>
      <c r="P36" s="2962"/>
      <c r="Q36" s="2962"/>
      <c r="R36" s="2962"/>
      <c r="S36" s="2962"/>
      <c r="T36" s="2962"/>
      <c r="U36" s="2962"/>
    </row>
    <row r="37" spans="1:28" ht="28.5">
      <c r="A37" s="3529"/>
      <c r="B37" s="3518"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529"/>
      <c r="B38" s="3519"/>
      <c r="C38" s="1551" t="s">
        <v>830</v>
      </c>
      <c r="D38" s="1660">
        <f>ROUNDDOWN(MIN(('数据-取费表'!$B$2-D37)/365,D34),1)</f>
        <v>122.7</v>
      </c>
      <c r="E38" s="1603" t="s">
        <v>831</v>
      </c>
      <c r="F38" s="2982"/>
      <c r="G38" s="2982"/>
      <c r="H38" s="2982"/>
      <c r="I38" s="2986"/>
      <c r="J38" s="2982"/>
      <c r="K38" s="2969"/>
      <c r="L38" s="2962"/>
      <c r="M38" s="2962"/>
      <c r="N38" s="2962"/>
      <c r="O38" s="2962"/>
      <c r="P38" s="2962"/>
      <c r="Q38" s="2962"/>
      <c r="R38" s="2962"/>
      <c r="S38" s="2962"/>
      <c r="T38" s="2962"/>
      <c r="U38" s="2962"/>
    </row>
    <row r="39" spans="1:28">
      <c r="A39" s="3530"/>
      <c r="B39" s="3520"/>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1769</v>
      </c>
      <c r="B40" s="1567"/>
      <c r="C40" s="1567"/>
      <c r="D40" s="1567"/>
      <c r="E40" s="1567"/>
      <c r="F40" s="1567"/>
      <c r="G40" s="1567"/>
      <c r="H40" s="1567"/>
      <c r="I40" s="2986"/>
      <c r="J40" s="2982"/>
      <c r="K40" s="2930">
        <f>COUNTIF(B40:H40,"——")</f>
        <v>0</v>
      </c>
      <c r="L40" s="1575" t="s">
        <v>1770</v>
      </c>
      <c r="M40" s="1572" t="s">
        <v>1771</v>
      </c>
      <c r="N40" s="1572" t="s">
        <v>1772</v>
      </c>
      <c r="O40" s="1572" t="s">
        <v>1773</v>
      </c>
      <c r="P40" s="1572" t="s">
        <v>1774</v>
      </c>
      <c r="Q40" s="1572" t="s">
        <v>1775</v>
      </c>
      <c r="R40" s="1572" t="s">
        <v>1776</v>
      </c>
      <c r="S40" s="3501" t="s">
        <v>1777</v>
      </c>
      <c r="T40" s="1607" t="str">
        <f>NUMBERSTRING(7-K40,1)&amp;"通"</f>
        <v>七通</v>
      </c>
      <c r="U40" s="2962"/>
    </row>
    <row r="41" spans="1:28">
      <c r="A41" s="1545"/>
      <c r="B41" s="3534" t="s">
        <v>1521</v>
      </c>
      <c r="C41" s="3534"/>
      <c r="D41" s="3534"/>
      <c r="E41" s="3534"/>
      <c r="F41" s="1608">
        <f>C10</f>
        <v>0</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501"/>
      <c r="T41" s="1609" t="str">
        <f>IF(T40="一通",L41,IF(T40="二通",M41,IF(T40="三通",N41,IF(T40="四通",O41,IF(T40="五通",P41,IF(T40="六通",Q41,R41))))))</f>
        <v>、、、、、、</v>
      </c>
      <c r="U41" s="2962"/>
    </row>
    <row r="42" spans="1:28">
      <c r="A42" s="1611"/>
      <c r="B42" s="1638" t="s">
        <v>1693</v>
      </c>
      <c r="C42" s="1638" t="s">
        <v>1694</v>
      </c>
      <c r="D42" s="1638" t="s">
        <v>1695</v>
      </c>
      <c r="E42" s="1575" t="s">
        <v>1696</v>
      </c>
      <c r="F42" s="1612"/>
      <c r="G42" s="2982"/>
      <c r="H42" s="2982"/>
      <c r="I42" s="2986"/>
      <c r="J42" s="2982"/>
      <c r="K42" s="2965"/>
      <c r="L42" s="2961"/>
      <c r="M42" s="2961"/>
      <c r="N42" s="2962"/>
      <c r="O42" s="2963"/>
      <c r="P42" s="2962"/>
      <c r="Q42" s="2962"/>
      <c r="R42" s="2962"/>
      <c r="S42" s="2962"/>
      <c r="T42" s="2962"/>
      <c r="U42" s="2962"/>
    </row>
    <row r="43" spans="1:28">
      <c r="A43" s="2933" t="s">
        <v>1506</v>
      </c>
      <c r="B43" s="1613"/>
      <c r="C43" s="1613"/>
      <c r="D43" s="1613"/>
      <c r="E43" s="1613"/>
      <c r="F43" s="1614"/>
      <c r="G43" s="2982"/>
      <c r="H43" s="2982"/>
      <c r="I43" s="2986"/>
      <c r="J43" s="2982"/>
      <c r="K43" s="2965"/>
      <c r="L43" s="2961"/>
      <c r="M43" s="2961"/>
      <c r="N43" s="2962"/>
      <c r="O43" s="2963"/>
      <c r="P43" s="2962"/>
      <c r="Q43" s="2962"/>
      <c r="R43" s="2962"/>
      <c r="S43" s="2962"/>
      <c r="T43" s="2962"/>
      <c r="U43" s="2962"/>
    </row>
    <row r="44" spans="1:28">
      <c r="A44" s="2933" t="s">
        <v>1507</v>
      </c>
      <c r="B44" s="1613"/>
      <c r="C44" s="1613"/>
      <c r="D44" s="1613"/>
      <c r="E44" s="1661"/>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2605</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1798</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5" t="s">
        <v>1809</v>
      </c>
      <c r="L48" s="2975" t="s">
        <v>1810</v>
      </c>
      <c r="M48" s="2975" t="s">
        <v>1811</v>
      </c>
      <c r="N48" s="2976" t="s">
        <v>1812</v>
      </c>
      <c r="O48" s="2976" t="s">
        <v>1813</v>
      </c>
      <c r="P48" s="2976" t="s">
        <v>1814</v>
      </c>
      <c r="Q48" s="2967" t="s">
        <v>1815</v>
      </c>
      <c r="R48" s="2967" t="s">
        <v>1816</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16450</v>
      </c>
      <c r="B3" s="22">
        <f>IF(C3="否",G5-AT5,G5)</f>
        <v>1790.62</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1790.62</v>
      </c>
      <c r="H5" s="27">
        <f t="shared" ref="H5:AT5" si="0">SUM(H13:H641)</f>
        <v>1790.62</v>
      </c>
      <c r="I5" s="27">
        <f t="shared" si="0"/>
        <v>1790.62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1790.62</v>
      </c>
      <c r="BA5" s="29">
        <f t="shared" si="1"/>
        <v>1790.62</v>
      </c>
      <c r="BB5" s="29">
        <f t="shared" si="1"/>
        <v>1790.62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16450</v>
      </c>
      <c r="F6" s="27" t="s">
        <v>1</v>
      </c>
      <c r="G6" s="27" t="s">
        <v>2</v>
      </c>
      <c r="H6" s="33">
        <f>SUMIF(I$12:AB$12,"总值",I6:AB6)</f>
        <v>16450</v>
      </c>
      <c r="I6" s="27">
        <f t="shared" ref="I6:AB6" si="2">ROUND($A$3*I5/$B$3,2)</f>
        <v>16450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16450</v>
      </c>
      <c r="AZ6" s="27" t="s">
        <v>3</v>
      </c>
      <c r="BA6" s="27">
        <f>ROUND($AY$6*BA5/$AZ$5,2)</f>
        <v>16450</v>
      </c>
      <c r="BB6" s="27">
        <f>ROUND($AY$6*BB5/$AZ$5,2)</f>
        <v>16450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t="s">
        <v>3279</v>
      </c>
      <c r="J9" s="51"/>
      <c r="K9" s="2653"/>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t="s">
        <v>3278</v>
      </c>
      <c r="J10" s="51"/>
      <c r="K10" s="2655"/>
      <c r="L10" s="51"/>
      <c r="M10" s="2655"/>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t="s">
        <v>1478</v>
      </c>
      <c r="E13" s="27">
        <f t="shared" ref="E13:E20" si="6">IF($C$3="是",ROUND($A$3*G13/$B$3,2),ROUND($A$3*(G13-AT13)/$B$3,2))</f>
        <v>16450</v>
      </c>
      <c r="F13" s="81"/>
      <c r="G13" s="82">
        <f t="shared" ref="G13:G20" si="7">H13+AC13+AT13</f>
        <v>1790.62</v>
      </c>
      <c r="H13" s="33">
        <f t="shared" ref="H13:H20" si="8">SUMIF(I$12:AB$12,"总值",I13:AB13)</f>
        <v>1790.62</v>
      </c>
      <c r="I13" s="2652">
        <v>1790.62</v>
      </c>
      <c r="J13" s="2652"/>
      <c r="K13" s="2652"/>
      <c r="L13" s="2652"/>
      <c r="M13" s="2652"/>
      <c r="N13" s="83"/>
      <c r="O13" s="83"/>
      <c r="P13" s="83"/>
      <c r="Q13" s="83"/>
      <c r="R13" s="83"/>
      <c r="S13" s="83"/>
      <c r="T13" s="83"/>
      <c r="U13" s="83"/>
      <c r="V13" s="83"/>
      <c r="W13" s="83"/>
      <c r="X13" s="83"/>
      <c r="Y13" s="83"/>
      <c r="Z13" s="83"/>
      <c r="AA13" s="83"/>
      <c r="AB13" s="83"/>
      <c r="AC13" s="27">
        <f t="shared" ref="AC13:AC20" si="9">SUMIF(AD$12:AS$12,"总值",AD13:AS13)</f>
        <v>0</v>
      </c>
      <c r="AD13" s="2656"/>
      <c r="AE13" s="2656"/>
      <c r="AF13" s="2656"/>
      <c r="AG13" s="2656"/>
      <c r="AH13" s="2656"/>
      <c r="AI13" s="2656"/>
      <c r="AJ13" s="2656"/>
      <c r="AK13" s="2656"/>
      <c r="AL13" s="2656"/>
      <c r="AM13" s="2656"/>
      <c r="AN13" s="2656"/>
      <c r="AO13" s="2656"/>
      <c r="AP13" s="2656"/>
      <c r="AQ13" s="2656"/>
      <c r="AR13" s="2656"/>
      <c r="AS13" s="2656"/>
      <c r="AT13" s="2657"/>
      <c r="AU13" s="2658"/>
      <c r="AV13" s="17">
        <f t="shared" ref="AV13:AX20" si="10">A13</f>
        <v>0</v>
      </c>
      <c r="AW13" s="17">
        <f t="shared" si="10"/>
        <v>0</v>
      </c>
      <c r="AX13" s="17">
        <f t="shared" si="10"/>
        <v>0</v>
      </c>
      <c r="AY13" s="967">
        <f t="shared" ref="AY13:AY20" si="11">ROUND($AY$6*AZ13/$AZ$5,2)</f>
        <v>16450</v>
      </c>
      <c r="AZ13" s="27">
        <f t="shared" ref="AZ13:AZ20" si="12">BA13+BL13</f>
        <v>1790.62</v>
      </c>
      <c r="BA13" s="27">
        <f t="shared" ref="BA13:BA20" si="13">SUM(BB13:BK13)</f>
        <v>1790.62</v>
      </c>
      <c r="BB13" s="27">
        <f t="shared" ref="BB13:BB20" si="14">IF($D13="是",I13-J13,0)</f>
        <v>1790.62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8"/>
      <c r="B14" s="2648"/>
      <c r="C14" s="2650"/>
      <c r="D14" s="2649"/>
      <c r="E14" s="27">
        <f t="shared" si="6"/>
        <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f t="shared" si="6"/>
        <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f t="shared" si="6"/>
        <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f t="shared" si="6"/>
        <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2" t="s">
        <v>0</v>
      </c>
      <c r="B1" s="3542" t="s">
        <v>4</v>
      </c>
      <c r="C1" s="3542" t="s">
        <v>5</v>
      </c>
      <c r="D1" s="3543" t="s">
        <v>40</v>
      </c>
      <c r="E1" s="3543" t="s">
        <v>41</v>
      </c>
      <c r="F1" s="3543"/>
      <c r="G1" s="3543"/>
      <c r="H1" s="3543"/>
      <c r="I1" s="3543"/>
      <c r="J1" s="3543"/>
      <c r="K1" s="3543"/>
      <c r="L1" s="3543"/>
      <c r="M1" s="3543"/>
    </row>
    <row r="2" spans="1:13" ht="27" customHeight="1">
      <c r="A2" s="3542"/>
      <c r="B2" s="3542"/>
      <c r="C2" s="3542"/>
      <c r="D2" s="3543"/>
      <c r="E2" s="3543" t="s">
        <v>24</v>
      </c>
      <c r="F2" s="3543" t="s">
        <v>25</v>
      </c>
      <c r="G2" s="3543"/>
      <c r="H2" s="3543"/>
      <c r="I2" s="3543"/>
      <c r="J2" s="3543" t="s">
        <v>26</v>
      </c>
      <c r="K2" s="3543"/>
      <c r="L2" s="3543"/>
      <c r="M2" s="3543"/>
    </row>
    <row r="3" spans="1:13" ht="28.5">
      <c r="A3" s="3542"/>
      <c r="B3" s="3542"/>
      <c r="C3" s="3542"/>
      <c r="D3" s="3543"/>
      <c r="E3" s="354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3" t="s">
        <v>42</v>
      </c>
      <c r="B9" s="3543"/>
      <c r="C9" s="354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37" sqref="M37"/>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53" t="s">
        <v>203</v>
      </c>
      <c r="B2" s="3553"/>
      <c r="C2" s="3553"/>
      <c r="D2" s="1843" t="s">
        <v>204</v>
      </c>
      <c r="E2" s="106" t="s">
        <v>205</v>
      </c>
      <c r="F2" s="2991"/>
      <c r="G2" s="1145"/>
      <c r="H2" s="1146"/>
      <c r="I2" s="1147" t="s">
        <v>837</v>
      </c>
      <c r="J2" s="2991"/>
      <c r="K2" s="2991"/>
      <c r="L2" s="2991"/>
      <c r="M2" s="2991"/>
      <c r="N2" s="2991"/>
      <c r="O2" s="2991"/>
      <c r="P2" s="2991"/>
    </row>
    <row r="3" spans="1:16" ht="15.75" thickBot="1">
      <c r="A3" s="3554" t="s">
        <v>206</v>
      </c>
      <c r="B3" s="3554"/>
      <c r="C3" s="3554"/>
      <c r="D3" s="107">
        <f>'数据-基础表'!AY6</f>
        <v>16450</v>
      </c>
      <c r="E3" s="107">
        <f>'数据-基础表'!AZ5</f>
        <v>1790.62</v>
      </c>
      <c r="F3" s="2991"/>
      <c r="G3" s="278" t="s">
        <v>838</v>
      </c>
      <c r="H3" s="273" t="s">
        <v>839</v>
      </c>
      <c r="I3" s="1844">
        <f>ROUND('数据-基础表'!B3/'数据-基础表'!A3,2)</f>
        <v>0.11</v>
      </c>
      <c r="J3" s="2991"/>
      <c r="K3" s="2991"/>
      <c r="L3" s="2991"/>
      <c r="M3" s="2991"/>
      <c r="N3" s="2991"/>
      <c r="O3" s="2991"/>
      <c r="P3" s="2991"/>
    </row>
    <row r="4" spans="1:16" ht="15">
      <c r="A4" s="3555"/>
      <c r="B4" s="3556"/>
      <c r="C4" s="3557"/>
      <c r="D4" s="108" t="s">
        <v>204</v>
      </c>
      <c r="E4" s="109" t="s">
        <v>205</v>
      </c>
      <c r="F4" s="2991"/>
      <c r="G4" s="1148"/>
      <c r="H4" s="273" t="s">
        <v>840</v>
      </c>
      <c r="I4" s="1844">
        <f>ROUND(SUMIF('数据-基础表'!I9:AS9,"地上",'数据-基础表'!I5:AS5)/'数据-基础表'!A3,2)</f>
        <v>0.11</v>
      </c>
      <c r="J4" s="2991"/>
      <c r="K4" s="2991"/>
      <c r="L4" s="2991"/>
      <c r="M4" s="2991"/>
      <c r="N4" s="2991"/>
      <c r="O4" s="2991"/>
      <c r="P4" s="2991"/>
    </row>
    <row r="5" spans="1:16">
      <c r="A5" s="110" t="s">
        <v>207</v>
      </c>
      <c r="B5" s="3558" t="s">
        <v>230</v>
      </c>
      <c r="C5" s="3558"/>
      <c r="D5" s="111">
        <f>ROUND($D$3*E5/$E$3,2)</f>
        <v>0</v>
      </c>
      <c r="E5" s="112">
        <f>SUMIF('数据-基础表'!$11:$11,"住宅",'数据-基础表'!$5:$5)</f>
        <v>0</v>
      </c>
      <c r="F5" s="2991"/>
      <c r="G5" s="278" t="s">
        <v>841</v>
      </c>
      <c r="H5" s="273" t="s">
        <v>839</v>
      </c>
      <c r="I5" s="1844">
        <f>ROUND(E31/D31,2)</f>
        <v>0.11</v>
      </c>
      <c r="J5" s="2991"/>
      <c r="K5" s="2991"/>
      <c r="L5" s="2991"/>
      <c r="M5" s="2991"/>
      <c r="N5" s="2991"/>
      <c r="O5" s="2991"/>
      <c r="P5" s="2991"/>
    </row>
    <row r="6" spans="1:16" ht="15" thickBot="1">
      <c r="A6" s="113"/>
      <c r="B6" s="3558" t="s">
        <v>208</v>
      </c>
      <c r="C6" s="3558"/>
      <c r="D6" s="111">
        <f>ROUND($D$3*E6/$E$3,2)</f>
        <v>16450</v>
      </c>
      <c r="E6" s="112">
        <f>E3-E5</f>
        <v>1790.62</v>
      </c>
      <c r="F6" s="2991"/>
      <c r="G6" s="1148"/>
      <c r="H6" s="273" t="s">
        <v>840</v>
      </c>
      <c r="I6" s="1844">
        <f>ROUND(F31/D31,2)</f>
        <v>0.11</v>
      </c>
      <c r="J6" s="2991"/>
      <c r="K6" s="2991"/>
      <c r="L6" s="2991"/>
      <c r="M6" s="2991"/>
      <c r="N6" s="2991"/>
      <c r="O6" s="2991"/>
      <c r="P6" s="2991"/>
    </row>
    <row r="7" spans="1:16" ht="15">
      <c r="A7" s="3550"/>
      <c r="B7" s="3551"/>
      <c r="C7" s="3552"/>
      <c r="D7" s="108" t="s">
        <v>204</v>
      </c>
      <c r="E7" s="114" t="s">
        <v>231</v>
      </c>
      <c r="F7" s="2991"/>
      <c r="G7" s="1103" t="s">
        <v>1445</v>
      </c>
      <c r="H7" s="1104"/>
      <c r="I7" s="1715">
        <f>I6</f>
        <v>0.11</v>
      </c>
      <c r="J7" s="2991"/>
      <c r="K7" s="2991"/>
      <c r="L7" s="2991"/>
      <c r="M7" s="2991"/>
      <c r="N7" s="2991"/>
      <c r="O7" s="2991"/>
      <c r="P7" s="2991"/>
    </row>
    <row r="8" spans="1:16">
      <c r="A8" s="110" t="s">
        <v>209</v>
      </c>
      <c r="B8" s="115" t="s">
        <v>210</v>
      </c>
      <c r="C8" s="111" t="s">
        <v>211</v>
      </c>
      <c r="D8" s="111">
        <f t="shared" ref="D8:D15" si="0">ROUND($D$3*E8/$E$3,2)</f>
        <v>16450</v>
      </c>
      <c r="E8" s="116">
        <f>SUMIF('数据-基础表'!BB10:BK10,"地上",'数据-基础表'!BB5:BK5)</f>
        <v>1790.62</v>
      </c>
      <c r="F8" s="2991"/>
      <c r="G8" s="2992"/>
      <c r="H8" s="2992"/>
      <c r="I8" s="2991"/>
      <c r="J8" s="2991"/>
      <c r="K8" s="2991"/>
      <c r="L8" s="2991"/>
      <c r="M8" s="2991"/>
      <c r="N8" s="2991"/>
      <c r="O8" s="2991"/>
      <c r="P8" s="2991"/>
    </row>
    <row r="9" spans="1:16">
      <c r="A9" s="117"/>
      <c r="B9" s="118"/>
      <c r="C9" s="111" t="s">
        <v>212</v>
      </c>
      <c r="D9" s="111">
        <f t="shared" si="0"/>
        <v>0</v>
      </c>
      <c r="E9" s="119">
        <v>0</v>
      </c>
      <c r="F9" s="2991"/>
      <c r="G9" s="2992"/>
      <c r="H9" s="2992"/>
      <c r="I9" s="2991"/>
      <c r="J9" s="2991"/>
      <c r="K9" s="2991"/>
      <c r="L9" s="2991"/>
      <c r="M9" s="2991"/>
      <c r="N9" s="2991"/>
      <c r="O9" s="2991"/>
      <c r="P9" s="2991"/>
    </row>
    <row r="10" spans="1:16">
      <c r="A10" s="117"/>
      <c r="B10" s="118"/>
      <c r="C10" s="111" t="s">
        <v>213</v>
      </c>
      <c r="D10" s="111">
        <f t="shared" si="0"/>
        <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2117</v>
      </c>
      <c r="D11" s="111">
        <f t="shared" si="0"/>
        <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f t="shared" si="0"/>
        <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2124</v>
      </c>
      <c r="D13" s="111">
        <f t="shared" si="0"/>
        <v>0</v>
      </c>
      <c r="E13" s="116">
        <f>SUMPRODUCT(('数据-基础表'!BB10:BK10="地下")*('数据-基础表'!BB11:BK11="车库")*('数据-基础表'!BB5:BK5))</f>
        <v>0</v>
      </c>
      <c r="F13" s="2991"/>
      <c r="G13" s="2992"/>
      <c r="H13" s="2992"/>
      <c r="I13" s="2991"/>
      <c r="J13" s="2991"/>
      <c r="K13" s="2991"/>
      <c r="L13" s="2991"/>
      <c r="M13" s="2991"/>
      <c r="N13" s="2991"/>
      <c r="O13" s="2991"/>
      <c r="P13" s="2991"/>
    </row>
    <row r="14" spans="1:16">
      <c r="A14" s="117"/>
      <c r="B14" s="118"/>
      <c r="C14" s="111" t="s">
        <v>232</v>
      </c>
      <c r="D14" s="111">
        <f t="shared" si="0"/>
        <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f t="shared" si="0"/>
        <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f>SUM(D8:D15)</f>
        <v>16450</v>
      </c>
      <c r="E16" s="120">
        <f>SUM(E8:E15)</f>
        <v>1790.62</v>
      </c>
      <c r="F16" s="2991"/>
      <c r="G16" s="2992"/>
      <c r="H16" s="939" t="s">
        <v>219</v>
      </c>
      <c r="I16" s="940"/>
      <c r="J16" s="1852"/>
      <c r="K16" s="3544" t="s">
        <v>2284</v>
      </c>
      <c r="L16" s="3545"/>
      <c r="M16" s="3545"/>
      <c r="N16" s="3545"/>
      <c r="O16" s="3545"/>
      <c r="P16" s="3546"/>
    </row>
    <row r="17" spans="1:19" ht="15">
      <c r="A17" s="121" t="s">
        <v>216</v>
      </c>
      <c r="B17" s="122" t="s">
        <v>217</v>
      </c>
      <c r="C17" s="2132" t="s">
        <v>2103</v>
      </c>
      <c r="D17" s="108" t="s">
        <v>204</v>
      </c>
      <c r="E17" s="124" t="s">
        <v>205</v>
      </c>
      <c r="F17" s="125"/>
      <c r="G17" s="1275"/>
      <c r="H17" s="941" t="s">
        <v>218</v>
      </c>
      <c r="I17" s="942" t="s">
        <v>2102</v>
      </c>
      <c r="J17" s="1852"/>
      <c r="K17" s="3547" t="s">
        <v>2285</v>
      </c>
      <c r="L17" s="3548"/>
      <c r="M17" s="3549"/>
      <c r="N17" s="3547" t="s">
        <v>2286</v>
      </c>
      <c r="O17" s="3548"/>
      <c r="P17" s="3549"/>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9" t="s">
        <v>3281</v>
      </c>
      <c r="D19" s="111">
        <f t="shared" ref="D19:D26" si="1">ROUND($D$3*E19/$E$3,2)</f>
        <v>16450</v>
      </c>
      <c r="E19" s="134">
        <f t="shared" ref="E19:E26" si="2">SUM(F19:G19)</f>
        <v>1790.62</v>
      </c>
      <c r="F19" s="2993">
        <f>'数据-基础表'!I13</f>
        <v>1790.62</v>
      </c>
      <c r="G19" s="2994"/>
      <c r="H19" s="945">
        <f>ROUND($D$3*I19/$E$3,2)</f>
        <v>0</v>
      </c>
      <c r="I19" s="116">
        <f>IF($I$17="自定义",P19,M19)</f>
        <v>0</v>
      </c>
      <c r="J19" s="1852"/>
      <c r="K19" s="2374">
        <f t="shared" ref="K19:K26" si="3">ROUND(E$28*E19/E$27,2)</f>
        <v>0</v>
      </c>
      <c r="L19" s="273">
        <f t="shared" ref="L19:L26" si="4">ROUND(IF(COUNTIF(C19,"*住宅*")&gt;0,E$29*E19/E$32,0),2)</f>
        <v>0</v>
      </c>
      <c r="M19" s="2375">
        <f>K19+L19</f>
        <v>0</v>
      </c>
      <c r="N19" s="2376"/>
      <c r="O19" s="2377"/>
      <c r="P19" s="2378">
        <f>N19+O19</f>
        <v>0</v>
      </c>
      <c r="R19" s="273">
        <f t="shared" ref="R19:S26" si="5">D19+H19</f>
        <v>16450</v>
      </c>
      <c r="S19" s="2135">
        <f t="shared" si="5"/>
        <v>1790.62</v>
      </c>
    </row>
    <row r="20" spans="1:19">
      <c r="A20" s="137"/>
      <c r="B20" s="115" t="s">
        <v>226</v>
      </c>
      <c r="C20" s="2659"/>
      <c r="D20" s="111">
        <f t="shared" si="1"/>
        <v>0</v>
      </c>
      <c r="E20" s="134">
        <f t="shared" si="2"/>
        <v>0</v>
      </c>
      <c r="F20" s="2993"/>
      <c r="G20" s="2994"/>
      <c r="H20" s="945">
        <f t="shared" ref="H20:H26" si="6">ROUND($D$3*I20/$E$3,2)</f>
        <v>0</v>
      </c>
      <c r="I20" s="116">
        <f t="shared" ref="I20:I26" si="7">IF($I$17="自定义",P20,M20)</f>
        <v>0</v>
      </c>
      <c r="J20" s="1852"/>
      <c r="K20" s="2374">
        <f t="shared" si="3"/>
        <v>0</v>
      </c>
      <c r="L20" s="273">
        <f t="shared" si="4"/>
        <v>0</v>
      </c>
      <c r="M20" s="2375">
        <f t="shared" ref="M20:M26" si="8">K20+L20</f>
        <v>0</v>
      </c>
      <c r="N20" s="2376"/>
      <c r="O20" s="2377"/>
      <c r="P20" s="2378">
        <f t="shared" ref="P20:P26" si="9">N20+O20</f>
        <v>0</v>
      </c>
      <c r="R20" s="273">
        <f t="shared" si="5"/>
        <v>0</v>
      </c>
      <c r="S20" s="2135">
        <f t="shared" si="5"/>
        <v>0</v>
      </c>
    </row>
    <row r="21" spans="1:19">
      <c r="A21" s="137"/>
      <c r="B21" s="115" t="s">
        <v>226</v>
      </c>
      <c r="C21" s="2659"/>
      <c r="D21" s="111">
        <f t="shared" si="1"/>
        <v>0</v>
      </c>
      <c r="E21" s="134">
        <f t="shared" si="2"/>
        <v>0</v>
      </c>
      <c r="F21" s="2993"/>
      <c r="G21" s="2994"/>
      <c r="H21" s="945">
        <f t="shared" si="6"/>
        <v>0</v>
      </c>
      <c r="I21" s="116">
        <f t="shared" si="7"/>
        <v>0</v>
      </c>
      <c r="J21" s="1852"/>
      <c r="K21" s="2374">
        <f t="shared" si="3"/>
        <v>0</v>
      </c>
      <c r="L21" s="273">
        <f t="shared" si="4"/>
        <v>0</v>
      </c>
      <c r="M21" s="2375">
        <f t="shared" si="8"/>
        <v>0</v>
      </c>
      <c r="N21" s="2376"/>
      <c r="O21" s="2377"/>
      <c r="P21" s="2378">
        <f t="shared" si="9"/>
        <v>0</v>
      </c>
      <c r="R21" s="273">
        <f t="shared" si="5"/>
        <v>0</v>
      </c>
      <c r="S21" s="2135">
        <f t="shared" si="5"/>
        <v>0</v>
      </c>
    </row>
    <row r="22" spans="1:19">
      <c r="A22" s="137"/>
      <c r="B22" s="115" t="s">
        <v>226</v>
      </c>
      <c r="C22" s="1274"/>
      <c r="D22" s="111">
        <f t="shared" si="1"/>
        <v>0</v>
      </c>
      <c r="E22" s="134">
        <f t="shared" si="2"/>
        <v>0</v>
      </c>
      <c r="F22" s="2995"/>
      <c r="G22" s="2996"/>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5"/>
      <c r="G23" s="2996"/>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5"/>
      <c r="G24" s="2996"/>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5"/>
      <c r="G25" s="2996"/>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5"/>
      <c r="G26" s="2996"/>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15.75" thickBot="1">
      <c r="A27" s="137"/>
      <c r="B27" s="111"/>
      <c r="C27" s="127" t="s">
        <v>215</v>
      </c>
      <c r="D27" s="134">
        <f>SUM(D19:D26)</f>
        <v>16450</v>
      </c>
      <c r="E27" s="141">
        <f>IF(SUM(E19:E26)='数据-基础表'!BA5,SUM(E19:E26),IF(F27="地上面积有误","面积有误","地下面积有误"))</f>
        <v>1790.62</v>
      </c>
      <c r="F27" s="134">
        <f>IF(SUM(F19:F26)=E8,SUM(F19:F26),"地上面积有误")</f>
        <v>1790.62</v>
      </c>
      <c r="G27" s="112">
        <f>SUM(G19:G26)</f>
        <v>0</v>
      </c>
      <c r="H27" s="946">
        <f>SUM(H19:H26)</f>
        <v>0</v>
      </c>
      <c r="I27" s="947">
        <f>SUM(I19:I26)</f>
        <v>0</v>
      </c>
      <c r="J27" s="1852"/>
      <c r="K27" s="2383">
        <f>SUM(K19:K26)</f>
        <v>0</v>
      </c>
      <c r="L27" s="2384">
        <f>SUM(L19:L26)</f>
        <v>0</v>
      </c>
      <c r="M27" s="2385">
        <f>SUM(M19:M26)</f>
        <v>0</v>
      </c>
      <c r="N27" s="2383">
        <f t="shared" ref="N27:O27" si="10">SUM(N19:N26)</f>
        <v>0</v>
      </c>
      <c r="O27" s="2384">
        <f t="shared" si="10"/>
        <v>0</v>
      </c>
      <c r="P27" s="2386">
        <f>SUM(P19:P26)</f>
        <v>0</v>
      </c>
      <c r="R27" s="2139">
        <f>IF(SUM(R19:R26)=$D$3,SUM(R19:R26),SUM(R19:R26)&amp;"误差"&amp;ROUND(SUM(R19:R26)-$D$3,2))</f>
        <v>16450</v>
      </c>
      <c r="S27" s="273">
        <f>IF(SUM(S19:S26)=$E$3,SUM(S19:S26),SUM(S19:S26)&amp;"误差"&amp;ROUND(SUM(S19:S26)-E3,2))</f>
        <v>1790.62</v>
      </c>
    </row>
    <row r="28" spans="1:19">
      <c r="A28" s="137"/>
      <c r="B28" s="115" t="s">
        <v>227</v>
      </c>
      <c r="C28" s="135" t="s">
        <v>228</v>
      </c>
      <c r="D28" s="111">
        <f>ROUND($D$3*E28/$E$3,2)</f>
        <v>0</v>
      </c>
      <c r="E28" s="134">
        <f>SUM(F28:G28)</f>
        <v>0</v>
      </c>
      <c r="F28" s="142">
        <f>'数据-基础表'!BQ5+'数据-基础表'!BS5</f>
        <v>0</v>
      </c>
      <c r="G28" s="143">
        <f>'数据-基础表'!BR5+'数据-基础表'!BT5</f>
        <v>0</v>
      </c>
      <c r="H28" s="2991"/>
      <c r="I28" s="2991"/>
      <c r="J28" s="2991"/>
      <c r="K28" s="2991"/>
      <c r="L28" s="2991"/>
      <c r="M28" s="2991"/>
      <c r="N28" s="2991"/>
      <c r="O28" s="2991"/>
      <c r="P28" s="2991"/>
    </row>
    <row r="29" spans="1:19">
      <c r="A29" s="137"/>
      <c r="B29" s="115" t="s">
        <v>227</v>
      </c>
      <c r="C29" s="2147" t="s">
        <v>2110</v>
      </c>
      <c r="D29" s="111">
        <f>ROUND($D$3*E29/$E$3,2)</f>
        <v>0</v>
      </c>
      <c r="E29" s="134">
        <f>SUM(F29:G29)</f>
        <v>0</v>
      </c>
      <c r="F29" s="142">
        <f>'数据-基础表'!BM5+'数据-基础表'!BO5</f>
        <v>0</v>
      </c>
      <c r="G29" s="144">
        <f>'数据-基础表'!BN5+'数据-基础表'!BP5</f>
        <v>0</v>
      </c>
      <c r="H29" s="2991"/>
      <c r="I29" s="2991"/>
      <c r="J29" s="2991"/>
      <c r="K29" s="2991"/>
      <c r="L29" s="2991"/>
      <c r="M29" s="2991"/>
      <c r="N29" s="2991"/>
      <c r="O29" s="2991"/>
      <c r="P29" s="2991"/>
    </row>
    <row r="30" spans="1:19">
      <c r="A30" s="137"/>
      <c r="B30" s="111"/>
      <c r="C30" s="145" t="s">
        <v>215</v>
      </c>
      <c r="D30" s="134">
        <f>SUM(D28:D29)</f>
        <v>0</v>
      </c>
      <c r="E30" s="134">
        <f>SUM(E28:E29)</f>
        <v>0</v>
      </c>
      <c r="F30" s="134">
        <f>SUM(F28:F29)</f>
        <v>0</v>
      </c>
      <c r="G30" s="112">
        <f>SUM(G28:G29)</f>
        <v>0</v>
      </c>
      <c r="H30" s="2991"/>
      <c r="I30" s="2991"/>
      <c r="J30" s="2991"/>
      <c r="K30" s="2991"/>
      <c r="L30" s="2991"/>
      <c r="M30" s="2991"/>
      <c r="N30" s="2991"/>
      <c r="O30" s="2991"/>
      <c r="P30" s="2991"/>
    </row>
    <row r="31" spans="1:19" ht="32.25" customHeight="1" thickBot="1">
      <c r="A31" s="1277"/>
      <c r="B31" s="1278" t="s">
        <v>229</v>
      </c>
      <c r="C31" s="2164" t="s">
        <v>2112</v>
      </c>
      <c r="D31" s="1279">
        <f>D27+D30</f>
        <v>16450</v>
      </c>
      <c r="E31" s="1279">
        <f>E27+E30</f>
        <v>1790.62</v>
      </c>
      <c r="F31" s="1280">
        <f>F27+F30</f>
        <v>1790.62</v>
      </c>
      <c r="G31" s="1281">
        <f>G27+G30</f>
        <v>0</v>
      </c>
      <c r="H31" s="2991"/>
      <c r="I31" s="2991"/>
      <c r="J31" s="2991"/>
      <c r="K31" s="2991"/>
      <c r="L31" s="2991"/>
      <c r="M31" s="2991"/>
      <c r="N31" s="2991"/>
      <c r="O31" s="2991"/>
      <c r="P31" s="2991"/>
    </row>
    <row r="32" spans="1:19">
      <c r="A32" s="1852"/>
      <c r="B32" s="2176" t="s">
        <v>2111</v>
      </c>
      <c r="C32" s="2411"/>
      <c r="D32" s="1148"/>
      <c r="E32" s="1148">
        <f>SUMIF(C19:C26,"*住宅*",E19:E26)</f>
        <v>0</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N6" activePane="bottomRight" state="frozen"/>
      <selection pane="topRight" activeCell="D1" sqref="D1"/>
      <selection pane="bottomLeft" activeCell="A4" sqref="A4"/>
      <selection pane="bottomRight" activeCell="U6" sqref="U6"/>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44819</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54">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3282</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2"/>
      <c r="AP5" s="2997" t="s">
        <v>2705</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加气站</v>
      </c>
      <c r="B6" s="2171" t="str">
        <f>IF(A6=0,"","经营性")</f>
        <v>经营性</v>
      </c>
      <c r="C6" s="171" t="s">
        <v>3278</v>
      </c>
      <c r="D6" s="2142">
        <f>SUMIF(项目基本情况!D$15:I$15,C6,项目基本情况!D$18:I$18)</f>
        <v>40</v>
      </c>
      <c r="E6" s="2143">
        <f>IF(B6="","",SUMIF(项目基本情况!D$15:I$15,C6,项目基本情况!D$17:I$17))</f>
        <v>56356</v>
      </c>
      <c r="F6" s="172">
        <f>SUMIF(项目基本情况!D$15:I$15,C6,项目基本情况!D$19:I$19)</f>
        <v>31.6</v>
      </c>
      <c r="G6" s="173">
        <f>IF(ISERROR(ROUND(POWER(1+H6,D6-F6)*(POWER(1+H6,F6)-1)/(POWER(1+H6,D6)-1),3)),0,ROUND(POWER(1+H6,D6-F6)*(POWER(1+H6,F6)-1)/(POWER(1+H6,D6)-1),3))</f>
        <v>0.91600000000000004</v>
      </c>
      <c r="H6" s="2660">
        <v>0.05</v>
      </c>
      <c r="I6" s="2660">
        <v>5.5E-2</v>
      </c>
      <c r="J6" s="174">
        <v>7.0000000000000007E-2</v>
      </c>
      <c r="K6" s="177">
        <f>SUMIF('数据-汇总表'!C$19:C$33,'数据-取费表'!A6,'数据-汇总表'!E$19:E$33)</f>
        <v>1790.62</v>
      </c>
      <c r="L6" s="2661">
        <v>5000</v>
      </c>
      <c r="M6" s="175">
        <f t="shared" ref="M6:M14" si="0">ROUND(K6*L6/10000,0)</f>
        <v>895</v>
      </c>
      <c r="N6" s="2662">
        <v>0</v>
      </c>
      <c r="O6" s="175">
        <f>IF($N$5="成新度","——",ROUND(M6*N6,0))</f>
        <v>0</v>
      </c>
      <c r="P6" s="176">
        <f>IF($N$5="成新度","——",M6-O6)</f>
        <v>895</v>
      </c>
      <c r="Q6" s="2663">
        <v>0.15</v>
      </c>
      <c r="R6" s="177">
        <f>SUMIF('数据-汇总表'!C$19:C$33,A6,'数据-汇总表'!R$19:R$33)</f>
        <v>16450</v>
      </c>
      <c r="S6" s="132">
        <f>IF('数据-汇总表'!$I$17="按面积比例",SUMIF('数据-汇总表'!C$19:C$33,A6,'数据-汇总表'!K$19:K$33),SUMIF('数据-汇总表'!C$19:C$33,A6,'数据-汇总表'!N$19:N$33))</f>
        <v>0</v>
      </c>
      <c r="T6" s="2068" t="str">
        <f>IF($T$4="按面积比例",IF(ISERROR(ROUND($M$14*S6/S$16,0)),"0",ROUND($M$14*S6/S$16,0)),"需自行计算录入")</f>
        <v>0</v>
      </c>
      <c r="U6" s="178">
        <v>2000000</v>
      </c>
      <c r="V6" s="179">
        <v>2.5000000000000001E-2</v>
      </c>
      <c r="W6" s="179">
        <v>0.1</v>
      </c>
      <c r="X6" s="2155"/>
      <c r="Y6" s="180">
        <v>1</v>
      </c>
      <c r="Z6" s="181"/>
      <c r="AA6" s="174"/>
      <c r="AB6" s="174"/>
      <c r="AC6" s="2158"/>
      <c r="AD6" s="182"/>
      <c r="AE6" s="943">
        <f ca="1">IF(AN6="",0,SUMIF(INDIRECT("'"&amp;AN6&amp;"'"&amp;"!E:E"),$AE$5,INDIRECT("'"&amp;AN6&amp;"'"&amp;"!F:F")))</f>
        <v>31.6</v>
      </c>
      <c r="AF6" s="139"/>
      <c r="AG6" s="1160">
        <f>IF(AF6="",0,AE6-AF6)</f>
        <v>0</v>
      </c>
      <c r="AH6" s="139">
        <v>1</v>
      </c>
      <c r="AI6" s="185">
        <v>1</v>
      </c>
      <c r="AJ6" s="186"/>
      <c r="AK6" s="187">
        <v>1.4999999999999999E-2</v>
      </c>
      <c r="AL6" s="188">
        <v>1.5E-3</v>
      </c>
      <c r="AM6" s="2672">
        <v>0.02</v>
      </c>
      <c r="AN6" s="2201" t="s">
        <v>3284</v>
      </c>
      <c r="AO6" s="3001"/>
      <c r="AP6" s="1151">
        <f>ROUND(1-1/(1+H6)^F6,3)</f>
        <v>0.78600000000000003</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0"/>
      <c r="I7" s="2660"/>
      <c r="J7" s="174"/>
      <c r="K7" s="177">
        <f>SUMIF('数据-汇总表'!C$19:C$33,'数据-取费表'!A7,'数据-汇总表'!E$19:E$33)</f>
        <v>0</v>
      </c>
      <c r="L7" s="2661"/>
      <c r="M7" s="175">
        <f t="shared" si="0"/>
        <v>0</v>
      </c>
      <c r="N7" s="2662"/>
      <c r="O7" s="175">
        <f t="shared" ref="O7:O14" si="3">IF($N$5="成新度","——",ROUND(M7*N7,0))</f>
        <v>0</v>
      </c>
      <c r="P7" s="176">
        <f t="shared" ref="P7:P14" si="4">IF($N$5="成新度","——",M7-O7)</f>
        <v>0</v>
      </c>
      <c r="Q7" s="2663"/>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3001"/>
      <c r="AP7" s="1151">
        <f t="shared" ref="AP7:AP13" si="8">ROUND(1-1/(1+H7)^F7,3)</f>
        <v>0</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0</v>
      </c>
      <c r="L14" s="191">
        <v>0</v>
      </c>
      <c r="M14" s="175">
        <f t="shared" si="0"/>
        <v>0</v>
      </c>
      <c r="N14" s="192">
        <v>0</v>
      </c>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0.91600000000000004</v>
      </c>
      <c r="H16" s="201">
        <f>ROUND(SUMPRODUCT(H6:H13,K6:K13)/SUMPRODUCT((H6:H13&gt;0)*(K6:K13)),3)</f>
        <v>0.05</v>
      </c>
      <c r="I16" s="202"/>
      <c r="J16" s="202"/>
      <c r="K16" s="203">
        <f>SUM(K6:K15)</f>
        <v>1790.62</v>
      </c>
      <c r="L16" s="204">
        <f>ROUND(M16*10000/SUM(K6:K14),0)</f>
        <v>4998</v>
      </c>
      <c r="M16" s="204">
        <f>SUM(M6:M14)</f>
        <v>895</v>
      </c>
      <c r="N16" s="205">
        <f>ROUND(SUMPRODUCT(M6:M14,N6:N14)/M16,3)</f>
        <v>0</v>
      </c>
      <c r="O16" s="204">
        <f>SUM(O6:O14)</f>
        <v>0</v>
      </c>
      <c r="P16" s="204">
        <f>SUM(P6:P14)</f>
        <v>895</v>
      </c>
      <c r="Q16" s="206">
        <f>ROUND(SUMPRODUCT(Q6:Q13,K6:K13)/SUMPRODUCT((Q6:Q13&gt;0)*(K6:K13)),2)</f>
        <v>0.15</v>
      </c>
      <c r="R16" s="2145">
        <f>SUM(R6:R13)</f>
        <v>16450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f>ROUND(SUMPRODUCT(AP6:AP13,K6:K13)/SUMPRODUCT((AP6:AP13&gt;0)*(K6:K13)),3)</f>
        <v>0.78600000000000003</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v>0</v>
      </c>
      <c r="C19" s="3013" t="s">
        <v>2717</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v>2</v>
      </c>
      <c r="C20" s="3013" t="s">
        <v>2125</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v>2</v>
      </c>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2</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2</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0</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2127</v>
      </c>
      <c r="B27" s="225"/>
      <c r="C27" s="3014" t="s">
        <v>2718</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200</v>
      </c>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c r="C29" s="3015" t="s">
        <v>2129</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200</v>
      </c>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200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0</v>
      </c>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0.03</v>
      </c>
      <c r="C33" s="3016" t="s">
        <v>2706</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0.05</v>
      </c>
      <c r="C34" s="3016" t="s">
        <v>2707</v>
      </c>
      <c r="D34" s="3017" t="s">
        <v>2714</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v>200</v>
      </c>
      <c r="C35" s="3016" t="s">
        <v>2708</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v>1.4999999999999999E-2</v>
      </c>
      <c r="C36" s="3016" t="s">
        <v>2709</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v>0.02</v>
      </c>
      <c r="C37" s="3016" t="s">
        <v>2710</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v>0.02</v>
      </c>
      <c r="C38" s="3016" t="s">
        <v>2710</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2236</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27.75" thickBot="1">
      <c r="A40" s="3188" t="s">
        <v>3283</v>
      </c>
      <c r="B40" s="2288">
        <f ca="1">IF(A40="利息：取LPR",存贷款利率!E2,存贷款利率!E2+C40)</f>
        <v>4.1499999999999995E-2</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5.6000000000000001E-2</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v>0.05</v>
      </c>
      <c r="C42" s="3018">
        <f>IF(B2&lt;DATE(2016,5,1),0,B42)</f>
        <v>0.05</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6.000000000000001E-3</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v>7.0000000000000007E-2</v>
      </c>
      <c r="C44" s="3016" t="s">
        <v>2715</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v>0.03</v>
      </c>
      <c r="C45" s="3019" t="s">
        <v>2711</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v>0.02</v>
      </c>
      <c r="C46" s="3019" t="s">
        <v>2712</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2719</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v>0.03</v>
      </c>
      <c r="C48" s="3019" t="s">
        <v>2711</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v>5.0000000000000001E-4</v>
      </c>
      <c r="C49" s="3019" t="s">
        <v>2713</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24</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t="s">
        <v>1134</v>
      </c>
      <c r="C53" s="3009" t="s">
        <v>2606</v>
      </c>
      <c r="D53" s="3020" t="s">
        <v>2716</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2607</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2608</v>
      </c>
      <c r="B55" s="184">
        <v>24</v>
      </c>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2609</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2610</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2611</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2612</v>
      </c>
      <c r="B59" s="184"/>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2613</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2614</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2615</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2616</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59" t="s">
        <v>1463</v>
      </c>
      <c r="B1" s="3560"/>
      <c r="C1" s="3560"/>
      <c r="D1" s="3560"/>
      <c r="E1" s="3560"/>
      <c r="F1" s="3560"/>
      <c r="G1" s="3560"/>
      <c r="H1" s="3021"/>
      <c r="I1" s="3022"/>
      <c r="J1" s="3023"/>
      <c r="K1" s="3021"/>
      <c r="L1" s="3022"/>
      <c r="M1" s="3023"/>
      <c r="N1" s="3021"/>
      <c r="O1" s="3022"/>
      <c r="P1" s="3023"/>
      <c r="Q1" s="3024"/>
      <c r="R1" s="3025"/>
    </row>
    <row r="2" spans="1:18" ht="14.25" thickBot="1">
      <c r="A2" s="3027"/>
      <c r="B2" s="3028"/>
      <c r="C2" s="3029" t="s">
        <v>1464</v>
      </c>
      <c r="D2" s="3030"/>
      <c r="E2" s="3027"/>
      <c r="F2" s="3031"/>
      <c r="G2" s="3029" t="s">
        <v>1465</v>
      </c>
      <c r="H2" s="3032"/>
      <c r="I2" s="3032"/>
      <c r="J2" s="3032"/>
      <c r="K2" s="3032"/>
      <c r="L2" s="3032"/>
      <c r="M2" s="3032"/>
      <c r="N2" s="3032"/>
      <c r="O2" s="3032"/>
      <c r="P2" s="3032"/>
      <c r="Q2" s="3032"/>
      <c r="R2" s="3032"/>
    </row>
    <row r="3" spans="1:18" ht="40.5">
      <c r="A3" s="3033" t="s">
        <v>1466</v>
      </c>
      <c r="B3" s="3034" t="s">
        <v>1453</v>
      </c>
      <c r="C3" s="3035" t="s">
        <v>2623</v>
      </c>
      <c r="D3" s="3036"/>
      <c r="E3" s="3037" t="s">
        <v>1466</v>
      </c>
      <c r="F3" s="3038" t="s">
        <v>1454</v>
      </c>
      <c r="G3" s="3039" t="s">
        <v>2622</v>
      </c>
      <c r="H3" s="3032"/>
      <c r="I3" s="3032"/>
      <c r="J3" s="3032"/>
      <c r="K3" s="3032"/>
      <c r="L3" s="3032"/>
      <c r="M3" s="3032"/>
      <c r="N3" s="3032"/>
      <c r="O3" s="3032"/>
      <c r="P3" s="3032"/>
      <c r="Q3" s="3032"/>
      <c r="R3" s="3032"/>
    </row>
    <row r="4" spans="1:18" ht="40.5">
      <c r="A4" s="3037"/>
      <c r="B4" s="3040" t="s">
        <v>1467</v>
      </c>
      <c r="C4" s="3041" t="s">
        <v>2624</v>
      </c>
      <c r="D4" s="3036"/>
      <c r="E4" s="3042"/>
      <c r="F4" s="3043" t="s">
        <v>1468</v>
      </c>
      <c r="G4" s="3044" t="s">
        <v>2619</v>
      </c>
      <c r="H4" s="3032"/>
      <c r="I4" s="3032"/>
      <c r="J4" s="3032"/>
      <c r="K4" s="3032"/>
      <c r="L4" s="3032"/>
      <c r="M4" s="3032"/>
      <c r="N4" s="3032"/>
      <c r="O4" s="3032"/>
      <c r="P4" s="3032"/>
      <c r="Q4" s="3032"/>
      <c r="R4" s="3032"/>
    </row>
    <row r="5" spans="1:18" ht="41.25">
      <c r="A5" s="3037"/>
      <c r="B5" s="3040" t="s">
        <v>1469</v>
      </c>
      <c r="C5" s="3041" t="s">
        <v>2625</v>
      </c>
      <c r="D5" s="3036"/>
      <c r="E5" s="3042"/>
      <c r="F5" s="3040" t="s">
        <v>2264</v>
      </c>
      <c r="G5" s="3044" t="s">
        <v>2620</v>
      </c>
      <c r="H5" s="3032"/>
      <c r="I5" s="3032"/>
      <c r="J5" s="3032"/>
      <c r="K5" s="3032"/>
      <c r="L5" s="3032"/>
      <c r="M5" s="3032"/>
      <c r="N5" s="3032"/>
      <c r="O5" s="3032"/>
      <c r="P5" s="3032"/>
      <c r="Q5" s="3032"/>
      <c r="R5" s="3032"/>
    </row>
    <row r="6" spans="1:18" ht="40.5">
      <c r="A6" s="3037"/>
      <c r="B6" s="3040" t="s">
        <v>1455</v>
      </c>
      <c r="C6" s="3044" t="s">
        <v>2619</v>
      </c>
      <c r="D6" s="3036"/>
      <c r="E6" s="3042"/>
      <c r="F6" s="3040" t="s">
        <v>2265</v>
      </c>
      <c r="G6" s="3044" t="s">
        <v>2617</v>
      </c>
      <c r="H6" s="3032"/>
      <c r="I6" s="3032"/>
      <c r="J6" s="3032"/>
      <c r="K6" s="3032"/>
      <c r="L6" s="3032"/>
      <c r="M6" s="3032"/>
      <c r="N6" s="3032"/>
      <c r="O6" s="3032"/>
      <c r="P6" s="3032"/>
      <c r="Q6" s="3032"/>
      <c r="R6" s="3032"/>
    </row>
    <row r="7" spans="1:18" ht="27.75" thickBot="1">
      <c r="A7" s="3037"/>
      <c r="B7" s="3040" t="s">
        <v>2264</v>
      </c>
      <c r="C7" s="3044" t="s">
        <v>2620</v>
      </c>
      <c r="D7" s="3045"/>
      <c r="E7" s="3046"/>
      <c r="F7" s="3047" t="s">
        <v>1470</v>
      </c>
      <c r="G7" s="3048" t="s">
        <v>2621</v>
      </c>
      <c r="H7" s="3032"/>
      <c r="I7" s="3032"/>
      <c r="J7" s="3032"/>
      <c r="K7" s="3032"/>
      <c r="L7" s="3032"/>
      <c r="M7" s="3032"/>
      <c r="N7" s="3032"/>
      <c r="O7" s="3032"/>
      <c r="P7" s="3032"/>
      <c r="Q7" s="3032"/>
      <c r="R7" s="3032"/>
    </row>
    <row r="8" spans="1:18">
      <c r="A8" s="3037"/>
      <c r="B8" s="3040" t="s">
        <v>2265</v>
      </c>
      <c r="C8" s="3044" t="s">
        <v>2617</v>
      </c>
      <c r="D8" s="3045"/>
      <c r="E8" s="3045"/>
      <c r="F8" s="3049"/>
      <c r="G8" s="3049"/>
      <c r="H8" s="3032"/>
      <c r="I8" s="3032"/>
      <c r="J8" s="3032"/>
      <c r="K8" s="3032"/>
      <c r="L8" s="3032"/>
      <c r="M8" s="3032"/>
      <c r="N8" s="3032"/>
      <c r="O8" s="3032"/>
      <c r="P8" s="3032"/>
      <c r="Q8" s="3032"/>
      <c r="R8" s="3032"/>
    </row>
    <row r="9" spans="1:18" ht="27">
      <c r="A9" s="3037"/>
      <c r="B9" s="3040" t="s">
        <v>1456</v>
      </c>
      <c r="C9" s="3041" t="s">
        <v>2618</v>
      </c>
      <c r="D9" s="3036"/>
      <c r="E9" s="3045"/>
      <c r="F9" s="3049"/>
      <c r="G9" s="3049"/>
      <c r="H9" s="3032"/>
      <c r="I9" s="3032"/>
      <c r="J9" s="3032"/>
      <c r="K9" s="3032"/>
      <c r="L9" s="3032"/>
      <c r="M9" s="3032"/>
      <c r="N9" s="3032"/>
      <c r="O9" s="3032"/>
      <c r="P9" s="3032"/>
      <c r="Q9" s="3032"/>
      <c r="R9" s="3032"/>
    </row>
    <row r="10" spans="1:18" s="3056" customFormat="1" ht="15" thickBot="1">
      <c r="A10" s="3050"/>
      <c r="B10" s="3051" t="s">
        <v>1471</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1472</v>
      </c>
      <c r="B13" s="3059"/>
      <c r="C13" s="3059"/>
      <c r="D13" s="3030"/>
      <c r="E13" s="3059"/>
      <c r="F13" s="3059"/>
      <c r="G13" s="3059"/>
    </row>
    <row r="14" spans="1:18" ht="14.25" thickBot="1">
      <c r="A14" s="3071"/>
      <c r="B14" s="3071"/>
      <c r="C14" s="3072" t="s">
        <v>1464</v>
      </c>
      <c r="D14" s="3036"/>
      <c r="E14" s="3073"/>
      <c r="F14" s="3073"/>
      <c r="G14" s="3029" t="s">
        <v>1465</v>
      </c>
    </row>
    <row r="15" spans="1:18" ht="40.5">
      <c r="A15" s="3074" t="s">
        <v>1457</v>
      </c>
      <c r="B15" s="3075" t="s">
        <v>1453</v>
      </c>
      <c r="C15" s="3076" t="str">
        <f>C3</f>
        <v>估价对象周边居住用地比例、居住小区规模和社区发展完善程度，综合评价居住社区成熟度一般</v>
      </c>
      <c r="D15" s="3036"/>
      <c r="E15" s="3077" t="s">
        <v>1458</v>
      </c>
      <c r="F15" s="3075" t="s">
        <v>1473</v>
      </c>
      <c r="G15" s="3078" t="str">
        <f>G3</f>
        <v>估价对象位于XX开发区，园区建设成熟度XX，产业集聚程度XX</v>
      </c>
    </row>
    <row r="16" spans="1:18" ht="40.5">
      <c r="A16" s="3079"/>
      <c r="B16" s="3080" t="s">
        <v>1467</v>
      </c>
      <c r="C16" s="3081" t="str">
        <f>C4</f>
        <v>估价对象位于XX商圈，周边商业氛围成熟，人流量大，商业繁华度好</v>
      </c>
      <c r="D16" s="3036"/>
      <c r="E16" s="3082"/>
      <c r="F16" s="3083" t="s">
        <v>1468</v>
      </c>
      <c r="G16" s="3084" t="str">
        <f>G4</f>
        <v>估价对象周边道路状况、公共交通通达情况、停车便捷程度，综合评价交通便捷度较好</v>
      </c>
    </row>
    <row r="17" spans="1:7" ht="40.5">
      <c r="A17" s="3079"/>
      <c r="B17" s="3080" t="s">
        <v>1469</v>
      </c>
      <c r="C17" s="3081" t="str">
        <f>C5</f>
        <v>估价对象位于XX商圈，周边办公楼项目较多，入驻率高，办公集聚程度较好</v>
      </c>
      <c r="D17" s="3045"/>
      <c r="E17" s="3082"/>
      <c r="F17" s="3083" t="s">
        <v>1474</v>
      </c>
      <c r="G17" s="3085"/>
    </row>
    <row r="18" spans="1:7" ht="40.5">
      <c r="A18" s="3079"/>
      <c r="B18" s="3083" t="s">
        <v>1455</v>
      </c>
      <c r="C18" s="3084" t="str">
        <f>C6</f>
        <v>估价对象周边道路状况、公共交通通达情况、停车便捷程度，综合评价交通便捷度较好</v>
      </c>
      <c r="D18" s="3045"/>
      <c r="E18" s="3082"/>
      <c r="F18" s="3083" t="s">
        <v>1470</v>
      </c>
      <c r="G18" s="3084" t="str">
        <f>G7</f>
        <v>该园区内是否有污染型企业，绿化情况，卫生条件，整体环境状况判断</v>
      </c>
    </row>
    <row r="19" spans="1:7" ht="27">
      <c r="A19" s="3079"/>
      <c r="B19" s="3083" t="s">
        <v>1459</v>
      </c>
      <c r="C19" s="3085"/>
      <c r="D19" s="3036"/>
      <c r="E19" s="3082"/>
      <c r="F19" s="3040" t="s">
        <v>2264</v>
      </c>
      <c r="G19" s="3084" t="str">
        <f>G5</f>
        <v>估价对象所在区域公共配套设施齐备情况</v>
      </c>
    </row>
    <row r="20" spans="1:7" ht="27">
      <c r="A20" s="3079"/>
      <c r="B20" s="3083" t="s">
        <v>1460</v>
      </c>
      <c r="C20" s="3081" t="str">
        <f>C9</f>
        <v>区域自然环境：；人文环境；综合评价环境状况一般</v>
      </c>
      <c r="D20" s="3045"/>
      <c r="E20" s="3082"/>
      <c r="F20" s="3040" t="s">
        <v>2265</v>
      </c>
      <c r="G20" s="3084" t="str">
        <f>G6</f>
        <v>估价对象所在区域基础设施水平</v>
      </c>
    </row>
    <row r="21" spans="1:7" ht="27">
      <c r="A21" s="3079"/>
      <c r="B21" s="3040" t="s">
        <v>2264</v>
      </c>
      <c r="C21" s="3084" t="str">
        <f>C7</f>
        <v>估价对象所在区域公共配套设施齐备情况</v>
      </c>
      <c r="D21" s="3036"/>
      <c r="E21" s="3082"/>
      <c r="F21" s="3083" t="s">
        <v>1461</v>
      </c>
      <c r="G21" s="3086"/>
    </row>
    <row r="22" spans="1:7" ht="14.25">
      <c r="A22" s="3079"/>
      <c r="B22" s="3040" t="s">
        <v>2265</v>
      </c>
      <c r="C22" s="3084" t="str">
        <f>C8</f>
        <v>估价对象所在区域基础设施水平</v>
      </c>
      <c r="D22" s="3036"/>
      <c r="E22" s="3082"/>
      <c r="F22" s="3083" t="s">
        <v>1471</v>
      </c>
      <c r="G22" s="3085"/>
    </row>
    <row r="23" spans="1:7" ht="15" thickBot="1">
      <c r="A23" s="3079"/>
      <c r="B23" s="3083" t="s">
        <v>1461</v>
      </c>
      <c r="C23" s="3086"/>
      <c r="E23" s="3087"/>
      <c r="F23" s="3088" t="s">
        <v>1475</v>
      </c>
      <c r="G23" s="3089"/>
    </row>
    <row r="24" spans="1:7" ht="14.25" thickBot="1">
      <c r="A24" s="3090"/>
      <c r="B24" s="3088" t="s">
        <v>1462</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30" sqref="D30"/>
    </sheetView>
  </sheetViews>
  <sheetFormatPr defaultColWidth="14.625" defaultRowHeight="13.5"/>
  <cols>
    <col min="1" max="1" width="24.375" style="3095" customWidth="1"/>
    <col min="2" max="16384" width="14.625" style="3095"/>
  </cols>
  <sheetData>
    <row r="1" spans="1:10" ht="16.5">
      <c r="A1" s="3094" t="s">
        <v>2557</v>
      </c>
      <c r="B1" s="3094">
        <f>SUM(B14:B23)</f>
        <v>1790.62</v>
      </c>
      <c r="C1" s="3103"/>
      <c r="D1" s="3103"/>
      <c r="E1" s="3103"/>
      <c r="F1" s="3103"/>
      <c r="G1" s="3104"/>
      <c r="H1" s="3104"/>
      <c r="I1" s="3104"/>
      <c r="J1" s="3104"/>
    </row>
    <row r="2" spans="1:10" ht="16.5">
      <c r="A2" s="3094" t="s">
        <v>2558</v>
      </c>
      <c r="B2" s="3094">
        <f>SUM(C14:C23)</f>
        <v>16450</v>
      </c>
      <c r="C2" s="3103"/>
      <c r="D2" s="3103"/>
      <c r="E2" s="3103"/>
      <c r="F2" s="3103"/>
      <c r="G2" s="3104"/>
      <c r="H2" s="3104"/>
      <c r="I2" s="3104"/>
      <c r="J2" s="3104"/>
    </row>
    <row r="3" spans="1:10" ht="16.5">
      <c r="A3" s="3094" t="s">
        <v>2559</v>
      </c>
      <c r="B3" s="3096">
        <f>项目基本情况!D3</f>
        <v>44819</v>
      </c>
      <c r="C3" s="3103"/>
      <c r="D3" s="3103"/>
      <c r="E3" s="3103"/>
      <c r="F3" s="3103"/>
      <c r="G3" s="3104"/>
      <c r="H3" s="3104"/>
      <c r="I3" s="3104"/>
      <c r="J3" s="3104"/>
    </row>
    <row r="4" spans="1:10" ht="33">
      <c r="A4" s="3094" t="s">
        <v>2560</v>
      </c>
      <c r="B4" s="3094" t="s">
        <v>2561</v>
      </c>
      <c r="C4" s="3094" t="s">
        <v>2562</v>
      </c>
      <c r="D4" s="3094" t="s">
        <v>2563</v>
      </c>
      <c r="E4" s="3103"/>
      <c r="F4" s="3103"/>
      <c r="G4" s="3104"/>
      <c r="H4" s="3104"/>
      <c r="I4" s="3104"/>
      <c r="J4" s="3104"/>
    </row>
    <row r="5" spans="1:10" ht="16.5">
      <c r="A5" s="3094" t="s">
        <v>2564</v>
      </c>
      <c r="B5" s="3094">
        <f ca="1">SUM(D14:D23)</f>
        <v>2176</v>
      </c>
      <c r="C5" s="3094">
        <f ca="1">ROUND(B5*10000/$B$1,0)</f>
        <v>12152</v>
      </c>
      <c r="D5" s="3094">
        <f ca="1">ROUND(B5*10000/$B$2,0)</f>
        <v>1323</v>
      </c>
      <c r="E5" s="3103"/>
      <c r="F5" s="3103"/>
      <c r="G5" s="3104"/>
      <c r="H5" s="3104"/>
      <c r="I5" s="3104"/>
      <c r="J5" s="3104"/>
    </row>
    <row r="6" spans="1:10" ht="16.5">
      <c r="A6" s="3094" t="s">
        <v>2565</v>
      </c>
      <c r="B6" s="3094">
        <f>SUM(G14:G23)</f>
        <v>0</v>
      </c>
      <c r="C6" s="3094">
        <f t="shared" ref="C6:C8" si="0">ROUND(B6*10000/$B$1,0)</f>
        <v>0</v>
      </c>
      <c r="D6" s="3094">
        <f t="shared" ref="D6:D8" si="1">ROUND(B6*10000/$B$2,0)</f>
        <v>0</v>
      </c>
      <c r="E6" s="3103"/>
      <c r="F6" s="3103"/>
      <c r="G6" s="3104"/>
      <c r="H6" s="3104"/>
      <c r="I6" s="3104"/>
      <c r="J6" s="3104"/>
    </row>
    <row r="7" spans="1:10" ht="16.5">
      <c r="A7" s="3094" t="s">
        <v>2566</v>
      </c>
      <c r="B7" s="3094">
        <f>SUM(H14:H23)</f>
        <v>0</v>
      </c>
      <c r="C7" s="3094">
        <f t="shared" si="0"/>
        <v>0</v>
      </c>
      <c r="D7" s="3094">
        <f t="shared" si="1"/>
        <v>0</v>
      </c>
      <c r="E7" s="3103"/>
      <c r="F7" s="3103"/>
      <c r="G7" s="3104"/>
      <c r="H7" s="3104"/>
      <c r="I7" s="3104"/>
      <c r="J7" s="3104"/>
    </row>
    <row r="8" spans="1:10" ht="16.5">
      <c r="A8" s="3094" t="s">
        <v>2567</v>
      </c>
      <c r="B8" s="3094">
        <f>SUM(I14:I23)</f>
        <v>0</v>
      </c>
      <c r="C8" s="3094">
        <f t="shared" si="0"/>
        <v>0</v>
      </c>
      <c r="D8" s="3094">
        <f t="shared" si="1"/>
        <v>0</v>
      </c>
      <c r="E8" s="3103"/>
      <c r="F8" s="3103"/>
      <c r="G8" s="3104"/>
      <c r="H8" s="3104"/>
      <c r="I8" s="3104"/>
      <c r="J8" s="3104"/>
    </row>
    <row r="9" spans="1:10" ht="16.5">
      <c r="A9" s="3094" t="s">
        <v>2568</v>
      </c>
      <c r="B9" s="3102"/>
      <c r="C9" s="3103"/>
      <c r="D9" s="3103"/>
      <c r="E9" s="3103"/>
      <c r="F9" s="3103"/>
      <c r="G9" s="3104"/>
      <c r="H9" s="3104"/>
      <c r="I9" s="3104"/>
      <c r="J9" s="3104"/>
    </row>
    <row r="10" spans="1:10" ht="16.5">
      <c r="A10" s="3094" t="s">
        <v>2569</v>
      </c>
      <c r="B10" s="3102"/>
      <c r="C10" s="3103"/>
      <c r="D10" s="3103"/>
      <c r="E10" s="3103"/>
      <c r="F10" s="3103"/>
      <c r="G10" s="3104"/>
      <c r="H10" s="3104"/>
      <c r="I10" s="3104"/>
      <c r="J10" s="3104"/>
    </row>
    <row r="11" spans="1:10" ht="16.5">
      <c r="A11" s="3094" t="s">
        <v>2586</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2585</v>
      </c>
      <c r="B13" s="3098" t="s">
        <v>2557</v>
      </c>
      <c r="C13" s="3098" t="s">
        <v>2558</v>
      </c>
      <c r="D13" s="3098" t="s">
        <v>2570</v>
      </c>
      <c r="E13" s="3094" t="s">
        <v>2584</v>
      </c>
      <c r="F13" s="3094" t="s">
        <v>2563</v>
      </c>
      <c r="G13" s="3098" t="s">
        <v>2571</v>
      </c>
      <c r="H13" s="3098" t="s">
        <v>2572</v>
      </c>
      <c r="I13" s="3098" t="s">
        <v>2573</v>
      </c>
      <c r="J13" s="3104"/>
    </row>
    <row r="14" spans="1:10" ht="16.5">
      <c r="A14" s="3099" t="s">
        <v>2583</v>
      </c>
      <c r="B14" s="3100">
        <f>结果表!L38</f>
        <v>1790.62</v>
      </c>
      <c r="C14" s="3100">
        <f>结果表!K38</f>
        <v>16450</v>
      </c>
      <c r="D14" s="3100">
        <f ca="1">结果表!C42</f>
        <v>2176</v>
      </c>
      <c r="E14" s="3100">
        <f ca="1">ROUND(D14*10000/B14,0)</f>
        <v>12152</v>
      </c>
      <c r="F14" s="3100">
        <f ca="1">ROUND(D14*10000/C14,0)</f>
        <v>1323</v>
      </c>
      <c r="G14" s="3100" t="str">
        <f>结果表!C44</f>
        <v>——</v>
      </c>
      <c r="H14" s="3100" t="str">
        <f>结果表!C45</f>
        <v>——</v>
      </c>
      <c r="I14" s="3100" t="str">
        <f>结果表!C46</f>
        <v>——</v>
      </c>
      <c r="J14" s="3104"/>
    </row>
    <row r="15" spans="1:10" ht="16.5">
      <c r="A15" s="3099" t="s">
        <v>2574</v>
      </c>
      <c r="B15" s="3101"/>
      <c r="C15" s="3101"/>
      <c r="D15" s="3101"/>
      <c r="E15" s="3100" t="e">
        <f t="shared" ref="E15:E23" si="2">ROUND(D15*10000/B15,0)</f>
        <v>#DIV/0!</v>
      </c>
      <c r="F15" s="3100" t="e">
        <f t="shared" ref="F15:F23" si="3">ROUND(D15*10000/C15,0)</f>
        <v>#DIV/0!</v>
      </c>
      <c r="G15" s="2676"/>
      <c r="H15" s="2676"/>
      <c r="I15" s="3101"/>
      <c r="J15" s="3104"/>
    </row>
    <row r="16" spans="1:10" ht="16.5">
      <c r="A16" s="3099" t="s">
        <v>2575</v>
      </c>
      <c r="B16" s="3101"/>
      <c r="C16" s="3101"/>
      <c r="D16" s="3101"/>
      <c r="E16" s="3100" t="e">
        <f t="shared" si="2"/>
        <v>#DIV/0!</v>
      </c>
      <c r="F16" s="3100" t="e">
        <f t="shared" si="3"/>
        <v>#DIV/0!</v>
      </c>
      <c r="G16" s="2676"/>
      <c r="H16" s="2676"/>
      <c r="I16" s="3101"/>
      <c r="J16" s="3104"/>
    </row>
    <row r="17" spans="1:10" ht="16.5">
      <c r="A17" s="3099" t="s">
        <v>2576</v>
      </c>
      <c r="B17" s="3101"/>
      <c r="C17" s="3101"/>
      <c r="D17" s="3101"/>
      <c r="E17" s="3100" t="e">
        <f t="shared" si="2"/>
        <v>#DIV/0!</v>
      </c>
      <c r="F17" s="3100" t="e">
        <f t="shared" si="3"/>
        <v>#DIV/0!</v>
      </c>
      <c r="G17" s="2676"/>
      <c r="H17" s="2676"/>
      <c r="I17" s="3101"/>
      <c r="J17" s="3104"/>
    </row>
    <row r="18" spans="1:10" ht="16.5">
      <c r="A18" s="3099" t="s">
        <v>2577</v>
      </c>
      <c r="B18" s="3101"/>
      <c r="C18" s="3101"/>
      <c r="D18" s="3101"/>
      <c r="E18" s="3100" t="e">
        <f t="shared" si="2"/>
        <v>#DIV/0!</v>
      </c>
      <c r="F18" s="3100" t="e">
        <f t="shared" si="3"/>
        <v>#DIV/0!</v>
      </c>
      <c r="G18" s="3101"/>
      <c r="H18" s="3101"/>
      <c r="I18" s="3101"/>
      <c r="J18" s="3104"/>
    </row>
    <row r="19" spans="1:10" ht="16.5">
      <c r="A19" s="3099" t="s">
        <v>2578</v>
      </c>
      <c r="B19" s="3101"/>
      <c r="C19" s="3101"/>
      <c r="D19" s="3101"/>
      <c r="E19" s="3100" t="e">
        <f t="shared" si="2"/>
        <v>#DIV/0!</v>
      </c>
      <c r="F19" s="3100" t="e">
        <f t="shared" si="3"/>
        <v>#DIV/0!</v>
      </c>
      <c r="G19" s="3101"/>
      <c r="H19" s="3101"/>
      <c r="I19" s="3101"/>
      <c r="J19" s="3104"/>
    </row>
    <row r="20" spans="1:10" ht="16.5">
      <c r="A20" s="3099" t="s">
        <v>2579</v>
      </c>
      <c r="B20" s="3101"/>
      <c r="C20" s="3101"/>
      <c r="D20" s="3101"/>
      <c r="E20" s="3100" t="e">
        <f t="shared" si="2"/>
        <v>#DIV/0!</v>
      </c>
      <c r="F20" s="3100" t="e">
        <f t="shared" si="3"/>
        <v>#DIV/0!</v>
      </c>
      <c r="G20" s="3101"/>
      <c r="H20" s="3101"/>
      <c r="I20" s="3101"/>
      <c r="J20" s="3104"/>
    </row>
    <row r="21" spans="1:10" ht="16.5">
      <c r="A21" s="3099" t="s">
        <v>2580</v>
      </c>
      <c r="B21" s="3101"/>
      <c r="C21" s="3101"/>
      <c r="D21" s="3101"/>
      <c r="E21" s="3100" t="e">
        <f t="shared" si="2"/>
        <v>#DIV/0!</v>
      </c>
      <c r="F21" s="3100" t="e">
        <f t="shared" si="3"/>
        <v>#DIV/0!</v>
      </c>
      <c r="G21" s="3101"/>
      <c r="H21" s="3101"/>
      <c r="I21" s="3101"/>
      <c r="J21" s="3104"/>
    </row>
    <row r="22" spans="1:10" ht="16.5">
      <c r="A22" s="3099" t="s">
        <v>2581</v>
      </c>
      <c r="B22" s="3101"/>
      <c r="C22" s="3101"/>
      <c r="D22" s="3101"/>
      <c r="E22" s="3100" t="e">
        <f t="shared" si="2"/>
        <v>#DIV/0!</v>
      </c>
      <c r="F22" s="3100" t="e">
        <f t="shared" si="3"/>
        <v>#DIV/0!</v>
      </c>
      <c r="G22" s="3101"/>
      <c r="H22" s="3101"/>
      <c r="I22" s="3101"/>
      <c r="J22" s="3104"/>
    </row>
    <row r="23" spans="1:10" ht="16.5">
      <c r="A23" s="3099" t="s">
        <v>2582</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N21" sqref="N21"/>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605" t="str">
        <f>项目基本情况!K2</f>
        <v>出让国有建设用地使用权</v>
      </c>
      <c r="B2" s="3606"/>
      <c r="C2" s="3607"/>
      <c r="D2" s="3607"/>
      <c r="E2" s="3607"/>
      <c r="F2" s="3607"/>
      <c r="G2" s="3606"/>
      <c r="H2" s="3606"/>
      <c r="I2" s="3608"/>
      <c r="J2" s="1867"/>
      <c r="K2" s="1866"/>
      <c r="L2" s="1866"/>
      <c r="M2" s="1866"/>
      <c r="N2" s="1866"/>
      <c r="O2" s="1866"/>
      <c r="P2" s="1866"/>
      <c r="Q2" s="1866"/>
      <c r="R2" s="1866"/>
      <c r="S2" s="1866"/>
      <c r="T2" s="1866"/>
      <c r="U2" s="1866"/>
      <c r="V2" s="1866"/>
    </row>
    <row r="3" spans="1:22" ht="14.25">
      <c r="A3" s="3616" t="s">
        <v>298</v>
      </c>
      <c r="B3" s="3617"/>
      <c r="C3" s="3617"/>
      <c r="D3" s="3617"/>
      <c r="E3" s="3617"/>
      <c r="F3" s="3617"/>
      <c r="G3" s="3617"/>
      <c r="H3" s="3617"/>
      <c r="I3" s="3617"/>
      <c r="J3" s="1867"/>
      <c r="K3" s="1866"/>
      <c r="L3" s="1866"/>
      <c r="M3" s="1866"/>
      <c r="N3" s="1866"/>
      <c r="O3" s="1866"/>
      <c r="P3" s="1866"/>
      <c r="Q3" s="1866"/>
      <c r="R3" s="1866"/>
      <c r="S3" s="1866"/>
      <c r="T3" s="1866"/>
      <c r="U3" s="1866"/>
      <c r="V3" s="1866"/>
    </row>
    <row r="4" spans="1:22" ht="14.25">
      <c r="A4" s="256" t="s">
        <v>299</v>
      </c>
      <c r="B4" s="257" t="s">
        <v>300</v>
      </c>
      <c r="C4" s="258" t="s">
        <v>3294</v>
      </c>
      <c r="D4" s="258" t="s">
        <v>3295</v>
      </c>
      <c r="E4" s="3580" t="s">
        <v>301</v>
      </c>
      <c r="F4" s="3622"/>
      <c r="G4" s="3622"/>
      <c r="H4" s="3622"/>
      <c r="I4" s="3581"/>
      <c r="J4" s="1867"/>
      <c r="K4" s="1866"/>
      <c r="L4" s="3105"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6"/>
      <c r="O4" s="1866"/>
      <c r="P4" s="1866"/>
      <c r="Q4" s="1866"/>
      <c r="R4" s="1866"/>
      <c r="S4" s="1866"/>
      <c r="T4" s="1866"/>
      <c r="U4" s="1866"/>
      <c r="V4" s="1866"/>
    </row>
    <row r="5" spans="1:22" ht="14.25">
      <c r="A5" s="3609" t="s">
        <v>302</v>
      </c>
      <c r="B5" s="3610">
        <v>25</v>
      </c>
      <c r="C5" s="3618"/>
      <c r="D5" s="3621"/>
      <c r="E5" s="259" t="s">
        <v>303</v>
      </c>
      <c r="F5" s="260"/>
      <c r="G5" s="260"/>
      <c r="H5" s="260"/>
      <c r="I5" s="261"/>
      <c r="J5" s="1867"/>
      <c r="K5" s="1866"/>
      <c r="L5" s="1866"/>
      <c r="M5" s="1866"/>
      <c r="N5" s="1866"/>
      <c r="O5" s="1866"/>
      <c r="P5" s="1866"/>
      <c r="Q5" s="1866"/>
      <c r="R5" s="1866"/>
      <c r="S5" s="1866"/>
      <c r="T5" s="1866"/>
      <c r="U5" s="1866"/>
      <c r="V5" s="1866"/>
    </row>
    <row r="6" spans="1:22" ht="14.25">
      <c r="A6" s="3609"/>
      <c r="B6" s="3610"/>
      <c r="C6" s="3619"/>
      <c r="D6" s="3621"/>
      <c r="E6" s="259" t="s">
        <v>304</v>
      </c>
      <c r="F6" s="260"/>
      <c r="G6" s="260"/>
      <c r="H6" s="260"/>
      <c r="I6" s="261"/>
      <c r="J6" s="1867"/>
      <c r="K6" s="1866"/>
      <c r="L6" s="1866"/>
      <c r="M6" s="1866"/>
      <c r="N6" s="1866"/>
      <c r="O6" s="1866"/>
      <c r="P6" s="1866"/>
      <c r="Q6" s="1866"/>
      <c r="R6" s="1866"/>
      <c r="S6" s="1866"/>
      <c r="T6" s="1866"/>
      <c r="U6" s="1866"/>
      <c r="V6" s="1866"/>
    </row>
    <row r="7" spans="1:22" ht="14.25">
      <c r="A7" s="3609"/>
      <c r="B7" s="3610"/>
      <c r="C7" s="3620"/>
      <c r="D7" s="3621"/>
      <c r="E7" s="259" t="s">
        <v>305</v>
      </c>
      <c r="F7" s="260"/>
      <c r="G7" s="260"/>
      <c r="H7" s="260"/>
      <c r="I7" s="261"/>
      <c r="J7" s="1867"/>
      <c r="K7" s="1866"/>
      <c r="L7" s="1866"/>
      <c r="M7" s="1866"/>
      <c r="N7" s="1866"/>
      <c r="O7" s="1866"/>
      <c r="P7" s="1866"/>
      <c r="Q7" s="1866"/>
      <c r="R7" s="1866"/>
      <c r="S7" s="1866"/>
      <c r="T7" s="1866"/>
      <c r="U7" s="1866"/>
      <c r="V7" s="1866"/>
    </row>
    <row r="8" spans="1:22" ht="14.25">
      <c r="A8" s="3609" t="s">
        <v>306</v>
      </c>
      <c r="B8" s="3610">
        <v>15</v>
      </c>
      <c r="C8" s="3618"/>
      <c r="D8" s="3621"/>
      <c r="E8" s="259" t="s">
        <v>307</v>
      </c>
      <c r="F8" s="260"/>
      <c r="G8" s="260"/>
      <c r="H8" s="260"/>
      <c r="I8" s="261"/>
      <c r="J8" s="1867"/>
      <c r="K8" s="1866"/>
      <c r="L8" s="1866"/>
      <c r="M8" s="1866"/>
      <c r="N8" s="1866"/>
      <c r="O8" s="1866"/>
      <c r="P8" s="1866"/>
      <c r="Q8" s="1866"/>
      <c r="R8" s="1866"/>
      <c r="S8" s="1866"/>
      <c r="T8" s="1866"/>
      <c r="U8" s="1866"/>
      <c r="V8" s="1866"/>
    </row>
    <row r="9" spans="1:22" ht="14.25">
      <c r="A9" s="3609"/>
      <c r="B9" s="3610"/>
      <c r="C9" s="3620"/>
      <c r="D9" s="3621"/>
      <c r="E9" s="259" t="s">
        <v>308</v>
      </c>
      <c r="F9" s="260"/>
      <c r="G9" s="260"/>
      <c r="H9" s="260"/>
      <c r="I9" s="261"/>
      <c r="J9" s="1867"/>
      <c r="K9" s="1866"/>
      <c r="L9" s="1866"/>
      <c r="M9" s="1866"/>
      <c r="N9" s="1866"/>
      <c r="O9" s="1866"/>
      <c r="P9" s="1866"/>
      <c r="Q9" s="1866"/>
      <c r="R9" s="1866"/>
      <c r="S9" s="1866"/>
      <c r="T9" s="1866"/>
      <c r="U9" s="1866"/>
      <c r="V9" s="1866"/>
    </row>
    <row r="10" spans="1:22" ht="14.25">
      <c r="A10" s="3609" t="s">
        <v>309</v>
      </c>
      <c r="B10" s="3610">
        <v>15</v>
      </c>
      <c r="C10" s="3618"/>
      <c r="D10" s="3621"/>
      <c r="E10" s="259" t="s">
        <v>310</v>
      </c>
      <c r="F10" s="260"/>
      <c r="G10" s="260"/>
      <c r="H10" s="260"/>
      <c r="I10" s="261"/>
      <c r="J10" s="1867"/>
      <c r="K10" s="1866"/>
      <c r="L10" s="1866"/>
      <c r="M10" s="1866"/>
      <c r="N10" s="1866"/>
      <c r="O10" s="1866"/>
      <c r="P10" s="1866"/>
      <c r="Q10" s="1866"/>
      <c r="R10" s="1866"/>
      <c r="S10" s="1866"/>
      <c r="T10" s="1866"/>
      <c r="U10" s="1866"/>
      <c r="V10" s="1866"/>
    </row>
    <row r="11" spans="1:22" ht="14.25">
      <c r="A11" s="3609"/>
      <c r="B11" s="3610"/>
      <c r="C11" s="3620"/>
      <c r="D11" s="3621"/>
      <c r="E11" s="259" t="s">
        <v>311</v>
      </c>
      <c r="F11" s="260"/>
      <c r="G11" s="260"/>
      <c r="H11" s="260"/>
      <c r="I11" s="261"/>
      <c r="J11" s="1867"/>
      <c r="K11" s="1866"/>
      <c r="L11" s="1866"/>
      <c r="M11" s="1866"/>
      <c r="N11" s="1866"/>
      <c r="O11" s="1866"/>
      <c r="P11" s="1866"/>
      <c r="Q11" s="1866"/>
      <c r="R11" s="1866"/>
      <c r="S11" s="1866"/>
      <c r="T11" s="1866"/>
      <c r="U11" s="1866"/>
      <c r="V11" s="1866"/>
    </row>
    <row r="12" spans="1:22" ht="14.25">
      <c r="A12" s="3609" t="s">
        <v>312</v>
      </c>
      <c r="B12" s="3610">
        <v>15</v>
      </c>
      <c r="C12" s="3618"/>
      <c r="D12" s="3621"/>
      <c r="E12" s="259" t="s">
        <v>313</v>
      </c>
      <c r="F12" s="260"/>
      <c r="G12" s="260"/>
      <c r="H12" s="260"/>
      <c r="I12" s="261"/>
      <c r="J12" s="1867"/>
      <c r="K12" s="1866"/>
      <c r="L12" s="1866"/>
      <c r="M12" s="1866"/>
      <c r="N12" s="1866"/>
      <c r="O12" s="1866"/>
      <c r="P12" s="1866"/>
      <c r="Q12" s="1866"/>
      <c r="R12" s="1866"/>
      <c r="S12" s="1866"/>
      <c r="T12" s="1866"/>
      <c r="U12" s="1866"/>
      <c r="V12" s="1866"/>
    </row>
    <row r="13" spans="1:22" ht="14.25">
      <c r="A13" s="3609"/>
      <c r="B13" s="3610"/>
      <c r="C13" s="3620"/>
      <c r="D13" s="3621"/>
      <c r="E13" s="259" t="s">
        <v>314</v>
      </c>
      <c r="F13" s="260"/>
      <c r="G13" s="260"/>
      <c r="H13" s="260"/>
      <c r="I13" s="261"/>
      <c r="J13" s="1867"/>
      <c r="K13" s="1866"/>
      <c r="L13" s="1866"/>
      <c r="M13" s="1866"/>
      <c r="N13" s="1866"/>
      <c r="O13" s="1866"/>
      <c r="P13" s="1866"/>
      <c r="Q13" s="1866"/>
      <c r="R13" s="1866"/>
      <c r="S13" s="1866"/>
      <c r="T13" s="1866"/>
      <c r="U13" s="1866"/>
      <c r="V13" s="1866"/>
    </row>
    <row r="14" spans="1:22" ht="14.25">
      <c r="A14" s="3609" t="s">
        <v>315</v>
      </c>
      <c r="B14" s="3610">
        <v>30</v>
      </c>
      <c r="C14" s="3618">
        <v>6</v>
      </c>
      <c r="D14" s="3621">
        <v>4</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609"/>
      <c r="B15" s="3610"/>
      <c r="C15" s="3619"/>
      <c r="D15" s="3621"/>
      <c r="E15" s="259" t="s">
        <v>317</v>
      </c>
      <c r="F15" s="260"/>
      <c r="G15" s="260"/>
      <c r="H15" s="260"/>
      <c r="I15" s="261"/>
      <c r="J15" s="1867"/>
      <c r="K15" s="1866"/>
      <c r="L15" s="1866"/>
      <c r="M15" s="1866"/>
      <c r="N15" s="1866"/>
      <c r="O15" s="1866"/>
      <c r="P15" s="1866"/>
      <c r="Q15" s="1866"/>
      <c r="R15" s="1866"/>
      <c r="S15" s="1866"/>
      <c r="T15" s="1866"/>
      <c r="U15" s="1866"/>
      <c r="V15" s="1866"/>
    </row>
    <row r="16" spans="1:22" ht="14.25">
      <c r="A16" s="3609"/>
      <c r="B16" s="3610"/>
      <c r="C16" s="3620"/>
      <c r="D16" s="3621"/>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6</v>
      </c>
      <c r="D17" s="263">
        <f>SUM(D5:D16)</f>
        <v>4</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f>ROUND(C17/SUM(C17:D17),2)</f>
        <v>0.6</v>
      </c>
      <c r="D18" s="265">
        <f>1-C18</f>
        <v>0.4</v>
      </c>
      <c r="E18" s="3623" t="s">
        <v>2695</v>
      </c>
      <c r="F18" s="3624"/>
      <c r="G18" s="3624"/>
      <c r="H18" s="3624"/>
      <c r="I18" s="3624"/>
      <c r="J18" s="1866"/>
      <c r="K18" s="1866"/>
      <c r="L18" s="1866"/>
      <c r="M18" s="1866"/>
      <c r="N18" s="1866"/>
      <c r="O18" s="1866"/>
      <c r="P18" s="1866"/>
      <c r="Q18" s="1866"/>
      <c r="R18" s="1866"/>
      <c r="S18" s="1866"/>
      <c r="T18" s="1866"/>
      <c r="U18" s="1866"/>
      <c r="V18" s="1866"/>
    </row>
    <row r="19" spans="1:26" ht="15">
      <c r="A19" s="266" t="s">
        <v>321</v>
      </c>
      <c r="B19" s="267" t="s">
        <v>322</v>
      </c>
      <c r="C19" s="268">
        <f ca="1">SUMIF(INDIRECT("'"&amp;C4&amp;"'"&amp;"!A:A"),结果表!B19,INDIRECT("'"&amp;C4&amp;"'"&amp;"!B:B"))</f>
        <v>2456</v>
      </c>
      <c r="D19" s="269">
        <f ca="1">SUMIF(INDIRECT("'"&amp;D4&amp;"'"&amp;"!A:A"),结果表!B19,INDIRECT("'"&amp;D4&amp;"'"&amp;"!B:B"))</f>
        <v>1757</v>
      </c>
      <c r="E19" s="266" t="s">
        <v>323</v>
      </c>
      <c r="F19" s="267" t="s">
        <v>322</v>
      </c>
      <c r="G19" s="270">
        <f ca="1">ROUND(C19*$C$18+D19*$D$18,0)</f>
        <v>2176</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f ca="1">SUMIF(INDIRECT("'"&amp;C4&amp;"'"&amp;"!A:A"),结果表!B20,INDIRECT("'"&amp;C4&amp;"'"&amp;"!B:B"))</f>
        <v>13716</v>
      </c>
      <c r="D20" s="275">
        <f ca="1">SUMIF(INDIRECT("'"&amp;D4&amp;"'"&amp;"!A:A"),结果表!B20,INDIRECT("'"&amp;D4&amp;"'"&amp;"!B:B"))</f>
        <v>9812</v>
      </c>
      <c r="E20" s="272"/>
      <c r="F20" s="273" t="s">
        <v>325</v>
      </c>
      <c r="G20" s="276">
        <f ca="1">ROUND(C20*$C$18+D20*$D$18,0)</f>
        <v>12154</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f ca="1">SUMIF(INDIRECT("'"&amp;C4&amp;"'"&amp;"!A:A"),结果表!B21,INDIRECT("'"&amp;C4&amp;"'"&amp;"!B:B"))</f>
        <v>1493</v>
      </c>
      <c r="D21" s="149">
        <f ca="1">SUMIF(INDIRECT("'"&amp;D4&amp;"'"&amp;"!A:A"),结果表!B21,INDIRECT("'"&amp;D4&amp;"'"&amp;"!B:B"))</f>
        <v>1068</v>
      </c>
      <c r="E21" s="272"/>
      <c r="F21" s="278" t="s">
        <v>327</v>
      </c>
      <c r="G21" s="280">
        <f ca="1">ROUND(C21*$C$18+D21*$D$18,0)</f>
        <v>1323</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0.39783722253841769</v>
      </c>
      <c r="E22" s="282"/>
      <c r="F22" s="283"/>
      <c r="G22" s="284">
        <f ca="1">ROUND(G19/('数据-汇总表'!D3/666.67),0)</f>
        <v>88</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82"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629"/>
      <c r="B25" s="1239" t="s">
        <v>331</v>
      </c>
      <c r="C25" s="288">
        <f>IF(B30=0,0,C30)</f>
        <v>0</v>
      </c>
      <c r="D25" s="289"/>
      <c r="E25" s="309"/>
      <c r="F25" s="309"/>
      <c r="G25" s="309"/>
      <c r="H25" s="309"/>
      <c r="I25" s="309"/>
      <c r="J25" s="1866"/>
      <c r="K25" s="1173" t="str">
        <f ca="1">项目基本情况!B16&amp;"国有建设用地使用权价格："&amp;O38&amp;"万元"</f>
        <v>出让国有建设用地使用权价格：2176万元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大写金额：人民币贰仟壹佰柒拾陆万元整</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str">
        <f ca="1">"单位面积地价："&amp;M38&amp;"元/平方米"</f>
        <v>单位面积地价：1323元/平方米</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str">
        <f ca="1">"楼面地价："&amp;N38&amp;"元/平方米"</f>
        <v>楼面地价：12152元/平方米</v>
      </c>
      <c r="L28" s="1170"/>
      <c r="M28" s="1170"/>
      <c r="N28" s="1170"/>
      <c r="O28" s="1169"/>
      <c r="P28" s="1866"/>
      <c r="V28" s="1866"/>
    </row>
    <row r="29" spans="1:26" ht="18">
      <c r="A29" s="291"/>
      <c r="B29" s="292"/>
      <c r="C29" s="292"/>
      <c r="D29" s="293"/>
      <c r="E29" s="309"/>
      <c r="F29" s="309"/>
      <c r="G29" s="309"/>
      <c r="H29" s="309"/>
      <c r="I29" s="309"/>
      <c r="J29" s="1866"/>
      <c r="K29" s="1176" t="str">
        <f>IF(OR(项目基本情况!E8="抵押价格",项目基本情况!E8="已注销及未注销"),"抵押价格："&amp;O39&amp;"万元","——")</f>
        <v>——</v>
      </c>
      <c r="L29" s="1170"/>
      <c r="M29" s="1170"/>
      <c r="N29" s="1170"/>
      <c r="O29" s="1169"/>
      <c r="P29" s="1866"/>
      <c r="V29" s="1866"/>
    </row>
    <row r="30" spans="1:26" ht="18.75" thickBot="1">
      <c r="A30" s="2719" t="s">
        <v>336</v>
      </c>
      <c r="B30" s="307"/>
      <c r="C30" s="307"/>
      <c r="D30" s="308"/>
      <c r="E30" s="2912" t="s">
        <v>2696</v>
      </c>
      <c r="F30" s="309"/>
      <c r="G30" s="309"/>
      <c r="H30" s="309"/>
      <c r="I30" s="309"/>
      <c r="J30" s="1866"/>
      <c r="K30" s="1176" t="str">
        <f>IF(K29="——","——","大写金额：人民币"&amp;NUMBERSTRING(INT(O39*10000),2)&amp;"元整")</f>
        <v>——</v>
      </c>
      <c r="L30" s="1170"/>
      <c r="M30" s="1170"/>
      <c r="N30" s="1170"/>
      <c r="O30" s="1169"/>
      <c r="P30" s="1866"/>
      <c r="V30" s="1866"/>
    </row>
    <row r="31" spans="1:26" ht="24" customHeight="1" thickBot="1">
      <c r="A31" s="3625" t="s">
        <v>2697</v>
      </c>
      <c r="B31" s="3625"/>
      <c r="C31" s="3625"/>
      <c r="D31" s="3625"/>
      <c r="E31" s="3625"/>
      <c r="F31" s="3625"/>
      <c r="G31" s="3625"/>
      <c r="H31" s="3625"/>
      <c r="I31" s="3625"/>
      <c r="J31" s="1866"/>
      <c r="K31" s="2277" t="str">
        <f>IF(项目基本情况!E8="抵押价格","——","抵押担保权已注销时的抵押价格："&amp;O40&amp;"万元")</f>
        <v>抵押担保权已注销时的抵押价格：——万元</v>
      </c>
      <c r="L31" s="2273"/>
      <c r="M31" s="2273"/>
      <c r="N31" s="2273"/>
      <c r="O31" s="2274"/>
      <c r="P31" s="1866"/>
      <c r="V31" s="1866"/>
    </row>
    <row r="32" spans="1:26" ht="19.5" thickTop="1" thickBot="1">
      <c r="A32" s="272" t="s">
        <v>337</v>
      </c>
      <c r="B32" s="2913" t="s">
        <v>1488</v>
      </c>
      <c r="C32" s="264">
        <f ca="1">G19-C24</f>
        <v>2176</v>
      </c>
      <c r="D32" s="2914" t="s">
        <v>1489</v>
      </c>
      <c r="E32" s="309"/>
      <c r="F32" s="309"/>
      <c r="G32" s="309"/>
      <c r="H32" s="309"/>
      <c r="I32" s="309"/>
      <c r="J32" s="1866"/>
      <c r="K32" s="2272" t="e">
        <f>IF(K31="——","——","大写金额：人民币"&amp;NUMBERSTRING(INT(O40*10000),2)&amp;"元整")</f>
        <v>#VALUE!</v>
      </c>
      <c r="L32" s="2275"/>
      <c r="M32" s="2275"/>
      <c r="N32" s="2275"/>
      <c r="O32" s="2276"/>
      <c r="P32" s="1866"/>
      <c r="V32" s="1866"/>
    </row>
    <row r="33" spans="1:26" ht="18.75" thickBot="1">
      <c r="A33" s="296" t="s">
        <v>340</v>
      </c>
      <c r="B33" s="1289" t="s">
        <v>1490</v>
      </c>
      <c r="C33" s="262">
        <f ca="1">ROUND(C32*10000/'数据-汇总表'!E3,0)</f>
        <v>12152</v>
      </c>
      <c r="D33" s="1290" t="s">
        <v>1491</v>
      </c>
      <c r="E33" s="3582"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1492</v>
      </c>
      <c r="C34" s="262">
        <f ca="1">ROUND(C32*10000/'数据-汇总表'!D3,0)</f>
        <v>1323</v>
      </c>
      <c r="D34" s="1292" t="s">
        <v>1491</v>
      </c>
      <c r="E34" s="3583"/>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88</v>
      </c>
      <c r="D35" s="1295" t="s">
        <v>1493</v>
      </c>
      <c r="E35" s="3584"/>
      <c r="F35" s="299" t="s">
        <v>342</v>
      </c>
      <c r="G35" s="953"/>
      <c r="H35" s="952" t="s">
        <v>343</v>
      </c>
      <c r="I35" s="309"/>
      <c r="J35" s="1866"/>
      <c r="K35" s="3588" t="s">
        <v>350</v>
      </c>
      <c r="L35" s="3588" t="s">
        <v>351</v>
      </c>
      <c r="M35" s="1182" t="s">
        <v>352</v>
      </c>
      <c r="N35" s="3588" t="s">
        <v>353</v>
      </c>
      <c r="O35" s="3588" t="s">
        <v>354</v>
      </c>
      <c r="P35" s="1866"/>
      <c r="V35" s="1866"/>
    </row>
    <row r="36" spans="1:26" ht="16.5" customHeight="1">
      <c r="A36" s="301" t="s">
        <v>344</v>
      </c>
      <c r="B36" s="302" t="s">
        <v>333</v>
      </c>
      <c r="C36" s="303" t="s">
        <v>345</v>
      </c>
      <c r="D36" s="303" t="s">
        <v>346</v>
      </c>
      <c r="E36" s="304" t="s">
        <v>347</v>
      </c>
      <c r="F36" s="309"/>
      <c r="G36" s="309"/>
      <c r="H36" s="309"/>
      <c r="I36" s="309"/>
      <c r="J36" s="1868"/>
      <c r="K36" s="3589"/>
      <c r="L36" s="3589"/>
      <c r="M36" s="1184" t="s">
        <v>355</v>
      </c>
      <c r="N36" s="3589"/>
      <c r="O36" s="3589"/>
      <c r="P36" s="1866"/>
      <c r="V36" s="1866"/>
    </row>
    <row r="37" spans="1:26" ht="16.5" customHeight="1" thickBot="1">
      <c r="A37" s="1178" t="s">
        <v>348</v>
      </c>
      <c r="B37" s="305"/>
      <c r="C37" s="292"/>
      <c r="D37" s="292"/>
      <c r="E37" s="293"/>
      <c r="F37" s="309"/>
      <c r="G37" s="309"/>
      <c r="H37" s="309"/>
      <c r="I37" s="309"/>
      <c r="J37" s="1868"/>
      <c r="K37" s="3590"/>
      <c r="L37" s="3590"/>
      <c r="M37" s="1185"/>
      <c r="N37" s="3590"/>
      <c r="O37" s="3590"/>
      <c r="P37" s="1866"/>
      <c r="V37" s="1866"/>
    </row>
    <row r="38" spans="1:26" ht="16.5" customHeight="1" thickBot="1">
      <c r="A38" s="1178" t="s">
        <v>349</v>
      </c>
      <c r="B38" s="305"/>
      <c r="C38" s="292"/>
      <c r="D38" s="292"/>
      <c r="E38" s="293"/>
      <c r="F38" s="309"/>
      <c r="G38" s="309"/>
      <c r="H38" s="309"/>
      <c r="I38" s="309"/>
      <c r="J38" s="1868"/>
      <c r="K38" s="1186">
        <f>'数据-汇总表'!D3</f>
        <v>16450</v>
      </c>
      <c r="L38" s="1187">
        <f>'数据-汇总表'!E3</f>
        <v>1790.62</v>
      </c>
      <c r="M38" s="1187">
        <f ca="1">C34</f>
        <v>1323</v>
      </c>
      <c r="N38" s="1187">
        <f ca="1">C33</f>
        <v>12152</v>
      </c>
      <c r="O38" s="1188">
        <f ca="1">C32</f>
        <v>2176</v>
      </c>
      <c r="P38" s="1866"/>
      <c r="V38" s="1866"/>
    </row>
    <row r="39" spans="1:26" ht="16.5" customHeight="1" thickBot="1">
      <c r="A39" s="1183"/>
      <c r="B39" s="306"/>
      <c r="C39" s="307"/>
      <c r="D39" s="307"/>
      <c r="E39" s="308"/>
      <c r="F39" s="309"/>
      <c r="G39" s="309"/>
      <c r="H39" s="309"/>
      <c r="I39" s="309"/>
      <c r="J39" s="1868"/>
      <c r="K39" s="3601" t="str">
        <f>MID(A44,3,LEN(A44)-2)</f>
        <v/>
      </c>
      <c r="L39" s="3602"/>
      <c r="M39" s="3602"/>
      <c r="N39" s="3603"/>
      <c r="O39" s="1297" t="str">
        <f>C44</f>
        <v>——</v>
      </c>
      <c r="P39" s="1866"/>
      <c r="V39" s="1866"/>
    </row>
    <row r="40" spans="1:26" ht="19.5" thickBot="1">
      <c r="A40" s="104" t="s">
        <v>852</v>
      </c>
      <c r="B40" s="309"/>
      <c r="C40" s="309"/>
      <c r="D40" s="309"/>
      <c r="E40" s="309"/>
      <c r="F40" s="309"/>
      <c r="G40" s="309"/>
      <c r="H40" s="309"/>
      <c r="I40" s="309"/>
      <c r="J40" s="1868"/>
      <c r="K40" s="3601" t="str">
        <f t="shared" ref="K40:K41" si="0">MID(A45,3,LEN(A45)-2)</f>
        <v/>
      </c>
      <c r="L40" s="3602"/>
      <c r="M40" s="3602"/>
      <c r="N40" s="3603"/>
      <c r="O40" s="1297" t="str">
        <f>C45</f>
        <v>——</v>
      </c>
      <c r="P40" s="1866"/>
      <c r="V40" s="1866"/>
    </row>
    <row r="41" spans="1:26" ht="16.5" thickBot="1">
      <c r="A41" s="310" t="s">
        <v>356</v>
      </c>
      <c r="B41" s="311"/>
      <c r="C41" s="312" t="s">
        <v>357</v>
      </c>
      <c r="D41" s="313" t="s">
        <v>358</v>
      </c>
      <c r="E41" s="313" t="s">
        <v>359</v>
      </c>
      <c r="F41" s="314" t="s">
        <v>360</v>
      </c>
      <c r="G41" s="309"/>
      <c r="H41" s="309"/>
      <c r="I41" s="309"/>
      <c r="J41" s="1868"/>
      <c r="K41" s="3601" t="str">
        <f t="shared" si="0"/>
        <v/>
      </c>
      <c r="L41" s="3602"/>
      <c r="M41" s="3602"/>
      <c r="N41" s="3603"/>
      <c r="O41" s="1297" t="str">
        <f>C46</f>
        <v>——</v>
      </c>
      <c r="P41" s="1866"/>
      <c r="V41" s="1866"/>
    </row>
    <row r="42" spans="1:26" ht="29.25">
      <c r="A42" s="3630" t="s">
        <v>1859</v>
      </c>
      <c r="B42" s="3631"/>
      <c r="C42" s="262">
        <f ca="1">C32</f>
        <v>2176</v>
      </c>
      <c r="D42" s="315">
        <f ca="1">C33</f>
        <v>12152</v>
      </c>
      <c r="E42" s="315">
        <f ca="1">C34</f>
        <v>1323</v>
      </c>
      <c r="F42" s="316">
        <f ca="1">C35</f>
        <v>88</v>
      </c>
      <c r="G42" s="309"/>
      <c r="H42" s="309"/>
      <c r="I42" s="317"/>
      <c r="J42" s="1868"/>
      <c r="K42" s="1189" t="s">
        <v>361</v>
      </c>
      <c r="L42" s="1885" t="s">
        <v>362</v>
      </c>
      <c r="M42" s="1190" t="s">
        <v>363</v>
      </c>
      <c r="N42" s="1886" t="s">
        <v>364</v>
      </c>
      <c r="O42" s="1887" t="s">
        <v>365</v>
      </c>
      <c r="P42" s="1866"/>
      <c r="V42" s="1866"/>
    </row>
    <row r="43" spans="1:26" ht="30">
      <c r="A43" s="3640" t="s">
        <v>2447</v>
      </c>
      <c r="B43" s="3641"/>
      <c r="C43" s="262">
        <f>IF(H33="正常操作",G33+G34+G35,G34+G35)</f>
        <v>0</v>
      </c>
      <c r="D43" s="315" t="s">
        <v>43</v>
      </c>
      <c r="E43" s="315" t="s">
        <v>44</v>
      </c>
      <c r="F43" s="316" t="s">
        <v>44</v>
      </c>
      <c r="G43" s="2506" t="s">
        <v>931</v>
      </c>
      <c r="H43" s="309"/>
      <c r="I43" s="317"/>
      <c r="J43" s="1868"/>
      <c r="K43" s="1191" t="str">
        <f>C4</f>
        <v>比较法-住宅、综合</v>
      </c>
      <c r="L43" s="1192">
        <f ca="1">IF(L42="估价结果/万元",C19,C20)</f>
        <v>2456</v>
      </c>
      <c r="M43" s="1193">
        <f>C18</f>
        <v>0.6</v>
      </c>
      <c r="N43" s="1194">
        <f ca="1">IF(N42="测算结果/万元",G19,G20)</f>
        <v>2176</v>
      </c>
      <c r="O43" s="1195">
        <f ca="1">IF(O42="最终结果/万元",C32,C33)</f>
        <v>2176</v>
      </c>
      <c r="P43" s="1866"/>
      <c r="V43" s="1866"/>
    </row>
    <row r="44" spans="1:26" ht="30.75" thickBot="1">
      <c r="A44" s="3630" t="str">
        <f>IF(OR(项目基本情况!E8="抵押价格",项目基本情况!E8="已注销及未注销"),"3.抵押价格","——")</f>
        <v>——</v>
      </c>
      <c r="B44" s="3631"/>
      <c r="C44" s="262" t="str">
        <f>IF(A44="——","——",C42-C43)</f>
        <v>——</v>
      </c>
      <c r="D44" s="315" t="e">
        <f>ROUND(C44*10000/'数据-汇总表'!E3,0)</f>
        <v>#VALUE!</v>
      </c>
      <c r="E44" s="315" t="e">
        <f>ROUND(C44*10000/'数据-汇总表'!D3,0)</f>
        <v>#VALUE!</v>
      </c>
      <c r="F44" s="316" t="e">
        <f>ROUND(C44/('数据-汇总表'!D3/666.67),0)</f>
        <v>#VALUE!</v>
      </c>
      <c r="G44" s="309"/>
      <c r="H44" s="309"/>
      <c r="I44" s="317"/>
      <c r="J44" s="1868"/>
      <c r="K44" s="1196" t="str">
        <f>D4</f>
        <v>剩余法-待开发</v>
      </c>
      <c r="L44" s="1197">
        <f ca="1">IF(L42="估价结果/万元",D19,D20)</f>
        <v>1757</v>
      </c>
      <c r="M44" s="1198">
        <f>D18</f>
        <v>0.4</v>
      </c>
      <c r="N44" s="1199"/>
      <c r="O44" s="1200"/>
      <c r="P44" s="1866"/>
      <c r="V44" s="1866"/>
    </row>
    <row r="45" spans="1:26" ht="15">
      <c r="A45" s="3635" t="str">
        <f>IF(项目基本情况!E8="已注销及未注销","4.抵押担保权已注销时的抵押价格",IF(项目基本情况!E8="已注销","3.抵押担保权已注销时的抵押价格","——"))</f>
        <v>——</v>
      </c>
      <c r="B45" s="3636"/>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632" t="str">
        <f>IF(项目基本情况!E9="抵押净值",IF(A45="——","4.抵押净值","5.抵押净值"),"——")</f>
        <v>——</v>
      </c>
      <c r="B46" s="3633"/>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593" t="s">
        <v>374</v>
      </c>
      <c r="B63" s="3594"/>
      <c r="C63" s="3595"/>
      <c r="D63" s="339">
        <f ca="1">ROUND(C42*F63,0)</f>
        <v>2176</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637" t="s">
        <v>378</v>
      </c>
      <c r="B64" s="3638"/>
      <c r="C64" s="3638"/>
      <c r="D64" s="3638"/>
      <c r="E64" s="3638"/>
      <c r="F64" s="3638"/>
      <c r="G64" s="3639"/>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634" t="s">
        <v>386</v>
      </c>
      <c r="B66" s="3600"/>
      <c r="C66" s="3600"/>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06"/>
      <c r="J66" s="1872"/>
      <c r="K66" s="1209">
        <v>1</v>
      </c>
      <c r="L66" s="3561" t="s">
        <v>385</v>
      </c>
      <c r="M66" s="3562"/>
      <c r="N66" s="2267"/>
      <c r="O66" s="2268"/>
      <c r="P66" s="2269"/>
      <c r="Q66" s="1866"/>
      <c r="R66" s="1866"/>
      <c r="S66" s="1866"/>
      <c r="T66" s="1866"/>
      <c r="U66" s="1866"/>
      <c r="V66" s="1866"/>
    </row>
    <row r="67" spans="1:22" ht="25.5" customHeight="1">
      <c r="A67" s="350" t="s">
        <v>389</v>
      </c>
      <c r="B67" s="3612" t="s">
        <v>390</v>
      </c>
      <c r="C67" s="3612"/>
      <c r="D67" s="351">
        <v>0</v>
      </c>
      <c r="E67" s="41" t="s">
        <v>391</v>
      </c>
      <c r="F67" s="62" t="s">
        <v>21</v>
      </c>
      <c r="G67" s="3596"/>
      <c r="H67" s="2915" t="s">
        <v>2698</v>
      </c>
      <c r="I67" s="2917"/>
      <c r="J67" s="1873"/>
      <c r="K67" s="1845">
        <v>2</v>
      </c>
      <c r="L67" s="3566" t="s">
        <v>388</v>
      </c>
      <c r="M67" s="3566"/>
      <c r="N67" s="1243">
        <f>'数据-取费表'!B2</f>
        <v>44819</v>
      </c>
      <c r="O67" s="1243"/>
      <c r="P67" s="1243"/>
      <c r="Q67" s="1866"/>
      <c r="R67" s="1866"/>
      <c r="S67" s="1866"/>
      <c r="T67" s="1866"/>
      <c r="U67" s="1866"/>
      <c r="V67" s="1866"/>
    </row>
    <row r="68" spans="1:22" ht="25.5" customHeight="1">
      <c r="A68" s="352"/>
      <c r="B68" s="3612" t="s">
        <v>393</v>
      </c>
      <c r="C68" s="3612"/>
      <c r="D68" s="353"/>
      <c r="E68" s="77"/>
      <c r="F68" s="354"/>
      <c r="G68" s="3597"/>
      <c r="H68" s="2916" t="s">
        <v>2699</v>
      </c>
      <c r="I68" s="2917"/>
      <c r="J68" s="1873"/>
      <c r="K68" s="1845">
        <v>3</v>
      </c>
      <c r="L68" s="3566" t="s">
        <v>392</v>
      </c>
      <c r="M68" s="3566"/>
      <c r="N68" s="1211">
        <f ca="1">C42</f>
        <v>2176</v>
      </c>
      <c r="O68" s="1211"/>
      <c r="P68" s="1211"/>
      <c r="Q68" s="1866"/>
      <c r="R68" s="1866"/>
      <c r="S68" s="1866"/>
      <c r="T68" s="1866"/>
      <c r="U68" s="1866"/>
      <c r="V68" s="1866"/>
    </row>
    <row r="69" spans="1:22" ht="23.45" customHeight="1">
      <c r="A69" s="355"/>
      <c r="B69" s="3612" t="s">
        <v>394</v>
      </c>
      <c r="C69" s="3612"/>
      <c r="D69" s="356"/>
      <c r="E69" s="73"/>
      <c r="F69" s="354"/>
      <c r="G69" s="3598"/>
      <c r="H69" s="2916" t="s">
        <v>2700</v>
      </c>
      <c r="I69" s="2917"/>
      <c r="J69" s="1873"/>
      <c r="K69" s="1212">
        <v>4</v>
      </c>
      <c r="L69" s="3567" t="s">
        <v>2596</v>
      </c>
      <c r="M69" s="3568"/>
      <c r="N69" s="1213" t="str">
        <f>C44</f>
        <v>——</v>
      </c>
      <c r="O69" s="1213"/>
      <c r="P69" s="1213"/>
      <c r="Q69" s="1866"/>
      <c r="R69" s="1866"/>
      <c r="S69" s="1866"/>
      <c r="T69" s="1866"/>
      <c r="U69" s="1866"/>
      <c r="V69" s="1866"/>
    </row>
    <row r="70" spans="1:22" ht="24" customHeight="1">
      <c r="A70" s="357" t="s">
        <v>395</v>
      </c>
      <c r="B70" s="3612" t="s">
        <v>396</v>
      </c>
      <c r="C70" s="3612"/>
      <c r="D70" s="356">
        <f ca="1">ROUND(D63*'数据-取费表'!B41/(1+'数据-取费表'!C42),0)</f>
        <v>116</v>
      </c>
      <c r="E70" s="17" t="s">
        <v>397</v>
      </c>
      <c r="F70" s="358">
        <f>'数据-取费表'!B41</f>
        <v>5.6000000000000001E-2</v>
      </c>
      <c r="G70" s="359"/>
      <c r="H70" s="309"/>
      <c r="I70" s="1210"/>
      <c r="J70" s="1873"/>
      <c r="K70" s="2684"/>
      <c r="L70" s="2685"/>
      <c r="M70" s="2685"/>
      <c r="N70" s="2686" t="s">
        <v>2600</v>
      </c>
      <c r="O70" s="2685"/>
      <c r="P70" s="2687"/>
      <c r="Q70" s="1866"/>
      <c r="R70" s="1866"/>
      <c r="S70" s="1866"/>
      <c r="T70" s="1866"/>
      <c r="U70" s="1866"/>
      <c r="V70" s="1866"/>
    </row>
    <row r="71" spans="1:22" ht="12" customHeight="1">
      <c r="A71" s="357" t="s">
        <v>403</v>
      </c>
      <c r="B71" s="3611" t="s">
        <v>2728</v>
      </c>
      <c r="C71" s="3628"/>
      <c r="D71" s="356">
        <f ca="1">ROUND(D63*'数据-取费表'!B41/(1+'数据-取费表'!C42),0)</f>
        <v>116</v>
      </c>
      <c r="E71" s="17" t="s">
        <v>397</v>
      </c>
      <c r="F71" s="358">
        <f>'数据-取费表'!B41</f>
        <v>5.6000000000000001E-2</v>
      </c>
      <c r="G71" s="359"/>
      <c r="H71" s="309"/>
      <c r="I71" s="1210"/>
      <c r="J71" s="1873"/>
      <c r="K71" s="2683" t="s">
        <v>398</v>
      </c>
      <c r="L71" s="3569" t="s">
        <v>399</v>
      </c>
      <c r="M71" s="3569"/>
      <c r="N71" s="2683" t="s">
        <v>400</v>
      </c>
      <c r="O71" s="2683" t="s">
        <v>401</v>
      </c>
      <c r="P71" s="2683" t="s">
        <v>402</v>
      </c>
      <c r="Q71" s="1866"/>
      <c r="R71" s="1866"/>
      <c r="S71" s="1866"/>
      <c r="T71" s="1866"/>
      <c r="U71" s="1866"/>
      <c r="V71" s="1866"/>
    </row>
    <row r="72" spans="1:22" ht="12" customHeight="1">
      <c r="A72" s="357" t="s">
        <v>405</v>
      </c>
      <c r="B72" s="3611" t="s">
        <v>2729</v>
      </c>
      <c r="C72" s="3628"/>
      <c r="D72" s="356">
        <f ca="1">C86</f>
        <v>116</v>
      </c>
      <c r="E72" s="73" t="s">
        <v>406</v>
      </c>
      <c r="F72" s="358">
        <f>'数据-取费表'!B41</f>
        <v>5.6000000000000001E-2</v>
      </c>
      <c r="G72" s="359"/>
      <c r="H72" s="1216"/>
      <c r="I72" s="1210"/>
      <c r="J72" s="1873"/>
      <c r="K72" s="1845">
        <v>1</v>
      </c>
      <c r="L72" s="3565" t="s">
        <v>404</v>
      </c>
      <c r="M72" s="3565"/>
      <c r="N72" s="1214" t="b">
        <f>D66</f>
        <v>0</v>
      </c>
      <c r="O72" s="1729" t="str">
        <f>E66</f>
        <v>销售额×税（费）率</v>
      </c>
      <c r="P72" s="1215">
        <f>F66</f>
        <v>5.6000000000000001E-2</v>
      </c>
      <c r="Q72" s="1866"/>
      <c r="R72" s="1866"/>
      <c r="S72" s="1866"/>
      <c r="T72" s="1866"/>
      <c r="U72" s="1866"/>
      <c r="V72" s="1866"/>
    </row>
    <row r="73" spans="1:22" ht="24" customHeight="1">
      <c r="A73" s="3599" t="s">
        <v>408</v>
      </c>
      <c r="B73" s="3600"/>
      <c r="C73" s="3600"/>
      <c r="D73" s="360">
        <f ca="1">IF(H73="个人住宅",0,ROUND(D63*I73,0))</f>
        <v>1</v>
      </c>
      <c r="E73" s="17" t="s">
        <v>409</v>
      </c>
      <c r="F73" s="358" t="str">
        <f>IF(H73="正常",I73,"免征")</f>
        <v>免征</v>
      </c>
      <c r="G73" s="359"/>
      <c r="H73" s="189"/>
      <c r="I73" s="358">
        <f>'数据-取费表'!B49</f>
        <v>5.0000000000000001E-4</v>
      </c>
      <c r="J73" s="1873"/>
      <c r="K73" s="1845">
        <v>2</v>
      </c>
      <c r="L73" s="3565" t="s">
        <v>407</v>
      </c>
      <c r="M73" s="3565"/>
      <c r="N73" s="1214">
        <f t="shared" ref="N73:P74" ca="1" si="1">D73</f>
        <v>1</v>
      </c>
      <c r="O73" s="1729" t="str">
        <f t="shared" si="1"/>
        <v>销售额×税（费）率</v>
      </c>
      <c r="P73" s="1215" t="str">
        <f t="shared" si="1"/>
        <v>免征</v>
      </c>
      <c r="Q73" s="1866"/>
      <c r="R73" s="1866"/>
      <c r="S73" s="1866"/>
      <c r="T73" s="1866"/>
      <c r="U73" s="1866"/>
      <c r="V73" s="1866"/>
    </row>
    <row r="74" spans="1:22" ht="24.75">
      <c r="A74" s="3599" t="s">
        <v>411</v>
      </c>
      <c r="B74" s="3600"/>
      <c r="C74" s="3600"/>
      <c r="D74" s="360">
        <f ca="1">IF(H74="个人住宅",D75,D76)</f>
        <v>1232</v>
      </c>
      <c r="E74" s="17" t="s">
        <v>412</v>
      </c>
      <c r="F74" s="358" t="str">
        <f>IF(H74="正常",F76,"免征")</f>
        <v>免征</v>
      </c>
      <c r="G74" s="954" t="s">
        <v>413</v>
      </c>
      <c r="H74" s="361"/>
      <c r="I74" s="42"/>
      <c r="J74" s="1873"/>
      <c r="K74" s="1845">
        <v>3</v>
      </c>
      <c r="L74" s="3565" t="s">
        <v>410</v>
      </c>
      <c r="M74" s="3565"/>
      <c r="N74" s="1214">
        <f t="shared" ca="1" si="1"/>
        <v>1232</v>
      </c>
      <c r="O74" s="1729" t="str">
        <f t="shared" si="1"/>
        <v>增值额×税（费）率</v>
      </c>
      <c r="P74" s="1217" t="str">
        <f t="shared" si="1"/>
        <v>免征</v>
      </c>
      <c r="Q74" s="1866"/>
      <c r="R74" s="1866"/>
      <c r="S74" s="1866"/>
      <c r="T74" s="1866"/>
      <c r="U74" s="1866"/>
      <c r="V74" s="1866"/>
    </row>
    <row r="75" spans="1:22" ht="12.75">
      <c r="A75" s="357" t="s">
        <v>414</v>
      </c>
      <c r="B75" s="3580" t="s">
        <v>415</v>
      </c>
      <c r="C75" s="3581"/>
      <c r="D75" s="362">
        <v>0</v>
      </c>
      <c r="E75" s="41" t="s">
        <v>416</v>
      </c>
      <c r="F75" s="363"/>
      <c r="G75" s="359"/>
      <c r="H75" s="42"/>
      <c r="I75" s="42"/>
      <c r="J75" s="1873"/>
      <c r="K75" s="2677">
        <f>IF(H77="非个人房产","",4)</f>
        <v>4</v>
      </c>
      <c r="L75" s="3565" t="str">
        <f>IF(H77="非个人房产","——","个人所得税")</f>
        <v>个人所得税</v>
      </c>
      <c r="M75" s="3565"/>
      <c r="N75" s="1218">
        <f>D77</f>
        <v>0</v>
      </c>
      <c r="O75" s="1742" t="str">
        <f>E77</f>
        <v>差额计税</v>
      </c>
      <c r="P75" s="1219">
        <f>F77</f>
        <v>0.01</v>
      </c>
      <c r="Q75" s="1866"/>
      <c r="R75" s="1866"/>
      <c r="S75" s="1866"/>
      <c r="T75" s="1866"/>
      <c r="U75" s="1866"/>
      <c r="V75" s="1866"/>
    </row>
    <row r="76" spans="1:22" ht="24.75">
      <c r="A76" s="357" t="s">
        <v>395</v>
      </c>
      <c r="B76" s="3580" t="s">
        <v>418</v>
      </c>
      <c r="C76" s="3622"/>
      <c r="D76" s="360">
        <f ca="1">IF(H76="转让取得",C99,C115)</f>
        <v>1232</v>
      </c>
      <c r="E76" s="17" t="s">
        <v>419</v>
      </c>
      <c r="F76" s="53" t="s">
        <v>21</v>
      </c>
      <c r="G76" s="359"/>
      <c r="H76" s="361"/>
      <c r="I76" s="42"/>
      <c r="J76" s="1873"/>
      <c r="K76" s="2677" t="str">
        <f>IF(项目基本情况!K6="上海银行",IF(K75="",4,K75+1),"")</f>
        <v/>
      </c>
      <c r="L76" s="3576" t="str">
        <f>IF(项目基本情况!K6="上海银行","其他处置费用","")</f>
        <v/>
      </c>
      <c r="M76" s="3577"/>
      <c r="N76" s="1214" t="str">
        <f>IF(项目基本情况!K6="上海银行",N89,"")</f>
        <v/>
      </c>
      <c r="O76" s="3578" t="str">
        <f>IF(项目基本情况!K6="上海银行","包含处置中涉及的律师、诉讼、拍卖、评估等费用","")</f>
        <v/>
      </c>
      <c r="P76" s="3579"/>
      <c r="Q76" s="1866"/>
      <c r="R76" s="1866"/>
      <c r="S76" s="1866"/>
      <c r="T76" s="1866"/>
      <c r="U76" s="1866"/>
      <c r="V76" s="1866"/>
    </row>
    <row r="77" spans="1:22" ht="24.75" thickBot="1">
      <c r="A77" s="3591" t="s">
        <v>421</v>
      </c>
      <c r="B77" s="3592"/>
      <c r="C77" s="3592"/>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2701</v>
      </c>
      <c r="J77" s="1873"/>
      <c r="K77" s="3587">
        <f>IF(AND(K75="",K76=""),4,IF(项目基本情况!K6="上海银行",K76+1,K75+1))</f>
        <v>5</v>
      </c>
      <c r="L77" s="3565" t="s">
        <v>2597</v>
      </c>
      <c r="M77" s="2682" t="s">
        <v>417</v>
      </c>
      <c r="N77" s="1220"/>
      <c r="O77" s="1221">
        <f ca="1">SUMIF(N72:N76,"&lt;9e307")</f>
        <v>1233</v>
      </c>
      <c r="P77" s="1222"/>
      <c r="Q77" s="2680" t="e">
        <f ca="1">O77/N69</f>
        <v>#VALUE!</v>
      </c>
      <c r="R77" s="1866"/>
      <c r="S77" s="1866"/>
      <c r="T77" s="1866"/>
      <c r="U77" s="1866"/>
      <c r="V77" s="1866"/>
    </row>
    <row r="78" spans="1:22" ht="12" customHeight="1">
      <c r="A78" s="1223"/>
      <c r="B78" s="309"/>
      <c r="C78" s="309"/>
      <c r="D78" s="309"/>
      <c r="E78" s="42"/>
      <c r="F78" s="42"/>
      <c r="G78" s="42"/>
      <c r="H78" s="974"/>
      <c r="I78" s="309"/>
      <c r="J78" s="1873"/>
      <c r="K78" s="3587"/>
      <c r="L78" s="3565"/>
      <c r="M78" s="2682" t="s">
        <v>420</v>
      </c>
      <c r="N78" s="1220"/>
      <c r="O78" s="1221" t="str">
        <f ca="1">NUMBERSTRING(INT(O77*10000),2)&amp;"元整"</f>
        <v>壹仟贰佰叁拾叁万元整</v>
      </c>
      <c r="P78" s="1222"/>
      <c r="Q78" s="1866"/>
      <c r="R78" s="1866"/>
      <c r="S78" s="1866"/>
      <c r="T78" s="1866"/>
      <c r="U78" s="1866"/>
      <c r="V78" s="1866"/>
    </row>
    <row r="79" spans="1:22" ht="13.5" thickBot="1">
      <c r="A79" s="3642" t="s">
        <v>422</v>
      </c>
      <c r="B79" s="3642"/>
      <c r="C79" s="3642"/>
      <c r="D79" s="3642"/>
      <c r="E79" s="3642"/>
      <c r="F79" s="42"/>
      <c r="G79" s="42"/>
      <c r="H79" s="974"/>
      <c r="I79" s="309"/>
      <c r="J79" s="1873"/>
      <c r="K79" s="3563">
        <f>K77+1</f>
        <v>6</v>
      </c>
      <c r="L79" s="3565" t="s">
        <v>2598</v>
      </c>
      <c r="M79" s="2682" t="s">
        <v>417</v>
      </c>
      <c r="N79" s="1220"/>
      <c r="O79" s="1221" t="e">
        <f ca="1">N69-O77</f>
        <v>#VALUE!</v>
      </c>
      <c r="P79" s="1222"/>
      <c r="Q79" s="1866"/>
      <c r="R79" s="1866"/>
      <c r="S79" s="1866"/>
      <c r="T79" s="1866"/>
      <c r="U79" s="1866"/>
      <c r="V79" s="1866"/>
    </row>
    <row r="80" spans="1:22" ht="12.75">
      <c r="A80" s="3573" t="s">
        <v>423</v>
      </c>
      <c r="B80" s="3574"/>
      <c r="C80" s="965"/>
      <c r="D80" s="965" t="s">
        <v>424</v>
      </c>
      <c r="E80" s="364" t="s">
        <v>425</v>
      </c>
      <c r="F80" s="42"/>
      <c r="G80" s="42"/>
      <c r="H80" s="974"/>
      <c r="I80" s="309"/>
      <c r="J80" s="1866"/>
      <c r="K80" s="3564"/>
      <c r="L80" s="3565"/>
      <c r="M80" s="2682" t="s">
        <v>420</v>
      </c>
      <c r="N80" s="1220"/>
      <c r="O80" s="1221" t="e">
        <f ca="1">NUMBERSTRING(INT(O79*10000),2)&amp;"元整"</f>
        <v>#VALUE!</v>
      </c>
      <c r="P80" s="1222"/>
      <c r="Q80" s="1866"/>
      <c r="R80" s="1866"/>
      <c r="S80" s="1866"/>
      <c r="T80" s="1866"/>
      <c r="U80" s="1866"/>
      <c r="V80" s="1866"/>
    </row>
    <row r="81" spans="1:26" ht="13.5" thickBot="1">
      <c r="A81" s="375" t="s">
        <v>1623</v>
      </c>
      <c r="B81" s="365" t="s">
        <v>426</v>
      </c>
      <c r="C81" s="366">
        <f ca="1">ROUND((C82+C83)/(1+'数据-取费表'!C42),0)</f>
        <v>2072</v>
      </c>
      <c r="D81" s="367"/>
      <c r="E81" s="368"/>
      <c r="F81" s="42"/>
      <c r="G81" s="42"/>
      <c r="H81" s="974"/>
      <c r="I81" s="309"/>
      <c r="J81" s="1866"/>
      <c r="K81" s="2677">
        <f>K79+1</f>
        <v>7</v>
      </c>
      <c r="L81" s="3585" t="s">
        <v>2599</v>
      </c>
      <c r="M81" s="3586"/>
      <c r="N81" s="1224"/>
      <c r="O81" s="1225" t="e">
        <f ca="1">ROUND(O79*10000/'数据-汇总表'!E3,0)</f>
        <v>#VALUE!</v>
      </c>
      <c r="P81" s="1226"/>
      <c r="Q81" s="1866"/>
      <c r="R81" s="1866"/>
      <c r="S81" s="1866"/>
      <c r="T81" s="1866"/>
      <c r="U81" s="1866"/>
      <c r="V81" s="1866"/>
    </row>
    <row r="82" spans="1:26" ht="13.5" thickTop="1">
      <c r="A82" s="369" t="s">
        <v>1624</v>
      </c>
      <c r="B82" s="370" t="s">
        <v>427</v>
      </c>
      <c r="C82" s="371">
        <f ca="1">D63</f>
        <v>2176</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575" t="s">
        <v>2587</v>
      </c>
      <c r="L83" s="2688" t="s">
        <v>2588</v>
      </c>
      <c r="M83" s="2678" t="e">
        <f>IF(N69&gt;10000,N69*0.5%,IF(AND(N69&gt;1000,N69&lt;=10000),N69*1%,IF(AND(N69&gt;100,N69&lt;=1000),N69*3%,IF(AND(N69&gt;10,N69&lt;=100),N69*5%,N69*8%))))</f>
        <v>#VALUE!</v>
      </c>
      <c r="N83" s="53" t="e">
        <f>ROUND(M83,1)</f>
        <v>#VALUE!</v>
      </c>
      <c r="O83" s="2681"/>
      <c r="P83" s="1866"/>
      <c r="Q83" s="1866"/>
      <c r="R83" s="1866"/>
      <c r="S83" s="1866"/>
      <c r="T83" s="1866"/>
      <c r="U83" s="1866"/>
      <c r="V83" s="1866"/>
    </row>
    <row r="84" spans="1:26" ht="12.75">
      <c r="A84" s="375" t="s">
        <v>1626</v>
      </c>
      <c r="B84" s="376" t="s">
        <v>429</v>
      </c>
      <c r="C84" s="377"/>
      <c r="D84" s="378" t="s">
        <v>19</v>
      </c>
      <c r="E84" s="2706" t="s">
        <v>2642</v>
      </c>
      <c r="F84" s="42"/>
      <c r="G84" s="42"/>
      <c r="H84" s="974"/>
      <c r="I84" s="309"/>
      <c r="J84" s="1866"/>
      <c r="K84" s="3575"/>
      <c r="L84" s="2688" t="s">
        <v>2589</v>
      </c>
      <c r="M84" s="26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6" t="s">
        <v>2590</v>
      </c>
      <c r="P84" s="1866"/>
      <c r="Q84" s="1866"/>
      <c r="R84" s="1866"/>
      <c r="S84" s="1866"/>
      <c r="T84" s="1866"/>
      <c r="U84" s="1866"/>
      <c r="V84" s="1866"/>
    </row>
    <row r="85" spans="1:26" ht="12.75">
      <c r="A85" s="375" t="s">
        <v>1627</v>
      </c>
      <c r="B85" s="376" t="s">
        <v>430</v>
      </c>
      <c r="C85" s="379">
        <f ca="1">C81-C84</f>
        <v>2072</v>
      </c>
      <c r="D85" s="372" t="s">
        <v>19</v>
      </c>
      <c r="E85" s="373"/>
      <c r="F85" s="42"/>
      <c r="G85" s="42"/>
      <c r="H85" s="974"/>
      <c r="I85" s="309"/>
      <c r="J85" s="1866"/>
      <c r="K85" s="3575"/>
      <c r="L85" s="2688" t="s">
        <v>2591</v>
      </c>
      <c r="M85" s="2678" t="e">
        <f>IF(N69&gt;1000,N69*0.1%,IF(AND(N69&gt;500,N69&lt;=1000),N69*0.5%,IF(AND(N69&gt;50,N69&lt;=500),N69*1%,IF(AND(N69&gt;1,N69&lt;=50),N69*1.5%))))</f>
        <v>#VALUE!</v>
      </c>
      <c r="N85" s="53" t="e">
        <f t="shared" si="2"/>
        <v>#VALUE!</v>
      </c>
      <c r="O85" s="1866" t="s">
        <v>2590</v>
      </c>
      <c r="P85" s="1866"/>
      <c r="Q85" s="1866"/>
      <c r="R85" s="1866"/>
      <c r="S85" s="1866"/>
      <c r="T85" s="1866"/>
      <c r="U85" s="1866"/>
      <c r="V85" s="1866"/>
    </row>
    <row r="86" spans="1:26" ht="13.5" thickBot="1">
      <c r="A86" s="380" t="s">
        <v>1628</v>
      </c>
      <c r="B86" s="381" t="s">
        <v>431</v>
      </c>
      <c r="C86" s="382">
        <f ca="1">IF(C85&lt;=0,0,ROUND(C85*D86,0))</f>
        <v>116</v>
      </c>
      <c r="D86" s="383">
        <f>'数据-取费表'!B41</f>
        <v>5.6000000000000001E-2</v>
      </c>
      <c r="E86" s="384"/>
      <c r="F86" s="42"/>
      <c r="G86" s="42"/>
      <c r="H86" s="974"/>
      <c r="I86" s="309"/>
      <c r="J86" s="1866"/>
      <c r="K86" s="3575"/>
      <c r="L86" s="2688" t="s">
        <v>2592</v>
      </c>
      <c r="M86" s="2678" t="e">
        <f>N69*0.5%</f>
        <v>#VALUE!</v>
      </c>
      <c r="N86" s="53" t="e">
        <f>IF(M86&gt;0.5,0.5,ROUND(M86,0))</f>
        <v>#VALUE!</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575"/>
      <c r="L87" s="2688" t="s">
        <v>2594</v>
      </c>
      <c r="M87" s="26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1"/>
      <c r="P87" s="1866"/>
      <c r="Q87" s="1866"/>
      <c r="R87" s="1866"/>
      <c r="S87" s="1866"/>
      <c r="T87" s="1866"/>
      <c r="U87" s="1866"/>
      <c r="V87" s="1866"/>
      <c r="W87" s="290"/>
      <c r="X87" s="290"/>
      <c r="Y87" s="290"/>
      <c r="Z87" s="290"/>
    </row>
    <row r="88" spans="1:26" s="1232" customFormat="1" ht="15" thickBot="1">
      <c r="A88" s="3614" t="s">
        <v>432</v>
      </c>
      <c r="B88" s="3615"/>
      <c r="C88" s="3615"/>
      <c r="D88" s="3615"/>
      <c r="E88" s="3615"/>
      <c r="F88" s="3615"/>
      <c r="G88" s="3615"/>
      <c r="H88" s="3615"/>
      <c r="I88" s="1233"/>
      <c r="J88" s="1874"/>
      <c r="K88" s="3575"/>
      <c r="L88" s="2688" t="s">
        <v>2595</v>
      </c>
      <c r="M88" s="2678" t="e">
        <f>IF(N69&gt;10000,N69*0.5%,IF(AND(N69&gt;5000,N69&lt;=10000),N69*1%,IF(AND(N69&gt;1000,N69&lt;=5000),N69*2%,IF(AND(N69&gt;200,N69&lt;=1000),N69*3%,N69*5%))))</f>
        <v>#VALUE!</v>
      </c>
      <c r="N88" s="53" t="e">
        <f>ROUND(M88,1)</f>
        <v>#VALUE!</v>
      </c>
      <c r="O88" s="2681"/>
      <c r="P88" s="1871"/>
      <c r="Q88" s="1871"/>
      <c r="R88" s="1871"/>
      <c r="S88" s="1871"/>
      <c r="T88" s="1871"/>
      <c r="U88" s="1871"/>
      <c r="V88" s="1871"/>
      <c r="W88" s="1875"/>
      <c r="X88" s="1875"/>
      <c r="Y88" s="1875"/>
      <c r="Z88" s="1875"/>
    </row>
    <row r="89" spans="1:26" s="1232" customFormat="1" ht="14.25">
      <c r="A89" s="3573" t="s">
        <v>423</v>
      </c>
      <c r="B89" s="3574"/>
      <c r="C89" s="965"/>
      <c r="D89" s="965" t="s">
        <v>424</v>
      </c>
      <c r="E89" s="385" t="s">
        <v>433</v>
      </c>
      <c r="F89" s="386"/>
      <c r="G89" s="386"/>
      <c r="H89" s="387"/>
      <c r="I89" s="1234"/>
      <c r="J89" s="1876"/>
      <c r="K89" s="3575"/>
      <c r="L89" s="2688" t="s">
        <v>27</v>
      </c>
      <c r="M89" s="2679"/>
      <c r="N89" s="53" t="e">
        <f>ROUND(SUM(N83:N88),0)</f>
        <v>#VALUE!</v>
      </c>
      <c r="O89" s="2689" t="e">
        <f>N89/N69</f>
        <v>#VALUE!</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2072</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12</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611" t="s">
        <v>441</v>
      </c>
      <c r="F94" s="3612"/>
      <c r="G94" s="3612"/>
      <c r="H94" s="3613"/>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12</v>
      </c>
      <c r="D96" s="400">
        <f>'数据-取费表'!B43</f>
        <v>6.000000000000001E-3</v>
      </c>
      <c r="E96" s="3570" t="s">
        <v>2215</v>
      </c>
      <c r="F96" s="3571"/>
      <c r="G96" s="3571"/>
      <c r="H96" s="3572"/>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2060</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171.66666666666666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1232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614" t="s">
        <v>448</v>
      </c>
      <c r="B101" s="3615"/>
      <c r="C101" s="3615"/>
      <c r="D101" s="3615"/>
      <c r="E101" s="3615"/>
      <c r="F101" s="3615"/>
      <c r="G101" s="3615"/>
      <c r="H101" s="3615"/>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73" t="s">
        <v>423</v>
      </c>
      <c r="B102" s="3574"/>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2072</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12</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53"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626" t="s">
        <v>2693</v>
      </c>
      <c r="H108" s="3627"/>
      <c r="I108" s="2778"/>
      <c r="J108" s="1871"/>
      <c r="K108" s="3153"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604" t="s">
        <v>456</v>
      </c>
      <c r="F109" s="3571"/>
      <c r="G109" s="3571"/>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4">
        <v>0</v>
      </c>
      <c r="E110" s="3604" t="s">
        <v>458</v>
      </c>
      <c r="F110" s="3571"/>
      <c r="G110" s="3571"/>
      <c r="H110" s="3572"/>
      <c r="I110" s="11"/>
      <c r="J110" s="1871"/>
      <c r="K110" s="3154"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12</v>
      </c>
      <c r="D111" s="400">
        <f>'数据-取费表'!B43</f>
        <v>6.000000000000001E-3</v>
      </c>
      <c r="E111" s="3570" t="s">
        <v>2215</v>
      </c>
      <c r="F111" s="3571"/>
      <c r="G111" s="3571"/>
      <c r="H111" s="3572"/>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604" t="s">
        <v>2234</v>
      </c>
      <c r="F112" s="3571"/>
      <c r="G112" s="3571"/>
      <c r="H112" s="3572"/>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2060</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171.66666666666666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1232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1648</v>
      </c>
      <c r="B13" s="442" t="s">
        <v>473</v>
      </c>
      <c r="C13" s="443">
        <f ca="1">IF(B1="",'数据-取费表'!M16,INDIRECT("'数据-取费表'!M"&amp;$K$1)+INDIRECT("'数据-取费表'!t"&amp;$K$1))</f>
        <v>895</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27</v>
      </c>
      <c r="D14" s="444"/>
      <c r="E14" s="363"/>
      <c r="F14" s="446">
        <f>'数据-取费表'!B33</f>
        <v>0.03</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0.05</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36</v>
      </c>
      <c r="D16" s="444">
        <f ca="1">IF(B1="",'数据-汇总表'!E3,INDIRECT("'数据-取费表'!K"&amp;$K$1)+INDIRECT("'数据-取费表'!S"&amp;$K$1))</f>
        <v>1790.62</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13</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971</v>
      </c>
      <c r="D18" s="454"/>
      <c r="E18" s="455"/>
      <c r="F18" s="455"/>
      <c r="G18" s="1244" t="s">
        <v>2218</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1654</v>
      </c>
      <c r="B19" s="452" t="s">
        <v>487</v>
      </c>
      <c r="C19" s="453">
        <f ca="1">ROUND(C18*F19,0)</f>
        <v>19</v>
      </c>
      <c r="D19" s="454"/>
      <c r="E19" s="455"/>
      <c r="F19" s="459">
        <f>'数据-取费表'!B37</f>
        <v>0.02</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1655</v>
      </c>
      <c r="B20" s="454" t="s">
        <v>488</v>
      </c>
      <c r="C20" s="463">
        <f ca="1">ROUND(IF('数据-取费表'!B22&lt;=1,(C18+C19)*F20*'数据-取费表'!B20/2,(C18+C19)*(POWER((1+F20),'数据-取费表'!B20/2)-1)),0)</f>
        <v>41</v>
      </c>
      <c r="D20" s="455">
        <f ca="1">ROUND(((1+F20)^'数据-取费表'!B20)-1,4)</f>
        <v>8.4699999999999998E-2</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7" t="s">
        <v>2235</v>
      </c>
      <c r="M20" s="3118"/>
      <c r="N20" s="3118"/>
      <c r="O20" s="3118"/>
      <c r="P20" s="3118"/>
      <c r="Q20" s="3111"/>
      <c r="R20" s="3111"/>
      <c r="S20" s="3111"/>
      <c r="T20" s="3111"/>
      <c r="U20" s="3111"/>
      <c r="V20" s="3111"/>
      <c r="W20" s="3111"/>
      <c r="X20" s="3111"/>
      <c r="Y20" s="3111"/>
      <c r="Z20" s="3111"/>
    </row>
    <row r="21" spans="1:26" s="1957" customFormat="1" ht="13.5" customHeight="1">
      <c r="A21" s="1519" t="s">
        <v>2740</v>
      </c>
      <c r="B21" s="2665" t="s">
        <v>2546</v>
      </c>
      <c r="C21" s="471">
        <f ca="1">ROUND((C18+C19)*F21,0)</f>
        <v>149</v>
      </c>
      <c r="D21" s="3196"/>
      <c r="E21" s="455"/>
      <c r="F21" s="472">
        <f ca="1">IF(B1="",'数据-取费表'!Q16,INDIRECT("'数据-取费表'!q"&amp;$K$1))</f>
        <v>0.15</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1659</v>
      </c>
      <c r="B22" s="469" t="s">
        <v>498</v>
      </c>
      <c r="C22" s="476"/>
      <c r="D22" s="476"/>
      <c r="E22" s="477"/>
      <c r="F22" s="3198">
        <f ca="1">IF(B1="",'数据-取费表'!N16,INDIRECT("'数据-取费表'!N"&amp;$K$1))</f>
        <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1660</v>
      </c>
      <c r="B23" s="3200" t="s">
        <v>2741</v>
      </c>
      <c r="C23" s="3201">
        <f ca="1">ROUND((C18+C19+C20+C21)*F22,0)</f>
        <v>0</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43" t="s">
        <v>1665</v>
      </c>
      <c r="B24" s="3644"/>
      <c r="C24" s="3206">
        <f>ROUND(C6*F24/(1+'数据-取费表'!B42),0)</f>
        <v>0</v>
      </c>
      <c r="D24" s="3207"/>
      <c r="E24" s="3208"/>
      <c r="F24" s="3209">
        <f>'数据-取费表'!B41</f>
        <v>5.6000000000000001E-2</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43" t="s">
        <v>2738</v>
      </c>
      <c r="B25" s="3644"/>
      <c r="C25" s="3206">
        <f>ROUND(C6*F25,0)</f>
        <v>0</v>
      </c>
      <c r="D25" s="3207"/>
      <c r="E25" s="3208"/>
      <c r="F25" s="3212">
        <f>'数据-取费表'!B38</f>
        <v>0.02</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43" t="s">
        <v>2739</v>
      </c>
      <c r="B26" s="3644"/>
      <c r="C26" s="3218"/>
      <c r="D26" s="3219"/>
      <c r="E26" s="3219"/>
      <c r="F26" s="3220">
        <f>'数据-取费表'!B48+'数据-取费表'!B49</f>
        <v>3.0499999999999999E-2</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45" t="s">
        <v>2737</v>
      </c>
      <c r="B27" s="3646"/>
      <c r="C27" s="3214">
        <f ca="1">(C6-C23-C24-C25)/((1+F26)*(1+D20+F21))</f>
        <v>0</v>
      </c>
      <c r="D27" s="3215"/>
      <c r="E27" s="3215"/>
      <c r="F27" s="3215"/>
      <c r="G27" s="3216" t="s">
        <v>2670</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M19" sqref="M19"/>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f>F67</f>
        <v>2456</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1484</v>
      </c>
      <c r="B3" s="487">
        <f>ROUND(B2*10000/'数据-汇总表'!E3,0)</f>
        <v>13716</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f>IF(B48="单位面积地价",C50,ROUND(B2*10000/'数据-汇总表'!D3,0))</f>
        <v>1493</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100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70" t="s">
        <v>505</v>
      </c>
      <c r="D6" s="3671"/>
      <c r="E6" s="3670" t="s">
        <v>506</v>
      </c>
      <c r="F6" s="3671"/>
      <c r="G6" s="3670" t="s">
        <v>507</v>
      </c>
      <c r="H6" s="3671"/>
      <c r="I6" s="3670" t="s">
        <v>508</v>
      </c>
      <c r="J6" s="3671"/>
      <c r="K6" s="491" t="s">
        <v>509</v>
      </c>
      <c r="L6" s="1970"/>
      <c r="M6" s="1969"/>
      <c r="N6" s="1969"/>
      <c r="O6" s="1971"/>
      <c r="P6" s="3672" t="s">
        <v>510</v>
      </c>
      <c r="Q6" s="3673"/>
      <c r="R6" s="3656" t="s">
        <v>506</v>
      </c>
      <c r="S6" s="3657"/>
      <c r="T6" s="3656" t="s">
        <v>507</v>
      </c>
      <c r="U6" s="3657"/>
      <c r="V6" s="3678" t="s">
        <v>508</v>
      </c>
      <c r="W6" s="3678"/>
      <c r="X6" s="1458"/>
      <c r="Y6" s="3656" t="s">
        <v>510</v>
      </c>
      <c r="Z6" s="3657"/>
      <c r="AA6" s="3651" t="s">
        <v>506</v>
      </c>
      <c r="AB6" s="3652" t="s">
        <v>507</v>
      </c>
      <c r="AC6" s="3651" t="s">
        <v>508</v>
      </c>
    </row>
    <row r="7" spans="1:30" ht="20.25">
      <c r="A7" s="492"/>
      <c r="B7" s="493"/>
      <c r="C7" s="3681" t="s">
        <v>2631</v>
      </c>
      <c r="D7" s="3682"/>
      <c r="E7" s="3681" t="str">
        <f>土地案例!A5</f>
        <v>实验二中西、纬四路南</v>
      </c>
      <c r="F7" s="3682"/>
      <c r="G7" s="3681" t="str">
        <f>土地案例!A22</f>
        <v>纬三路北、现济阳区第二实验中学东</v>
      </c>
      <c r="H7" s="3682"/>
      <c r="I7" s="3681" t="str">
        <f>土地案例!A37</f>
        <v>纬二路南、经四路西</v>
      </c>
      <c r="J7" s="3682"/>
      <c r="K7" s="491"/>
      <c r="L7" s="1970"/>
      <c r="M7" s="1969"/>
      <c r="N7" s="1969"/>
      <c r="O7" s="1971"/>
      <c r="P7" s="3674"/>
      <c r="Q7" s="3675"/>
      <c r="R7" s="3658"/>
      <c r="S7" s="3659"/>
      <c r="T7" s="3658"/>
      <c r="U7" s="3659"/>
      <c r="V7" s="3678"/>
      <c r="W7" s="3678"/>
      <c r="X7" s="1458"/>
      <c r="Y7" s="3658"/>
      <c r="Z7" s="3659"/>
      <c r="AA7" s="3652"/>
      <c r="AB7" s="3652"/>
      <c r="AC7" s="3652"/>
    </row>
    <row r="8" spans="1:30" ht="21" thickBot="1">
      <c r="A8" s="492"/>
      <c r="B8" s="493"/>
      <c r="C8" s="3683" t="s">
        <v>2635</v>
      </c>
      <c r="D8" s="3684"/>
      <c r="E8" s="3683" t="s">
        <v>2635</v>
      </c>
      <c r="F8" s="3684"/>
      <c r="G8" s="3679" t="s">
        <v>2635</v>
      </c>
      <c r="H8" s="3680"/>
      <c r="I8" s="3679" t="s">
        <v>2635</v>
      </c>
      <c r="J8" s="3680"/>
      <c r="K8" s="491" t="s">
        <v>511</v>
      </c>
      <c r="L8" s="1970"/>
      <c r="M8" s="1969"/>
      <c r="N8" s="1969"/>
      <c r="O8" s="1971"/>
      <c r="P8" s="3676"/>
      <c r="Q8" s="3677"/>
      <c r="R8" s="3658"/>
      <c r="S8" s="3659"/>
      <c r="T8" s="3660"/>
      <c r="U8" s="3661"/>
      <c r="V8" s="3678"/>
      <c r="W8" s="3678"/>
      <c r="X8" s="1458"/>
      <c r="Y8" s="3660"/>
      <c r="Z8" s="3661"/>
      <c r="AA8" s="3653"/>
      <c r="AB8" s="3653"/>
      <c r="AC8" s="3653"/>
    </row>
    <row r="9" spans="1:30" s="1167" customFormat="1" ht="21" thickBot="1">
      <c r="A9" s="2552"/>
      <c r="B9" s="2559" t="s">
        <v>512</v>
      </c>
      <c r="C9" s="2551">
        <f>'数据-取费表'!B2</f>
        <v>44819</v>
      </c>
      <c r="D9" s="497">
        <v>100</v>
      </c>
      <c r="E9" s="498" t="str">
        <f>土地案例!K5</f>
        <v>2021-12-23</v>
      </c>
      <c r="F9" s="499">
        <f>SUMIF(71:71,YEAR(E9)&amp;"-"&amp;INT((MONTH(E9)+2)/3),72:72)</f>
        <v>98.5</v>
      </c>
      <c r="G9" s="500" t="str">
        <f>土地案例!K22</f>
        <v>2020-11-28</v>
      </c>
      <c r="H9" s="497">
        <f>SUMIF(71:71,YEAR(G9)&amp;"-"&amp;INT((MONTH(G9)+2)/3),72:72)</f>
        <v>96.5</v>
      </c>
      <c r="I9" s="500" t="str">
        <f>土地案例!K37</f>
        <v>2019-10-14</v>
      </c>
      <c r="J9" s="497">
        <f>SUMIF(71:71,YEAR(I9)&amp;"-"&amp;INT((MONTH(I9)+2)/3),72:72)</f>
        <v>94.5</v>
      </c>
      <c r="K9" s="501"/>
      <c r="L9" s="1972"/>
      <c r="M9" s="1969"/>
      <c r="N9" s="1969"/>
      <c r="O9" s="1973"/>
      <c r="P9" s="3654" t="s">
        <v>513</v>
      </c>
      <c r="Q9" s="3663"/>
      <c r="R9" s="1459" t="s">
        <v>8</v>
      </c>
      <c r="S9" s="1460">
        <f t="shared" ref="S9:S17" si="0">F9</f>
        <v>98.5</v>
      </c>
      <c r="T9" s="1459" t="s">
        <v>8</v>
      </c>
      <c r="U9" s="1460">
        <f t="shared" ref="U9:U17" si="1">H9</f>
        <v>96.5</v>
      </c>
      <c r="V9" s="1459" t="s">
        <v>8</v>
      </c>
      <c r="W9" s="1460">
        <f t="shared" ref="W9:W17" si="2">J9</f>
        <v>94.5</v>
      </c>
      <c r="X9" s="1461"/>
      <c r="Y9" s="3654" t="s">
        <v>513</v>
      </c>
      <c r="Z9" s="3655"/>
      <c r="AA9" s="1462">
        <f>D9/F9</f>
        <v>1.015228426395939</v>
      </c>
      <c r="AB9" s="1462">
        <f>D9/H9</f>
        <v>1.0362694300518134</v>
      </c>
      <c r="AC9" s="1462">
        <f>D9/J9</f>
        <v>1.0582010582010581</v>
      </c>
    </row>
    <row r="10" spans="1:30" s="1167" customFormat="1" ht="21" thickBot="1">
      <c r="A10" s="2553"/>
      <c r="B10" s="2560" t="s">
        <v>514</v>
      </c>
      <c r="C10" s="828" t="s">
        <v>515</v>
      </c>
      <c r="D10" s="497">
        <v>100</v>
      </c>
      <c r="E10" s="3453" t="s">
        <v>3285</v>
      </c>
      <c r="F10" s="499">
        <f>SUMIF(74:74,E10,75:75)-SUMIF(74:74,C10,75:75)+100</f>
        <v>100</v>
      </c>
      <c r="G10" s="3453" t="s">
        <v>3285</v>
      </c>
      <c r="H10" s="497">
        <f>SUMIF(74:74,G10,75:75)-SUMIF(74:74,C10,75:75)+100</f>
        <v>100</v>
      </c>
      <c r="I10" s="3453" t="s">
        <v>3285</v>
      </c>
      <c r="J10" s="497">
        <f>SUMIF(74:74,I10,75:75)-SUMIF(74:74,C10,75:75)+100</f>
        <v>100</v>
      </c>
      <c r="K10" s="501"/>
      <c r="L10" s="1972"/>
      <c r="M10" s="1969"/>
      <c r="N10" s="1969"/>
      <c r="O10" s="1973"/>
      <c r="P10" s="3654" t="s">
        <v>516</v>
      </c>
      <c r="Q10" s="3655"/>
      <c r="R10" s="1459" t="s">
        <v>8</v>
      </c>
      <c r="S10" s="1460">
        <f t="shared" si="0"/>
        <v>100</v>
      </c>
      <c r="T10" s="1459" t="s">
        <v>8</v>
      </c>
      <c r="U10" s="1460">
        <f t="shared" si="1"/>
        <v>100</v>
      </c>
      <c r="V10" s="1459" t="s">
        <v>8</v>
      </c>
      <c r="W10" s="1460">
        <f t="shared" si="2"/>
        <v>100</v>
      </c>
      <c r="X10" s="1461"/>
      <c r="Y10" s="3654" t="s">
        <v>516</v>
      </c>
      <c r="Z10" s="3655"/>
      <c r="AA10" s="1462">
        <f t="shared" ref="AA10:AA47" si="3">D10/F10</f>
        <v>1</v>
      </c>
      <c r="AB10" s="1462">
        <f t="shared" ref="AB10:AB47" si="4">D10/H10</f>
        <v>1</v>
      </c>
      <c r="AC10" s="1462">
        <f t="shared" ref="AC10:AC47" si="5">D10/J10</f>
        <v>1</v>
      </c>
    </row>
    <row r="11" spans="1:30" s="1167" customFormat="1" ht="20.25">
      <c r="A11" s="2554"/>
      <c r="B11" s="2561" t="s">
        <v>2473</v>
      </c>
      <c r="C11" s="2548"/>
      <c r="D11" s="252">
        <v>100</v>
      </c>
      <c r="E11" s="503"/>
      <c r="F11" s="252">
        <f>SUMIF(76:76,E11,77:77)-SUMIF(76:76,C11,77:77)+100</f>
        <v>100</v>
      </c>
      <c r="G11" s="503"/>
      <c r="H11" s="252">
        <f>SUMIF(76:76,G11,77:77)-SUMIF(76:76,C11,77:77)+100</f>
        <v>100</v>
      </c>
      <c r="I11" s="503"/>
      <c r="J11" s="252">
        <f>SUMIF(76:76,I11,77:77)-SUMIF(76:76,C11,77:77)+100</f>
        <v>100</v>
      </c>
      <c r="K11" s="501"/>
      <c r="L11" s="1972"/>
      <c r="M11" s="1969"/>
      <c r="N11" s="1969"/>
      <c r="O11" s="1974"/>
      <c r="P11" s="3662" t="s">
        <v>518</v>
      </c>
      <c r="Q11" s="1098" t="str">
        <f t="shared" ref="Q11:Q17" si="6">B11</f>
        <v>用途</v>
      </c>
      <c r="R11" s="1459" t="s">
        <v>8</v>
      </c>
      <c r="S11" s="1460">
        <f t="shared" si="0"/>
        <v>100</v>
      </c>
      <c r="T11" s="1459" t="s">
        <v>8</v>
      </c>
      <c r="U11" s="1460">
        <f t="shared" si="1"/>
        <v>100</v>
      </c>
      <c r="V11" s="1459" t="s">
        <v>8</v>
      </c>
      <c r="W11" s="1460">
        <f t="shared" si="2"/>
        <v>100</v>
      </c>
      <c r="X11" s="1461"/>
      <c r="Y11" s="3610" t="s">
        <v>519</v>
      </c>
      <c r="Z11" s="1097" t="str">
        <f t="shared" ref="Z11:Z17" si="7">Q11</f>
        <v>用途</v>
      </c>
      <c r="AA11" s="1462">
        <f t="shared" si="3"/>
        <v>1</v>
      </c>
      <c r="AB11" s="1462">
        <f t="shared" si="4"/>
        <v>1</v>
      </c>
      <c r="AC11" s="1462">
        <f t="shared" si="5"/>
        <v>1</v>
      </c>
    </row>
    <row r="12" spans="1:30" s="1248" customFormat="1" ht="27">
      <c r="A12" s="2555"/>
      <c r="B12" s="2560" t="s">
        <v>2474</v>
      </c>
      <c r="C12" s="882"/>
      <c r="D12" s="253">
        <v>100</v>
      </c>
      <c r="E12" s="506"/>
      <c r="F12" s="253">
        <f>ROUND(100/'数据-取费表'!G16,0)</f>
        <v>109</v>
      </c>
      <c r="G12" s="507"/>
      <c r="H12" s="253">
        <f>ROUND(100/'数据-取费表'!G16,0)</f>
        <v>109</v>
      </c>
      <c r="I12" s="507"/>
      <c r="J12" s="253">
        <f>ROUND(100/'数据-取费表'!G16,0)</f>
        <v>109</v>
      </c>
      <c r="K12" s="508"/>
      <c r="L12" s="1975"/>
      <c r="M12" s="1969"/>
      <c r="N12" s="1969"/>
      <c r="O12" s="1976"/>
      <c r="P12" s="3662"/>
      <c r="Q12" s="1098" t="str">
        <f t="shared" si="6"/>
        <v>土地使用年限（年）</v>
      </c>
      <c r="R12" s="1459" t="s">
        <v>8</v>
      </c>
      <c r="S12" s="1460">
        <f t="shared" si="0"/>
        <v>109</v>
      </c>
      <c r="T12" s="1459" t="s">
        <v>8</v>
      </c>
      <c r="U12" s="1460">
        <f t="shared" si="1"/>
        <v>109</v>
      </c>
      <c r="V12" s="1459" t="s">
        <v>8</v>
      </c>
      <c r="W12" s="1460">
        <f t="shared" si="2"/>
        <v>109</v>
      </c>
      <c r="X12" s="1461"/>
      <c r="Y12" s="3610"/>
      <c r="Z12" s="1097" t="str">
        <f t="shared" si="7"/>
        <v>土地使用年限（年）</v>
      </c>
      <c r="AA12" s="1462">
        <f t="shared" si="3"/>
        <v>0.91743119266055051</v>
      </c>
      <c r="AB12" s="1462">
        <f t="shared" si="4"/>
        <v>0.91743119266055051</v>
      </c>
      <c r="AC12" s="1462">
        <f t="shared" si="5"/>
        <v>0.91743119266055051</v>
      </c>
    </row>
    <row r="13" spans="1:30" ht="20.25">
      <c r="A13" s="2556"/>
      <c r="B13" s="2560" t="s">
        <v>2475</v>
      </c>
      <c r="C13" s="511">
        <v>0.12</v>
      </c>
      <c r="D13" s="253">
        <v>100</v>
      </c>
      <c r="E13" s="510">
        <v>1.4</v>
      </c>
      <c r="F13" s="253">
        <f>LOOKUP(E13,81:81,82:82)-LOOKUP(C13,81:81,82:82)+100</f>
        <v>110</v>
      </c>
      <c r="G13" s="511">
        <v>1.7</v>
      </c>
      <c r="H13" s="253">
        <f>LOOKUP(G13,81:81,82:82)-LOOKUP(C13,81:81,82:82)+100</f>
        <v>115</v>
      </c>
      <c r="I13" s="510">
        <v>2.2000000000000002</v>
      </c>
      <c r="J13" s="253">
        <f>LOOKUP(I13,81:81,82:82)-LOOKUP(C13,81:81,82:82)+100</f>
        <v>120</v>
      </c>
      <c r="K13" s="512">
        <v>5</v>
      </c>
      <c r="L13" s="1977"/>
      <c r="M13" s="1969"/>
      <c r="N13" s="1969"/>
      <c r="O13" s="1978"/>
      <c r="P13" s="3662"/>
      <c r="Q13" s="1098" t="str">
        <f t="shared" si="6"/>
        <v>容积率</v>
      </c>
      <c r="R13" s="1459" t="s">
        <v>8</v>
      </c>
      <c r="S13" s="1460">
        <f t="shared" si="0"/>
        <v>110</v>
      </c>
      <c r="T13" s="1459" t="s">
        <v>8</v>
      </c>
      <c r="U13" s="1460">
        <f t="shared" si="1"/>
        <v>115</v>
      </c>
      <c r="V13" s="1459" t="s">
        <v>8</v>
      </c>
      <c r="W13" s="1460">
        <f t="shared" si="2"/>
        <v>120</v>
      </c>
      <c r="X13" s="1461"/>
      <c r="Y13" s="3610"/>
      <c r="Z13" s="1097" t="str">
        <f t="shared" si="7"/>
        <v>容积率</v>
      </c>
      <c r="AA13" s="1462">
        <f t="shared" si="3"/>
        <v>0.90909090909090906</v>
      </c>
      <c r="AB13" s="1462">
        <f t="shared" si="4"/>
        <v>0.86956521739130432</v>
      </c>
      <c r="AC13" s="1462">
        <f t="shared" si="5"/>
        <v>0.83333333333333337</v>
      </c>
    </row>
    <row r="14" spans="1:30" s="1167" customFormat="1" ht="20.25">
      <c r="A14" s="2553"/>
      <c r="B14" s="2562" t="s">
        <v>2476</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62"/>
      <c r="Q14" s="1098" t="str">
        <f t="shared" si="6"/>
        <v>配建</v>
      </c>
      <c r="R14" s="1459" t="s">
        <v>8</v>
      </c>
      <c r="S14" s="1460">
        <f t="shared" si="0"/>
        <v>100</v>
      </c>
      <c r="T14" s="1459" t="s">
        <v>8</v>
      </c>
      <c r="U14" s="1460">
        <f t="shared" si="1"/>
        <v>100</v>
      </c>
      <c r="V14" s="1459" t="s">
        <v>8</v>
      </c>
      <c r="W14" s="1460">
        <f t="shared" si="2"/>
        <v>100</v>
      </c>
      <c r="X14" s="1461"/>
      <c r="Y14" s="3610"/>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62"/>
      <c r="Q15" s="1098">
        <f t="shared" si="6"/>
        <v>111</v>
      </c>
      <c r="R15" s="1459" t="s">
        <v>8</v>
      </c>
      <c r="S15" s="1460">
        <f t="shared" si="0"/>
        <v>100</v>
      </c>
      <c r="T15" s="1459" t="s">
        <v>8</v>
      </c>
      <c r="U15" s="1460">
        <f t="shared" si="1"/>
        <v>100</v>
      </c>
      <c r="V15" s="1459" t="s">
        <v>8</v>
      </c>
      <c r="W15" s="1460">
        <f t="shared" si="2"/>
        <v>100</v>
      </c>
      <c r="X15" s="1461"/>
      <c r="Y15" s="3610"/>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62"/>
      <c r="Q16" s="1098">
        <f t="shared" si="6"/>
        <v>111</v>
      </c>
      <c r="R16" s="1459" t="s">
        <v>8</v>
      </c>
      <c r="S16" s="1460">
        <f t="shared" si="0"/>
        <v>100</v>
      </c>
      <c r="T16" s="1459" t="s">
        <v>8</v>
      </c>
      <c r="U16" s="1460">
        <f t="shared" si="1"/>
        <v>100</v>
      </c>
      <c r="V16" s="1459" t="s">
        <v>8</v>
      </c>
      <c r="W16" s="1460">
        <f t="shared" si="2"/>
        <v>100</v>
      </c>
      <c r="X16" s="1461"/>
      <c r="Y16" s="3610"/>
      <c r="Z16" s="1097">
        <f t="shared" si="7"/>
        <v>111</v>
      </c>
      <c r="AA16" s="1462">
        <f>D16/F16</f>
        <v>1</v>
      </c>
      <c r="AB16" s="1462">
        <f>D16/H16</f>
        <v>1</v>
      </c>
      <c r="AC16" s="1462">
        <f>D16/J16</f>
        <v>1</v>
      </c>
    </row>
    <row r="17" spans="1:29" ht="99.75">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9"/>
      <c r="M17" s="1969"/>
      <c r="N17" s="1969"/>
      <c r="O17" s="1978"/>
      <c r="P17" s="3664" t="s">
        <v>523</v>
      </c>
      <c r="Q17" s="1463" t="str">
        <f t="shared" si="6"/>
        <v>居住社区成熟度</v>
      </c>
      <c r="R17" s="1464" t="s">
        <v>8</v>
      </c>
      <c r="S17" s="1465">
        <f t="shared" si="0"/>
        <v>100</v>
      </c>
      <c r="T17" s="1464" t="s">
        <v>8</v>
      </c>
      <c r="U17" s="1465">
        <f t="shared" si="1"/>
        <v>100</v>
      </c>
      <c r="V17" s="1464" t="s">
        <v>8</v>
      </c>
      <c r="W17" s="1465">
        <f t="shared" si="2"/>
        <v>100</v>
      </c>
      <c r="X17" s="1458"/>
      <c r="Y17" s="3664" t="s">
        <v>523</v>
      </c>
      <c r="Z17" s="1466" t="str">
        <f t="shared" si="7"/>
        <v>居住社区成熟度</v>
      </c>
      <c r="AA17" s="1467">
        <f t="shared" si="3"/>
        <v>1</v>
      </c>
      <c r="AB17" s="1467">
        <f t="shared" si="4"/>
        <v>1</v>
      </c>
      <c r="AC17" s="1467">
        <f t="shared" si="5"/>
        <v>1</v>
      </c>
    </row>
    <row r="18" spans="1:29" ht="20.25">
      <c r="A18" s="509"/>
      <c r="B18" s="530"/>
      <c r="C18" s="531"/>
      <c r="D18" s="534"/>
      <c r="E18" s="535"/>
      <c r="F18" s="532"/>
      <c r="G18" s="533"/>
      <c r="H18" s="536"/>
      <c r="I18" s="535"/>
      <c r="J18" s="532"/>
      <c r="K18" s="508"/>
      <c r="L18" s="1979"/>
      <c r="M18" s="1969"/>
      <c r="N18" s="1969"/>
      <c r="O18" s="1978"/>
      <c r="P18" s="3665"/>
      <c r="Q18" s="1463"/>
      <c r="R18" s="1464"/>
      <c r="S18" s="1465"/>
      <c r="T18" s="1464"/>
      <c r="U18" s="1465"/>
      <c r="V18" s="1464"/>
      <c r="W18" s="1465"/>
      <c r="X18" s="1458"/>
      <c r="Y18" s="3665"/>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v>2</v>
      </c>
      <c r="L19" s="1979"/>
      <c r="M19" s="1969"/>
      <c r="N19" s="1969"/>
      <c r="O19" s="1978"/>
      <c r="P19" s="3665"/>
      <c r="Q19" s="1463" t="str">
        <f>B19</f>
        <v>商业繁华度</v>
      </c>
      <c r="R19" s="1464" t="s">
        <v>8</v>
      </c>
      <c r="S19" s="1465">
        <f>F19</f>
        <v>100</v>
      </c>
      <c r="T19" s="1464" t="s">
        <v>8</v>
      </c>
      <c r="U19" s="1465">
        <f>H19</f>
        <v>100</v>
      </c>
      <c r="V19" s="1464" t="s">
        <v>8</v>
      </c>
      <c r="W19" s="1465">
        <f>J19</f>
        <v>100</v>
      </c>
      <c r="X19" s="1458"/>
      <c r="Y19" s="3665"/>
      <c r="Z19" s="1466" t="str">
        <f>Q19</f>
        <v>商业繁华度</v>
      </c>
      <c r="AA19" s="1467">
        <f t="shared" si="3"/>
        <v>1</v>
      </c>
      <c r="AB19" s="1467">
        <f t="shared" si="4"/>
        <v>1</v>
      </c>
      <c r="AC19" s="1467">
        <f t="shared" si="5"/>
        <v>1</v>
      </c>
    </row>
    <row r="20" spans="1:29" ht="20.25">
      <c r="A20" s="509"/>
      <c r="B20" s="543"/>
      <c r="C20" s="3454" t="s">
        <v>3287</v>
      </c>
      <c r="D20" s="540"/>
      <c r="E20" s="3455" t="s">
        <v>3287</v>
      </c>
      <c r="F20" s="536"/>
      <c r="G20" s="3456" t="s">
        <v>3287</v>
      </c>
      <c r="H20" s="532"/>
      <c r="I20" s="3455" t="s">
        <v>3287</v>
      </c>
      <c r="J20" s="532"/>
      <c r="K20" s="508"/>
      <c r="L20" s="1979"/>
      <c r="M20" s="1969"/>
      <c r="N20" s="1969"/>
      <c r="O20" s="1978"/>
      <c r="P20" s="3665"/>
      <c r="Q20" s="1463"/>
      <c r="R20" s="1464"/>
      <c r="S20" s="1465"/>
      <c r="T20" s="1464"/>
      <c r="U20" s="1465"/>
      <c r="V20" s="1464"/>
      <c r="W20" s="1465"/>
      <c r="X20" s="1458"/>
      <c r="Y20" s="3665"/>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65"/>
      <c r="Q21" s="1463" t="str">
        <f>B21</f>
        <v>办公集聚程度</v>
      </c>
      <c r="R21" s="1464" t="s">
        <v>8</v>
      </c>
      <c r="S21" s="1465">
        <f>F21</f>
        <v>100</v>
      </c>
      <c r="T21" s="1464" t="s">
        <v>8</v>
      </c>
      <c r="U21" s="1465">
        <f>H21</f>
        <v>100</v>
      </c>
      <c r="V21" s="1464" t="s">
        <v>8</v>
      </c>
      <c r="W21" s="1465">
        <f>J21</f>
        <v>100</v>
      </c>
      <c r="X21" s="1458"/>
      <c r="Y21" s="3665"/>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65"/>
      <c r="Q22" s="1463"/>
      <c r="R22" s="1464"/>
      <c r="S22" s="1465"/>
      <c r="T22" s="1464"/>
      <c r="U22" s="1465"/>
      <c r="V22" s="1464"/>
      <c r="W22" s="1465"/>
      <c r="X22" s="1458"/>
      <c r="Y22" s="3665"/>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v>2</v>
      </c>
      <c r="L23" s="1979"/>
      <c r="M23" s="1969"/>
      <c r="N23" s="1969"/>
      <c r="O23" s="1978"/>
      <c r="P23" s="3665"/>
      <c r="Q23" s="1463" t="str">
        <f>B23</f>
        <v>交通便捷度</v>
      </c>
      <c r="R23" s="1464" t="s">
        <v>8</v>
      </c>
      <c r="S23" s="1465">
        <f>F23</f>
        <v>100</v>
      </c>
      <c r="T23" s="1464" t="s">
        <v>8</v>
      </c>
      <c r="U23" s="1465">
        <f>H23</f>
        <v>100</v>
      </c>
      <c r="V23" s="1464" t="s">
        <v>8</v>
      </c>
      <c r="W23" s="1465">
        <f>J23</f>
        <v>100</v>
      </c>
      <c r="X23" s="1458"/>
      <c r="Y23" s="3665"/>
      <c r="Z23" s="1466" t="str">
        <f>Q23</f>
        <v>交通便捷度</v>
      </c>
      <c r="AA23" s="1467">
        <f t="shared" si="3"/>
        <v>1</v>
      </c>
      <c r="AB23" s="1467">
        <f t="shared" si="4"/>
        <v>1</v>
      </c>
      <c r="AC23" s="1467">
        <f t="shared" si="5"/>
        <v>1</v>
      </c>
    </row>
    <row r="24" spans="1:29" ht="20.25">
      <c r="A24" s="509"/>
      <c r="B24" s="555"/>
      <c r="C24" s="3457" t="s">
        <v>3287</v>
      </c>
      <c r="D24" s="534"/>
      <c r="E24" s="3458" t="s">
        <v>3287</v>
      </c>
      <c r="F24" s="532"/>
      <c r="G24" s="3459" t="s">
        <v>3287</v>
      </c>
      <c r="H24" s="532"/>
      <c r="I24" s="3458" t="s">
        <v>3287</v>
      </c>
      <c r="J24" s="532"/>
      <c r="K24" s="508"/>
      <c r="L24" s="1979"/>
      <c r="M24" s="1969"/>
      <c r="N24" s="1969"/>
      <c r="O24" s="1978"/>
      <c r="P24" s="3665"/>
      <c r="Q24" s="1463"/>
      <c r="R24" s="1464"/>
      <c r="S24" s="1465"/>
      <c r="T24" s="1464"/>
      <c r="U24" s="1465"/>
      <c r="V24" s="1464"/>
      <c r="W24" s="1465"/>
      <c r="X24" s="1458"/>
      <c r="Y24" s="3665"/>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9"/>
      <c r="M25" s="1969"/>
      <c r="N25" s="1969"/>
      <c r="O25" s="1978"/>
      <c r="P25" s="3665"/>
      <c r="Q25" s="1463" t="str">
        <f t="shared" ref="Q25:Q39" si="8">B25</f>
        <v>区域土地利用方向</v>
      </c>
      <c r="R25" s="1464" t="s">
        <v>8</v>
      </c>
      <c r="S25" s="1465">
        <f>F25</f>
        <v>100</v>
      </c>
      <c r="T25" s="1464" t="s">
        <v>8</v>
      </c>
      <c r="U25" s="1465">
        <f>H25</f>
        <v>100</v>
      </c>
      <c r="V25" s="1464" t="s">
        <v>8</v>
      </c>
      <c r="W25" s="1465">
        <f>J25</f>
        <v>100</v>
      </c>
      <c r="X25" s="1458"/>
      <c r="Y25" s="3665"/>
      <c r="Z25" s="1466" t="str">
        <f>Q25</f>
        <v>区域土地利用方向</v>
      </c>
      <c r="AA25" s="1467">
        <f t="shared" si="3"/>
        <v>1</v>
      </c>
      <c r="AB25" s="1467">
        <f t="shared" si="4"/>
        <v>1</v>
      </c>
      <c r="AC25" s="1467">
        <f t="shared" si="5"/>
        <v>1</v>
      </c>
    </row>
    <row r="26" spans="1:29" ht="20.25">
      <c r="A26" s="492"/>
      <c r="B26" s="977"/>
      <c r="C26" s="3457" t="s">
        <v>3288</v>
      </c>
      <c r="D26" s="534"/>
      <c r="E26" s="3458" t="s">
        <v>3288</v>
      </c>
      <c r="F26" s="532"/>
      <c r="G26" s="3459" t="s">
        <v>3288</v>
      </c>
      <c r="H26" s="532"/>
      <c r="I26" s="3458" t="s">
        <v>3288</v>
      </c>
      <c r="J26" s="532"/>
      <c r="K26" s="508"/>
      <c r="L26" s="1979"/>
      <c r="M26" s="1969"/>
      <c r="N26" s="1969"/>
      <c r="O26" s="1978"/>
      <c r="P26" s="3665"/>
      <c r="Q26" s="1463"/>
      <c r="R26" s="1464"/>
      <c r="S26" s="1465"/>
      <c r="T26" s="1464"/>
      <c r="U26" s="1465"/>
      <c r="V26" s="1464"/>
      <c r="W26" s="1465"/>
      <c r="X26" s="1458"/>
      <c r="Y26" s="3665"/>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9"/>
      <c r="M27" s="1969"/>
      <c r="N27" s="1969"/>
      <c r="O27" s="1978"/>
      <c r="P27" s="3665"/>
      <c r="Q27" s="1463" t="str">
        <f t="shared" si="8"/>
        <v>自然及人文环境状况</v>
      </c>
      <c r="R27" s="1464" t="s">
        <v>8</v>
      </c>
      <c r="S27" s="1465">
        <f>F27</f>
        <v>100</v>
      </c>
      <c r="T27" s="1464" t="s">
        <v>8</v>
      </c>
      <c r="U27" s="1465">
        <f>H27</f>
        <v>100</v>
      </c>
      <c r="V27" s="1464" t="s">
        <v>8</v>
      </c>
      <c r="W27" s="1465">
        <f>J27</f>
        <v>100</v>
      </c>
      <c r="X27" s="1458"/>
      <c r="Y27" s="3665"/>
      <c r="Z27" s="1466" t="str">
        <f>Q27</f>
        <v>自然及人文环境状况</v>
      </c>
      <c r="AA27" s="1467">
        <f t="shared" si="3"/>
        <v>1</v>
      </c>
      <c r="AB27" s="1467">
        <f t="shared" si="4"/>
        <v>1</v>
      </c>
      <c r="AC27" s="1467">
        <f t="shared" si="5"/>
        <v>1</v>
      </c>
    </row>
    <row r="28" spans="1:29" ht="20.25">
      <c r="A28" s="492"/>
      <c r="B28" s="543"/>
      <c r="C28" s="3457" t="s">
        <v>3287</v>
      </c>
      <c r="D28" s="534"/>
      <c r="E28" s="3460" t="s">
        <v>3287</v>
      </c>
      <c r="F28" s="532"/>
      <c r="G28" s="3457" t="s">
        <v>3287</v>
      </c>
      <c r="H28" s="532"/>
      <c r="I28" s="3460" t="s">
        <v>3287</v>
      </c>
      <c r="J28" s="532"/>
      <c r="K28" s="508"/>
      <c r="L28" s="1979"/>
      <c r="M28" s="1969"/>
      <c r="N28" s="1969"/>
      <c r="O28" s="1978"/>
      <c r="P28" s="3665"/>
      <c r="Q28" s="1463"/>
      <c r="R28" s="1464"/>
      <c r="S28" s="1465"/>
      <c r="T28" s="1464"/>
      <c r="U28" s="1465"/>
      <c r="V28" s="1464"/>
      <c r="W28" s="1465"/>
      <c r="X28" s="1458"/>
      <c r="Y28" s="3665"/>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2"/>
      <c r="M29" s="1969"/>
      <c r="N29" s="1969"/>
      <c r="O29" s="1974"/>
      <c r="P29" s="3665"/>
      <c r="Q29" s="1098" t="str">
        <f t="shared" si="8"/>
        <v>公共配套设施</v>
      </c>
      <c r="R29" s="1459" t="s">
        <v>8</v>
      </c>
      <c r="S29" s="1460">
        <f>F29</f>
        <v>100</v>
      </c>
      <c r="T29" s="1459" t="s">
        <v>8</v>
      </c>
      <c r="U29" s="1460">
        <f>H29</f>
        <v>100</v>
      </c>
      <c r="V29" s="1459" t="s">
        <v>8</v>
      </c>
      <c r="W29" s="1460">
        <f>J29</f>
        <v>100</v>
      </c>
      <c r="X29" s="1461"/>
      <c r="Y29" s="3665"/>
      <c r="Z29" s="1097" t="str">
        <f>Q29</f>
        <v>公共配套设施</v>
      </c>
      <c r="AA29" s="1467">
        <f>D29/F29</f>
        <v>1</v>
      </c>
      <c r="AB29" s="1467">
        <f>D29/H29</f>
        <v>1</v>
      </c>
      <c r="AC29" s="1467">
        <f>D29/J29</f>
        <v>1</v>
      </c>
    </row>
    <row r="30" spans="1:29" s="1167" customFormat="1" ht="20.25">
      <c r="A30" s="554"/>
      <c r="B30" s="543"/>
      <c r="C30" s="3461" t="s">
        <v>3287</v>
      </c>
      <c r="D30" s="534"/>
      <c r="E30" s="3460" t="s">
        <v>3287</v>
      </c>
      <c r="F30" s="532"/>
      <c r="G30" s="3457" t="s">
        <v>3287</v>
      </c>
      <c r="H30" s="532"/>
      <c r="I30" s="3460" t="s">
        <v>3287</v>
      </c>
      <c r="J30" s="532"/>
      <c r="K30" s="508"/>
      <c r="L30" s="1972"/>
      <c r="M30" s="1969"/>
      <c r="N30" s="1969"/>
      <c r="O30" s="1974"/>
      <c r="P30" s="3665"/>
      <c r="Q30" s="1098"/>
      <c r="R30" s="1459"/>
      <c r="S30" s="1460"/>
      <c r="T30" s="1459"/>
      <c r="U30" s="1460"/>
      <c r="V30" s="1459"/>
      <c r="W30" s="1460"/>
      <c r="X30" s="1461"/>
      <c r="Y30" s="3665"/>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2</v>
      </c>
      <c r="L31" s="1972"/>
      <c r="M31" s="1969"/>
      <c r="N31" s="1969"/>
      <c r="O31" s="1974"/>
      <c r="P31" s="3665"/>
      <c r="Q31" s="2351" t="str">
        <f t="shared" ref="Q31" si="9">B31</f>
        <v>基础设施水平</v>
      </c>
      <c r="R31" s="1459" t="s">
        <v>8</v>
      </c>
      <c r="S31" s="1460">
        <f>F31</f>
        <v>100</v>
      </c>
      <c r="T31" s="1459" t="s">
        <v>8</v>
      </c>
      <c r="U31" s="1460">
        <f>H31</f>
        <v>100</v>
      </c>
      <c r="V31" s="1459" t="s">
        <v>8</v>
      </c>
      <c r="W31" s="1460">
        <f>J31</f>
        <v>100</v>
      </c>
      <c r="X31" s="1461"/>
      <c r="Y31" s="3665"/>
      <c r="Z31" s="2350" t="str">
        <f>Q31</f>
        <v>基础设施水平</v>
      </c>
      <c r="AA31" s="1467">
        <f>D31/F31</f>
        <v>1</v>
      </c>
      <c r="AB31" s="1467">
        <f>D31/H31</f>
        <v>1</v>
      </c>
      <c r="AC31" s="1467">
        <f>D31/J31</f>
        <v>1</v>
      </c>
    </row>
    <row r="32" spans="1:29" s="1167" customFormat="1" ht="20.25">
      <c r="A32" s="554"/>
      <c r="B32" s="543"/>
      <c r="C32" s="3461" t="s">
        <v>3289</v>
      </c>
      <c r="D32" s="534"/>
      <c r="E32" s="3462" t="s">
        <v>3289</v>
      </c>
      <c r="F32" s="532"/>
      <c r="G32" s="3461" t="s">
        <v>3289</v>
      </c>
      <c r="H32" s="532"/>
      <c r="I32" s="3461" t="s">
        <v>3289</v>
      </c>
      <c r="J32" s="532"/>
      <c r="K32" s="508"/>
      <c r="L32" s="1972"/>
      <c r="M32" s="1969"/>
      <c r="N32" s="1969"/>
      <c r="O32" s="1974"/>
      <c r="P32" s="3665"/>
      <c r="Q32" s="2351"/>
      <c r="R32" s="1459"/>
      <c r="S32" s="1460"/>
      <c r="T32" s="1459"/>
      <c r="U32" s="1460"/>
      <c r="V32" s="1459"/>
      <c r="W32" s="1460"/>
      <c r="X32" s="1461"/>
      <c r="Y32" s="3665"/>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65"/>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65"/>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65"/>
      <c r="Q34" s="1463" t="str">
        <f t="shared" si="8"/>
        <v>毗邻道路的类型与等级</v>
      </c>
      <c r="R34" s="1464" t="s">
        <v>8</v>
      </c>
      <c r="S34" s="1465">
        <f t="shared" si="10"/>
        <v>100</v>
      </c>
      <c r="T34" s="1464" t="s">
        <v>8</v>
      </c>
      <c r="U34" s="1465">
        <f t="shared" si="11"/>
        <v>100</v>
      </c>
      <c r="V34" s="1464" t="s">
        <v>8</v>
      </c>
      <c r="W34" s="1465">
        <f t="shared" si="12"/>
        <v>100</v>
      </c>
      <c r="X34" s="1458"/>
      <c r="Y34" s="3665"/>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65"/>
      <c r="Q35" s="1463"/>
      <c r="R35" s="1464"/>
      <c r="S35" s="1465"/>
      <c r="T35" s="1464"/>
      <c r="U35" s="1465"/>
      <c r="V35" s="1464"/>
      <c r="W35" s="1465"/>
      <c r="X35" s="1458"/>
      <c r="Y35" s="3665"/>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65"/>
      <c r="Q36" s="1463" t="str">
        <f t="shared" si="8"/>
        <v>土地级别</v>
      </c>
      <c r="R36" s="1464" t="s">
        <v>8</v>
      </c>
      <c r="S36" s="1465">
        <f t="shared" si="10"/>
        <v>100</v>
      </c>
      <c r="T36" s="1464" t="s">
        <v>8</v>
      </c>
      <c r="U36" s="1465">
        <f t="shared" si="11"/>
        <v>100</v>
      </c>
      <c r="V36" s="1464" t="s">
        <v>8</v>
      </c>
      <c r="W36" s="1465">
        <f t="shared" si="12"/>
        <v>100</v>
      </c>
      <c r="X36" s="1458"/>
      <c r="Y36" s="3665"/>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65"/>
      <c r="Q37" s="1463">
        <f t="shared" si="8"/>
        <v>111</v>
      </c>
      <c r="R37" s="1464" t="s">
        <v>8</v>
      </c>
      <c r="S37" s="1465">
        <f t="shared" si="10"/>
        <v>100</v>
      </c>
      <c r="T37" s="1464" t="s">
        <v>8</v>
      </c>
      <c r="U37" s="1465">
        <f t="shared" si="11"/>
        <v>100</v>
      </c>
      <c r="V37" s="1464" t="s">
        <v>8</v>
      </c>
      <c r="W37" s="1465">
        <f t="shared" si="12"/>
        <v>100</v>
      </c>
      <c r="X37" s="1458"/>
      <c r="Y37" s="3665"/>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66" t="s">
        <v>533</v>
      </c>
      <c r="Q38" s="1463">
        <f t="shared" si="8"/>
        <v>111</v>
      </c>
      <c r="R38" s="1464" t="s">
        <v>8</v>
      </c>
      <c r="S38" s="1465">
        <f t="shared" si="10"/>
        <v>100</v>
      </c>
      <c r="T38" s="1464" t="s">
        <v>8</v>
      </c>
      <c r="U38" s="1465">
        <f t="shared" si="11"/>
        <v>100</v>
      </c>
      <c r="V38" s="1464" t="s">
        <v>8</v>
      </c>
      <c r="W38" s="1465">
        <f t="shared" si="12"/>
        <v>100</v>
      </c>
      <c r="X38" s="1458"/>
      <c r="Y38" s="3667"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67"/>
      <c r="Q39" s="1463">
        <f t="shared" si="8"/>
        <v>111</v>
      </c>
      <c r="R39" s="1468" t="s">
        <v>8</v>
      </c>
      <c r="S39" s="1469">
        <f t="shared" si="10"/>
        <v>100</v>
      </c>
      <c r="T39" s="1468" t="s">
        <v>8</v>
      </c>
      <c r="U39" s="1469">
        <f t="shared" si="11"/>
        <v>100</v>
      </c>
      <c r="V39" s="1468" t="s">
        <v>8</v>
      </c>
      <c r="W39" s="1469">
        <f t="shared" si="12"/>
        <v>100</v>
      </c>
      <c r="X39" s="1470"/>
      <c r="Y39" s="3667"/>
      <c r="Z39" s="1471">
        <f t="shared" si="13"/>
        <v>111</v>
      </c>
      <c r="AA39" s="1467">
        <f t="shared" si="3"/>
        <v>1</v>
      </c>
      <c r="AB39" s="1467">
        <f t="shared" si="4"/>
        <v>1</v>
      </c>
      <c r="AC39" s="1467">
        <f t="shared" si="5"/>
        <v>1</v>
      </c>
    </row>
    <row r="40" spans="1:29" ht="20.25">
      <c r="A40" s="2547" t="s">
        <v>2472</v>
      </c>
      <c r="B40" s="572" t="s">
        <v>535</v>
      </c>
      <c r="C40" s="573">
        <f>'数据-基础表'!A3</f>
        <v>16450</v>
      </c>
      <c r="D40" s="574">
        <v>100</v>
      </c>
      <c r="E40" s="573">
        <f>土地案例!D5</f>
        <v>3546.74</v>
      </c>
      <c r="F40" s="574">
        <f>LOOKUP(E40,118:118,119:119)-LOOKUP(C40,118:118,119:119)+100</f>
        <v>98</v>
      </c>
      <c r="G40" s="573">
        <f>土地案例!D22</f>
        <v>6639</v>
      </c>
      <c r="H40" s="574">
        <f>LOOKUP(G40,118:118,119:119)-LOOKUP(C40,118:118,119:119)+100</f>
        <v>99</v>
      </c>
      <c r="I40" s="575">
        <f>土地案例!D37</f>
        <v>39247.699999999997</v>
      </c>
      <c r="J40" s="574">
        <f>LOOKUP(I40,118:118,119:119)-LOOKUP(C40,118:118,119:119)+100</f>
        <v>102</v>
      </c>
      <c r="K40" s="558"/>
      <c r="L40" s="1979"/>
      <c r="M40" s="1969"/>
      <c r="N40" s="1969"/>
      <c r="O40" s="1978"/>
      <c r="P40" s="3667"/>
      <c r="Q40" s="1463" t="str">
        <f>B40</f>
        <v>宗地面积</v>
      </c>
      <c r="R40" s="1464" t="s">
        <v>8</v>
      </c>
      <c r="S40" s="1465">
        <f t="shared" si="10"/>
        <v>98</v>
      </c>
      <c r="T40" s="1464" t="s">
        <v>8</v>
      </c>
      <c r="U40" s="1465">
        <f t="shared" si="11"/>
        <v>99</v>
      </c>
      <c r="V40" s="1464" t="s">
        <v>8</v>
      </c>
      <c r="W40" s="1465">
        <f t="shared" si="12"/>
        <v>102</v>
      </c>
      <c r="X40" s="1458"/>
      <c r="Y40" s="3667"/>
      <c r="Z40" s="1466" t="str">
        <f t="shared" si="13"/>
        <v>宗地面积</v>
      </c>
      <c r="AA40" s="1467">
        <f t="shared" si="3"/>
        <v>1.0204081632653061</v>
      </c>
      <c r="AB40" s="1467">
        <f t="shared" si="4"/>
        <v>1.0101010101010102</v>
      </c>
      <c r="AC40" s="1467">
        <f t="shared" si="5"/>
        <v>0.98039215686274506</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67"/>
      <c r="Q41" s="1463" t="str">
        <f t="shared" ref="Q41:Q47" si="14">B41</f>
        <v>宗地形状</v>
      </c>
      <c r="R41" s="1464" t="s">
        <v>8</v>
      </c>
      <c r="S41" s="1465">
        <f t="shared" si="10"/>
        <v>100</v>
      </c>
      <c r="T41" s="1464" t="s">
        <v>8</v>
      </c>
      <c r="U41" s="1465">
        <f t="shared" si="11"/>
        <v>100</v>
      </c>
      <c r="V41" s="1464" t="s">
        <v>8</v>
      </c>
      <c r="W41" s="1465">
        <f t="shared" si="12"/>
        <v>100</v>
      </c>
      <c r="X41" s="1458"/>
      <c r="Y41" s="3667"/>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67"/>
      <c r="Q42" s="1463" t="str">
        <f t="shared" si="14"/>
        <v>临街宽度及深度</v>
      </c>
      <c r="R42" s="1464" t="s">
        <v>8</v>
      </c>
      <c r="S42" s="1465">
        <f t="shared" si="10"/>
        <v>100</v>
      </c>
      <c r="T42" s="1464" t="s">
        <v>8</v>
      </c>
      <c r="U42" s="1465">
        <f t="shared" si="11"/>
        <v>100</v>
      </c>
      <c r="V42" s="1464" t="s">
        <v>8</v>
      </c>
      <c r="W42" s="1465">
        <f t="shared" si="12"/>
        <v>100</v>
      </c>
      <c r="X42" s="1458"/>
      <c r="Y42" s="3667"/>
      <c r="Z42" s="1466" t="str">
        <f t="shared" si="13"/>
        <v>临街宽度及深度</v>
      </c>
      <c r="AA42" s="1467">
        <f t="shared" si="3"/>
        <v>1</v>
      </c>
      <c r="AB42" s="1467">
        <f t="shared" si="4"/>
        <v>1</v>
      </c>
      <c r="AC42" s="1467">
        <f t="shared" si="5"/>
        <v>1</v>
      </c>
    </row>
    <row r="43" spans="1:29" s="1167" customFormat="1" ht="20.25">
      <c r="A43" s="577"/>
      <c r="B43" s="1765"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67"/>
      <c r="Q43" s="1463" t="str">
        <f t="shared" si="14"/>
        <v>宗地开发程度</v>
      </c>
      <c r="R43" s="1459" t="s">
        <v>8</v>
      </c>
      <c r="S43" s="1460">
        <f t="shared" si="10"/>
        <v>100</v>
      </c>
      <c r="T43" s="1459" t="s">
        <v>8</v>
      </c>
      <c r="U43" s="1460">
        <f t="shared" si="11"/>
        <v>100</v>
      </c>
      <c r="V43" s="1459" t="s">
        <v>8</v>
      </c>
      <c r="W43" s="1460">
        <f t="shared" si="12"/>
        <v>100</v>
      </c>
      <c r="X43" s="1461"/>
      <c r="Y43" s="3667"/>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67" t="s">
        <v>533</v>
      </c>
      <c r="Q44" s="1463" t="str">
        <f t="shared" si="14"/>
        <v>工程地质条件</v>
      </c>
      <c r="R44" s="1464" t="s">
        <v>8</v>
      </c>
      <c r="S44" s="1465">
        <f t="shared" si="10"/>
        <v>100</v>
      </c>
      <c r="T44" s="1464" t="s">
        <v>8</v>
      </c>
      <c r="U44" s="1465">
        <f t="shared" si="11"/>
        <v>100</v>
      </c>
      <c r="V44" s="1464" t="s">
        <v>8</v>
      </c>
      <c r="W44" s="1465">
        <f t="shared" si="12"/>
        <v>100</v>
      </c>
      <c r="X44" s="1458"/>
      <c r="Y44" s="3667"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67"/>
      <c r="Q45" s="1463">
        <f t="shared" si="14"/>
        <v>111</v>
      </c>
      <c r="R45" s="1464" t="s">
        <v>8</v>
      </c>
      <c r="S45" s="1465">
        <f t="shared" si="10"/>
        <v>100</v>
      </c>
      <c r="T45" s="1464" t="s">
        <v>8</v>
      </c>
      <c r="U45" s="1465">
        <f t="shared" si="11"/>
        <v>100</v>
      </c>
      <c r="V45" s="1464" t="s">
        <v>8</v>
      </c>
      <c r="W45" s="1465">
        <f t="shared" si="12"/>
        <v>100</v>
      </c>
      <c r="X45" s="1458"/>
      <c r="Y45" s="3667"/>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67"/>
      <c r="Q46" s="1463">
        <f t="shared" si="14"/>
        <v>111</v>
      </c>
      <c r="R46" s="1464" t="s">
        <v>8</v>
      </c>
      <c r="S46" s="1465">
        <f t="shared" si="10"/>
        <v>100</v>
      </c>
      <c r="T46" s="1464" t="s">
        <v>8</v>
      </c>
      <c r="U46" s="1465">
        <f t="shared" si="11"/>
        <v>100</v>
      </c>
      <c r="V46" s="1464" t="s">
        <v>8</v>
      </c>
      <c r="W46" s="1465">
        <f t="shared" si="12"/>
        <v>100</v>
      </c>
      <c r="X46" s="1458"/>
      <c r="Y46" s="3667"/>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67"/>
      <c r="Q47" s="1463">
        <f t="shared" si="14"/>
        <v>111</v>
      </c>
      <c r="R47" s="1468" t="s">
        <v>8</v>
      </c>
      <c r="S47" s="1469">
        <f t="shared" si="10"/>
        <v>100</v>
      </c>
      <c r="T47" s="1468" t="s">
        <v>8</v>
      </c>
      <c r="U47" s="1469">
        <f t="shared" si="11"/>
        <v>100</v>
      </c>
      <c r="V47" s="1468" t="s">
        <v>8</v>
      </c>
      <c r="W47" s="1469">
        <f t="shared" si="12"/>
        <v>100</v>
      </c>
      <c r="X47" s="1470"/>
      <c r="Y47" s="3667"/>
      <c r="Z47" s="1471">
        <f t="shared" si="13"/>
        <v>111</v>
      </c>
      <c r="AA47" s="1467">
        <f t="shared" si="3"/>
        <v>1</v>
      </c>
      <c r="AB47" s="1467">
        <f t="shared" si="4"/>
        <v>1</v>
      </c>
      <c r="AC47" s="1467">
        <f t="shared" si="5"/>
        <v>1</v>
      </c>
    </row>
    <row r="48" spans="1:29" ht="20.25">
      <c r="A48" s="584" t="s">
        <v>539</v>
      </c>
      <c r="B48" s="585" t="s">
        <v>3286</v>
      </c>
      <c r="C48" s="586" t="s">
        <v>1</v>
      </c>
      <c r="D48" s="587"/>
      <c r="E48" s="588">
        <f>土地案例!R5</f>
        <v>1683</v>
      </c>
      <c r="F48" s="589"/>
      <c r="G48" s="590">
        <f>土地案例!R22</f>
        <v>1770</v>
      </c>
      <c r="H48" s="591"/>
      <c r="I48" s="588">
        <f>土地案例!R37</f>
        <v>1950</v>
      </c>
      <c r="J48" s="591"/>
      <c r="K48" s="1250"/>
      <c r="L48" s="1981"/>
      <c r="M48" s="1969"/>
      <c r="N48" s="1969"/>
      <c r="O48" s="1982"/>
      <c r="P48" s="3662" t="str">
        <f>A48</f>
        <v>成交单价</v>
      </c>
      <c r="Q48" s="3662"/>
      <c r="R48" s="3678">
        <f>E48</f>
        <v>1683</v>
      </c>
      <c r="S48" s="3678"/>
      <c r="T48" s="3678">
        <f>G48</f>
        <v>1770</v>
      </c>
      <c r="U48" s="3678"/>
      <c r="V48" s="3678">
        <f>I48</f>
        <v>1950</v>
      </c>
      <c r="W48" s="3678"/>
      <c r="X48" s="1453"/>
      <c r="Y48" s="1472"/>
      <c r="Z48" s="1453"/>
      <c r="AA48" s="1453"/>
      <c r="AB48" s="1453"/>
      <c r="AC48" s="1453"/>
    </row>
    <row r="49" spans="1:29" ht="21" thickBot="1">
      <c r="A49" s="592" t="s">
        <v>2410</v>
      </c>
      <c r="B49" s="593"/>
      <c r="C49" s="594">
        <f>R50</f>
        <v>1493</v>
      </c>
      <c r="D49" s="2923" t="s">
        <v>2702</v>
      </c>
      <c r="E49" s="594">
        <f>R49</f>
        <v>1454</v>
      </c>
      <c r="F49" s="2924"/>
      <c r="G49" s="595">
        <f>T49</f>
        <v>1478</v>
      </c>
      <c r="H49" s="2924"/>
      <c r="I49" s="594">
        <f>V49</f>
        <v>1547</v>
      </c>
      <c r="J49" s="2924"/>
      <c r="K49" s="2925">
        <f>F49+H49+J49</f>
        <v>0</v>
      </c>
      <c r="L49" s="1981"/>
      <c r="M49" s="1969"/>
      <c r="N49" s="1969"/>
      <c r="O49" s="1982"/>
      <c r="P49" s="3662" t="str">
        <f>A49</f>
        <v>比较价格（元/平方米）</v>
      </c>
      <c r="Q49" s="3662"/>
      <c r="R49" s="3686">
        <f>ROUND(PRODUCT(R48,AA9:AA47),0)</f>
        <v>1454</v>
      </c>
      <c r="S49" s="3686"/>
      <c r="T49" s="3686">
        <f>ROUND(PRODUCT(T48,AB9:AB47),0)</f>
        <v>1478</v>
      </c>
      <c r="U49" s="3686"/>
      <c r="V49" s="3686">
        <f>ROUND(PRODUCT(V48,AC9:AC47),0)</f>
        <v>1547</v>
      </c>
      <c r="W49" s="3686"/>
      <c r="X49" s="1453"/>
      <c r="Y49" s="1453"/>
      <c r="Z49" s="1453"/>
      <c r="AA49" s="1453"/>
      <c r="AB49" s="1453"/>
      <c r="AC49" s="1453"/>
    </row>
    <row r="50" spans="1:29" ht="21" thickBot="1">
      <c r="A50" s="596" t="s">
        <v>2637</v>
      </c>
      <c r="B50" s="597"/>
      <c r="C50" s="598">
        <f>R50</f>
        <v>1493</v>
      </c>
      <c r="D50" s="598"/>
      <c r="E50" s="598"/>
      <c r="F50" s="598"/>
      <c r="G50" s="598"/>
      <c r="H50" s="598"/>
      <c r="I50" s="598"/>
      <c r="J50" s="598"/>
      <c r="K50" s="1251"/>
      <c r="L50" s="1981"/>
      <c r="M50" s="1969"/>
      <c r="N50" s="1969"/>
      <c r="O50" s="1982"/>
      <c r="P50" s="3668" t="str">
        <f>A50</f>
        <v>估价对象XX用房的比较价格（楼面单价，元/平方米）</v>
      </c>
      <c r="Q50" s="3669"/>
      <c r="R50" s="3685">
        <f>ROUND(IF(D49="简单平均",AVERAGE(R49:W49),R49*F49+T49*H49+V49*J49),0)</f>
        <v>1493</v>
      </c>
      <c r="S50" s="3685"/>
      <c r="T50" s="3685"/>
      <c r="U50" s="3685"/>
      <c r="V50" s="3685"/>
      <c r="W50" s="3685"/>
      <c r="X50" s="1453"/>
      <c r="Y50" s="1453"/>
      <c r="Z50" s="1453"/>
      <c r="AA50" s="1453"/>
      <c r="AB50" s="1453"/>
      <c r="AC50" s="1453"/>
    </row>
    <row r="51" spans="1:29" ht="20.25">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f>IF(E48&lt;E49,E49/E48-1,E48/E49-1)</f>
        <v>0.15749656121045397</v>
      </c>
      <c r="F53" s="602" t="str">
        <f>IF(OR(E53&gt;=0.3,E53&lt;=-0.3),"超过30%","")</f>
        <v/>
      </c>
      <c r="G53" s="601">
        <f>IF(G48&lt;G49,G49/G48-1,G48/G49-1)</f>
        <v>0.1975642760487144</v>
      </c>
      <c r="H53" s="602" t="str">
        <f>IF(OR(G53&gt;=0.3,G53&lt;=-0.3),"超过30%","")</f>
        <v/>
      </c>
      <c r="I53" s="601">
        <f>IF(I48&lt;I49,I49/I48-1,I48/I49-1)</f>
        <v>0.26050420168067223</v>
      </c>
      <c r="J53" s="602" t="str">
        <f>IF(OR(I53&gt;=0.3,I53&lt;=-0.3),"超过30%","")</f>
        <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f>IF(E49&lt;G49,G49/E49-1,E49/G49-1)</f>
        <v>1.6506189821182904E-2</v>
      </c>
      <c r="F54" s="602" t="str">
        <f>IF(OR(E54&gt;=0.2,E54&lt;=-0.2),"超过20%","")</f>
        <v/>
      </c>
      <c r="G54" s="601">
        <f>IF(G49&lt;I49,I49/G49-1,G49/I49-1)</f>
        <v>4.6684709066305841E-2</v>
      </c>
      <c r="H54" s="602" t="str">
        <f>IF(OR(G54&gt;=0.2,G54&lt;=-0.2),"超过20%","")</f>
        <v/>
      </c>
      <c r="I54" s="601">
        <f>IF(I49&lt;E49,E49/I49-1,I49/E49-1)</f>
        <v>6.3961485557083808E-2</v>
      </c>
      <c r="J54" s="602" t="str">
        <f>IF(OR(I54&gt;=0.2,I54&lt;=-0.2),"超过20%","")</f>
        <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f>IF(E48&lt;G48,G48/E48-1,E48/G48-1)</f>
        <v>5.1693404634581164E-2</v>
      </c>
      <c r="F55" s="602" t="str">
        <f>IF(OR(E55&gt;=0.3,E55&lt;=-0.3),"超过30%","")</f>
        <v/>
      </c>
      <c r="G55" s="601">
        <f>IF(G48&lt;I48,I48/G48-1,G48/I48-1)</f>
        <v>0.10169491525423724</v>
      </c>
      <c r="H55" s="602" t="str">
        <f>IF(OR(G55&gt;=0.3,G55&lt;=-0.3),"超过30%","")</f>
        <v/>
      </c>
      <c r="I55" s="601">
        <f>IF(I48&lt;E48,E48/I48-1,I48/E48-1)</f>
        <v>0.15864527629233516</v>
      </c>
      <c r="J55" s="602" t="str">
        <f>IF(OR(I55&gt;=0.3,I55&lt;=-0.3),"超过30%","")</f>
        <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47" t="s">
        <v>2072</v>
      </c>
      <c r="H57" s="3648"/>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1493</v>
      </c>
      <c r="C58" s="610">
        <v>1</v>
      </c>
      <c r="D58" s="2063">
        <v>1</v>
      </c>
      <c r="E58" s="610">
        <f>'数据-汇总表'!E8+'数据-汇总表'!E9</f>
        <v>1790.62</v>
      </c>
      <c r="F58" s="611">
        <f t="shared" ref="F58:F66" si="15">ROUND(B58*E58/10000,0)</f>
        <v>267</v>
      </c>
      <c r="G58" s="3649"/>
      <c r="H58" s="3650"/>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0</v>
      </c>
      <c r="C59" s="372">
        <f t="shared" ref="C59:C66" si="16">IF($C$57="北京市系数",I59,J59)</f>
        <v>0</v>
      </c>
      <c r="D59" s="2064">
        <v>0.25</v>
      </c>
      <c r="E59" s="614">
        <v>0</v>
      </c>
      <c r="F59" s="611">
        <f t="shared" si="15"/>
        <v>0</v>
      </c>
      <c r="G59" s="3444" t="s">
        <v>2073</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0</v>
      </c>
      <c r="C60" s="372">
        <f t="shared" si="16"/>
        <v>0</v>
      </c>
      <c r="D60" s="2064">
        <v>0.25</v>
      </c>
      <c r="E60" s="614">
        <v>0</v>
      </c>
      <c r="F60" s="611">
        <f t="shared" si="15"/>
        <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0</v>
      </c>
      <c r="C61" s="372">
        <f t="shared" si="16"/>
        <v>0</v>
      </c>
      <c r="D61" s="2064">
        <v>0.25</v>
      </c>
      <c r="E61" s="614">
        <v>0</v>
      </c>
      <c r="F61" s="611">
        <f t="shared" si="15"/>
        <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0</v>
      </c>
      <c r="C62" s="372">
        <f t="shared" si="16"/>
        <v>0</v>
      </c>
      <c r="D62" s="2064">
        <v>0.25</v>
      </c>
      <c r="E62" s="616">
        <f>'数据-汇总表'!E11</f>
        <v>0</v>
      </c>
      <c r="F62" s="611">
        <f t="shared" si="15"/>
        <v>0</v>
      </c>
      <c r="G62" s="1815" t="s">
        <v>2074</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0</v>
      </c>
      <c r="C63" s="372">
        <f t="shared" si="16"/>
        <v>0</v>
      </c>
      <c r="D63" s="2064">
        <v>0.25</v>
      </c>
      <c r="E63" s="616">
        <f>'数据-汇总表'!E12</f>
        <v>0</v>
      </c>
      <c r="F63" s="611">
        <f t="shared" si="15"/>
        <v>0</v>
      </c>
      <c r="G63" s="1816" t="s">
        <v>1477</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0</v>
      </c>
      <c r="C64" s="372">
        <f t="shared" si="16"/>
        <v>0</v>
      </c>
      <c r="D64" s="2064">
        <v>0.25</v>
      </c>
      <c r="E64" s="616">
        <f>'数据-汇总表'!E13</f>
        <v>0</v>
      </c>
      <c r="F64" s="611">
        <f t="shared" si="15"/>
        <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0</v>
      </c>
      <c r="C65" s="372">
        <f t="shared" si="16"/>
        <v>0</v>
      </c>
      <c r="D65" s="2064">
        <v>0.25</v>
      </c>
      <c r="E65" s="616">
        <f>'数据-汇总表'!E14</f>
        <v>0</v>
      </c>
      <c r="F65" s="611">
        <f t="shared" si="15"/>
        <v>0</v>
      </c>
      <c r="G65" s="1815" t="s">
        <v>2073</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0</v>
      </c>
      <c r="C66" s="372">
        <f t="shared" si="16"/>
        <v>0</v>
      </c>
      <c r="D66" s="2064">
        <v>0.25</v>
      </c>
      <c r="E66" s="616">
        <f>'数据-汇总表'!E15</f>
        <v>0</v>
      </c>
      <c r="F66" s="611">
        <f t="shared" si="15"/>
        <v>0</v>
      </c>
      <c r="G66" s="1817" t="s">
        <v>2074</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16450</v>
      </c>
      <c r="F67" s="619">
        <f>IF(B48="楼面地价",SUM(F58:F66),ROUND(C50*E67/10000,0))</f>
        <v>2456</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2022-9-1</v>
      </c>
      <c r="D69" s="2439">
        <f>EDATE(C69,-3)</f>
        <v>44713</v>
      </c>
      <c r="E69" s="2439">
        <f t="shared" ref="E69:N69" si="18">EDATE(D69,-3)</f>
        <v>44621</v>
      </c>
      <c r="F69" s="2439">
        <f t="shared" si="18"/>
        <v>44531</v>
      </c>
      <c r="G69" s="2439">
        <f t="shared" si="18"/>
        <v>44440</v>
      </c>
      <c r="H69" s="2439">
        <f t="shared" si="18"/>
        <v>44348</v>
      </c>
      <c r="I69" s="2439">
        <f t="shared" si="18"/>
        <v>44256</v>
      </c>
      <c r="J69" s="2439">
        <f t="shared" si="18"/>
        <v>44166</v>
      </c>
      <c r="K69" s="2439">
        <f t="shared" si="18"/>
        <v>44075</v>
      </c>
      <c r="L69" s="2439">
        <f t="shared" si="18"/>
        <v>43983</v>
      </c>
      <c r="M69" s="2439">
        <f t="shared" si="18"/>
        <v>43891</v>
      </c>
      <c r="N69" s="2439">
        <f t="shared" si="18"/>
        <v>43800</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2022-3</v>
      </c>
      <c r="D71" s="2441" t="str">
        <f>YEAR(D69)&amp;"-"&amp;ROUNDUP(MONTH(D69)/3,0)</f>
        <v>2022-2</v>
      </c>
      <c r="E71" s="2441" t="str">
        <f t="shared" ref="E71:N71" si="19">YEAR(E69)&amp;"-"&amp;ROUNDUP(MONTH(E69)/3,0)</f>
        <v>2022-1</v>
      </c>
      <c r="F71" s="2441" t="str">
        <f t="shared" si="19"/>
        <v>2021-4</v>
      </c>
      <c r="G71" s="2441" t="str">
        <f t="shared" si="19"/>
        <v>2021-3</v>
      </c>
      <c r="H71" s="2441" t="str">
        <f t="shared" si="19"/>
        <v>2021-2</v>
      </c>
      <c r="I71" s="2441" t="str">
        <f t="shared" si="19"/>
        <v>2021-1</v>
      </c>
      <c r="J71" s="2441" t="str">
        <f t="shared" si="19"/>
        <v>2020-4</v>
      </c>
      <c r="K71" s="2441" t="str">
        <f t="shared" si="19"/>
        <v>2020-3</v>
      </c>
      <c r="L71" s="2441" t="str">
        <f t="shared" si="19"/>
        <v>2020-2</v>
      </c>
      <c r="M71" s="2441" t="str">
        <f t="shared" si="19"/>
        <v>2020-1</v>
      </c>
      <c r="N71" s="2441" t="str">
        <f t="shared" si="19"/>
        <v>2019-4</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北京市平均增长率1.55%</v>
      </c>
      <c r="C72" s="866">
        <v>100</v>
      </c>
      <c r="D72" s="705">
        <v>99.5</v>
      </c>
      <c r="E72" s="705">
        <v>99</v>
      </c>
      <c r="F72" s="705">
        <v>98.5</v>
      </c>
      <c r="G72" s="705">
        <v>98</v>
      </c>
      <c r="H72" s="705">
        <v>97.5</v>
      </c>
      <c r="I72" s="705">
        <v>97</v>
      </c>
      <c r="J72" s="705">
        <v>96.5</v>
      </c>
      <c r="K72" s="705">
        <v>96</v>
      </c>
      <c r="L72" s="705">
        <v>95.5</v>
      </c>
      <c r="M72" s="705">
        <v>95</v>
      </c>
      <c r="N72" s="705">
        <v>94.5</v>
      </c>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575"/>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0（含）-0.5</v>
      </c>
      <c r="D80" s="657" t="str">
        <f t="shared" ref="D80:L80" si="20">D81&amp;"（含）"&amp;"-"&amp;E81</f>
        <v>0.5（含）-1</v>
      </c>
      <c r="E80" s="657" t="str">
        <f t="shared" si="20"/>
        <v>1（含）-1.5</v>
      </c>
      <c r="F80" s="657" t="str">
        <f t="shared" si="20"/>
        <v>1.5（含）-2</v>
      </c>
      <c r="G80" s="657" t="str">
        <f t="shared" si="20"/>
        <v>2（含）-2.5</v>
      </c>
      <c r="H80" s="657" t="str">
        <f t="shared" si="20"/>
        <v>2.5（含）-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0.5</v>
      </c>
      <c r="E81" s="518">
        <v>1</v>
      </c>
      <c r="F81" s="518">
        <v>1.5</v>
      </c>
      <c r="G81" s="518">
        <v>2</v>
      </c>
      <c r="H81" s="518">
        <v>2.5</v>
      </c>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1">IF($B$48="单位面积地价",C82+$K13,C82-$K13)</f>
        <v>105</v>
      </c>
      <c r="E82" s="654">
        <f t="shared" si="21"/>
        <v>110</v>
      </c>
      <c r="F82" s="654">
        <f t="shared" si="21"/>
        <v>115</v>
      </c>
      <c r="G82" s="654">
        <f t="shared" si="21"/>
        <v>120</v>
      </c>
      <c r="H82" s="654">
        <f t="shared" si="21"/>
        <v>125</v>
      </c>
      <c r="I82" s="654">
        <f t="shared" si="21"/>
        <v>130</v>
      </c>
      <c r="J82" s="654">
        <f t="shared" si="21"/>
        <v>135</v>
      </c>
      <c r="K82" s="654">
        <f t="shared" si="21"/>
        <v>140</v>
      </c>
      <c r="L82" s="654">
        <f t="shared" si="21"/>
        <v>145</v>
      </c>
      <c r="M82" s="654">
        <f t="shared" si="21"/>
        <v>150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98</v>
      </c>
      <c r="E92" s="654">
        <f>D92-$K19</f>
        <v>96</v>
      </c>
      <c r="F92" s="654">
        <f>E92-$K19</f>
        <v>94</v>
      </c>
      <c r="G92" s="654">
        <f>F92-$K19</f>
        <v>92</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98</v>
      </c>
      <c r="E96" s="654">
        <f>D96-$K23</f>
        <v>96</v>
      </c>
      <c r="F96" s="654">
        <f>E96-$K23</f>
        <v>94</v>
      </c>
      <c r="G96" s="654">
        <f>F96-$K23</f>
        <v>92</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98</v>
      </c>
      <c r="E104" s="654">
        <f>D104-$K31</f>
        <v>96</v>
      </c>
      <c r="F104" s="654">
        <f>E104-$K31</f>
        <v>94</v>
      </c>
      <c r="G104" s="654">
        <f>F104-$K31</f>
        <v>92</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28.5">
      <c r="A117" s="639" t="s">
        <v>534</v>
      </c>
      <c r="B117" s="640" t="s">
        <v>575</v>
      </c>
      <c r="C117" s="679" t="str">
        <f t="shared" ref="C117:L117" si="25">C118&amp;"(含)"&amp;"-"&amp;D118</f>
        <v>0(含)-5000</v>
      </c>
      <c r="D117" s="679" t="str">
        <f t="shared" si="25"/>
        <v>5000(含)-10000</v>
      </c>
      <c r="E117" s="679" t="str">
        <f t="shared" si="25"/>
        <v>10000(含)-20000</v>
      </c>
      <c r="F117" s="679" t="str">
        <f t="shared" si="25"/>
        <v>20000(含)-30000</v>
      </c>
      <c r="G117" s="679" t="str">
        <f t="shared" si="25"/>
        <v>30000(含)-40000</v>
      </c>
      <c r="H117" s="679" t="str">
        <f t="shared" si="25"/>
        <v>40000(含)-</v>
      </c>
      <c r="I117" s="679" t="str">
        <f t="shared" si="25"/>
        <v>(含)-</v>
      </c>
      <c r="J117" s="2699" t="str">
        <f t="shared" si="25"/>
        <v>(含)-</v>
      </c>
      <c r="K117" s="2699" t="str">
        <f t="shared" si="25"/>
        <v>(含)-</v>
      </c>
      <c r="L117" s="2700" t="str">
        <f t="shared" si="25"/>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v>5000</v>
      </c>
      <c r="E118" s="705">
        <v>10000</v>
      </c>
      <c r="F118" s="705">
        <v>20000</v>
      </c>
      <c r="G118" s="705">
        <v>30000</v>
      </c>
      <c r="H118" s="705">
        <v>40000</v>
      </c>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v>101</v>
      </c>
      <c r="E119" s="701">
        <v>102</v>
      </c>
      <c r="F119" s="701">
        <v>103</v>
      </c>
      <c r="G119" s="701">
        <v>104</v>
      </c>
      <c r="H119" s="701">
        <v>105</v>
      </c>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70" t="str">
        <f>项目基本情况!B1</f>
        <v>出让国有建设用地使用权抵押价格预评估</v>
      </c>
      <c r="C37" s="3470"/>
      <c r="D37" s="3470"/>
      <c r="E37" s="3470"/>
      <c r="F37" s="3470"/>
      <c r="G37" s="3470"/>
      <c r="H37" s="3470"/>
      <c r="I37" s="3470"/>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1485</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70" t="s">
        <v>505</v>
      </c>
      <c r="D6" s="3671"/>
      <c r="E6" s="3692" t="s">
        <v>506</v>
      </c>
      <c r="F6" s="3693"/>
      <c r="G6" s="3670" t="s">
        <v>507</v>
      </c>
      <c r="H6" s="3671"/>
      <c r="I6" s="3670" t="s">
        <v>508</v>
      </c>
      <c r="J6" s="3671"/>
      <c r="K6" s="491" t="s">
        <v>509</v>
      </c>
      <c r="L6" s="1970"/>
      <c r="M6" s="1971"/>
      <c r="N6" s="1971"/>
      <c r="O6" s="1971"/>
      <c r="P6" s="3672" t="s">
        <v>510</v>
      </c>
      <c r="Q6" s="3673"/>
      <c r="R6" s="3656" t="s">
        <v>506</v>
      </c>
      <c r="S6" s="3657"/>
      <c r="T6" s="3656" t="s">
        <v>507</v>
      </c>
      <c r="U6" s="3657"/>
      <c r="V6" s="3678" t="s">
        <v>508</v>
      </c>
      <c r="W6" s="3678"/>
      <c r="X6" s="1458"/>
      <c r="Y6" s="3656" t="s">
        <v>510</v>
      </c>
      <c r="Z6" s="3657"/>
      <c r="AA6" s="3651" t="s">
        <v>506</v>
      </c>
      <c r="AB6" s="3652" t="s">
        <v>507</v>
      </c>
      <c r="AC6" s="3651" t="s">
        <v>508</v>
      </c>
    </row>
    <row r="7" spans="1:29" ht="15">
      <c r="A7" s="492"/>
      <c r="B7" s="493"/>
      <c r="C7" s="3681" t="s">
        <v>2631</v>
      </c>
      <c r="D7" s="3682"/>
      <c r="E7" s="3694" t="s">
        <v>2632</v>
      </c>
      <c r="F7" s="3695"/>
      <c r="G7" s="3681" t="s">
        <v>2633</v>
      </c>
      <c r="H7" s="3682"/>
      <c r="I7" s="3681" t="s">
        <v>2634</v>
      </c>
      <c r="J7" s="3682"/>
      <c r="K7" s="491"/>
      <c r="L7" s="1970"/>
      <c r="M7" s="1971"/>
      <c r="N7" s="1971"/>
      <c r="O7" s="1971"/>
      <c r="P7" s="3674"/>
      <c r="Q7" s="3675"/>
      <c r="R7" s="3658"/>
      <c r="S7" s="3659"/>
      <c r="T7" s="3658"/>
      <c r="U7" s="3659"/>
      <c r="V7" s="3678"/>
      <c r="W7" s="3678"/>
      <c r="X7" s="1458"/>
      <c r="Y7" s="3658"/>
      <c r="Z7" s="3659"/>
      <c r="AA7" s="3652"/>
      <c r="AB7" s="3652"/>
      <c r="AC7" s="3652"/>
    </row>
    <row r="8" spans="1:29" ht="15.75" thickBot="1">
      <c r="A8" s="494"/>
      <c r="B8" s="495"/>
      <c r="C8" s="3679" t="s">
        <v>2635</v>
      </c>
      <c r="D8" s="3680"/>
      <c r="E8" s="3696" t="s">
        <v>2635</v>
      </c>
      <c r="F8" s="3697"/>
      <c r="G8" s="3679" t="s">
        <v>2635</v>
      </c>
      <c r="H8" s="3680"/>
      <c r="I8" s="3679" t="s">
        <v>2635</v>
      </c>
      <c r="J8" s="3680"/>
      <c r="K8" s="491" t="s">
        <v>511</v>
      </c>
      <c r="L8" s="1970"/>
      <c r="M8" s="1971"/>
      <c r="N8" s="1971"/>
      <c r="O8" s="1971"/>
      <c r="P8" s="3676"/>
      <c r="Q8" s="3677"/>
      <c r="R8" s="3658"/>
      <c r="S8" s="3659"/>
      <c r="T8" s="3660"/>
      <c r="U8" s="3661"/>
      <c r="V8" s="3678"/>
      <c r="W8" s="3678"/>
      <c r="X8" s="1458"/>
      <c r="Y8" s="3660"/>
      <c r="Z8" s="3661"/>
      <c r="AA8" s="3653"/>
      <c r="AB8" s="3653"/>
      <c r="AC8" s="3653"/>
    </row>
    <row r="9" spans="1:29" s="1167" customFormat="1" ht="15.75" thickBot="1">
      <c r="A9" s="2552"/>
      <c r="B9" s="2559" t="s">
        <v>512</v>
      </c>
      <c r="C9" s="496">
        <f>'数据-取费表'!B2</f>
        <v>44819</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54" t="s">
        <v>513</v>
      </c>
      <c r="Q9" s="3663"/>
      <c r="R9" s="1459" t="s">
        <v>8</v>
      </c>
      <c r="S9" s="1460">
        <f t="shared" ref="S9:S17" si="0">F9</f>
        <v>0</v>
      </c>
      <c r="T9" s="1459" t="s">
        <v>8</v>
      </c>
      <c r="U9" s="1460">
        <f t="shared" ref="U9:U17" si="1">H9</f>
        <v>0</v>
      </c>
      <c r="V9" s="1459" t="s">
        <v>8</v>
      </c>
      <c r="W9" s="1460">
        <f t="shared" ref="W9:W17" si="2">J9</f>
        <v>0</v>
      </c>
      <c r="X9" s="1461"/>
      <c r="Y9" s="3654" t="s">
        <v>513</v>
      </c>
      <c r="Z9" s="3655"/>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54" t="s">
        <v>516</v>
      </c>
      <c r="Q10" s="3655"/>
      <c r="R10" s="1459" t="s">
        <v>8</v>
      </c>
      <c r="S10" s="1460">
        <f t="shared" si="0"/>
        <v>0</v>
      </c>
      <c r="T10" s="1459" t="s">
        <v>8</v>
      </c>
      <c r="U10" s="1460">
        <f t="shared" si="1"/>
        <v>0</v>
      </c>
      <c r="V10" s="1459" t="s">
        <v>8</v>
      </c>
      <c r="W10" s="1460">
        <f t="shared" si="2"/>
        <v>0</v>
      </c>
      <c r="X10" s="1461"/>
      <c r="Y10" s="3654" t="s">
        <v>516</v>
      </c>
      <c r="Z10" s="3655"/>
      <c r="AA10" s="1462" t="e">
        <f t="shared" ref="AA10:AA42" si="3">D10/F10</f>
        <v>#DIV/0!</v>
      </c>
      <c r="AB10" s="1462" t="e">
        <f t="shared" ref="AB10:AB42" si="4">D10/H10</f>
        <v>#DIV/0!</v>
      </c>
      <c r="AC10" s="1462" t="e">
        <f t="shared" ref="AC10:AC42" si="5">D10/J10</f>
        <v>#DIV/0!</v>
      </c>
    </row>
    <row r="11" spans="1:29" s="1167" customFormat="1" ht="15">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62" t="s">
        <v>518</v>
      </c>
      <c r="Q11" s="1098" t="str">
        <f t="shared" ref="Q11:Q17" si="6">B11</f>
        <v>用途</v>
      </c>
      <c r="R11" s="1459" t="s">
        <v>8</v>
      </c>
      <c r="S11" s="1460">
        <f t="shared" si="0"/>
        <v>100</v>
      </c>
      <c r="T11" s="1459" t="s">
        <v>8</v>
      </c>
      <c r="U11" s="1460">
        <f t="shared" si="1"/>
        <v>100</v>
      </c>
      <c r="V11" s="1459" t="s">
        <v>8</v>
      </c>
      <c r="W11" s="1460">
        <f t="shared" si="2"/>
        <v>100</v>
      </c>
      <c r="X11" s="1461"/>
      <c r="Y11" s="3610" t="s">
        <v>519</v>
      </c>
      <c r="Z11" s="1097" t="str">
        <f t="shared" ref="Z11:Z17" si="7">Q11</f>
        <v>用途</v>
      </c>
      <c r="AA11" s="1462">
        <f t="shared" si="3"/>
        <v>1</v>
      </c>
      <c r="AB11" s="1462">
        <f t="shared" si="4"/>
        <v>1</v>
      </c>
      <c r="AC11" s="1462">
        <f t="shared" si="5"/>
        <v>1</v>
      </c>
    </row>
    <row r="12" spans="1:29" s="1248" customFormat="1" ht="27">
      <c r="A12" s="2555"/>
      <c r="B12" s="2560" t="s">
        <v>2474</v>
      </c>
      <c r="C12" s="505"/>
      <c r="D12" s="253">
        <v>100</v>
      </c>
      <c r="E12" s="505"/>
      <c r="F12" s="253">
        <f>ROUND(100/'数据-取费表'!G16,0)</f>
        <v>109</v>
      </c>
      <c r="G12" s="505"/>
      <c r="H12" s="253">
        <f>ROUND(100/'数据-取费表'!G16,0)</f>
        <v>109</v>
      </c>
      <c r="I12" s="505"/>
      <c r="J12" s="253">
        <f>ROUND(100/'数据-取费表'!G16,0)</f>
        <v>109</v>
      </c>
      <c r="K12" s="508"/>
      <c r="L12" s="1975"/>
      <c r="M12" s="2014"/>
      <c r="N12" s="2014"/>
      <c r="O12" s="1976"/>
      <c r="P12" s="3662"/>
      <c r="Q12" s="1098" t="str">
        <f t="shared" si="6"/>
        <v>土地使用年限（年）</v>
      </c>
      <c r="R12" s="1459" t="s">
        <v>8</v>
      </c>
      <c r="S12" s="1460">
        <f t="shared" si="0"/>
        <v>109</v>
      </c>
      <c r="T12" s="1459" t="s">
        <v>8</v>
      </c>
      <c r="U12" s="1460">
        <f t="shared" si="1"/>
        <v>109</v>
      </c>
      <c r="V12" s="1459" t="s">
        <v>8</v>
      </c>
      <c r="W12" s="1460">
        <f t="shared" si="2"/>
        <v>109</v>
      </c>
      <c r="X12" s="1461"/>
      <c r="Y12" s="3610"/>
      <c r="Z12" s="1097" t="str">
        <f t="shared" si="7"/>
        <v>土地使用年限（年）</v>
      </c>
      <c r="AA12" s="1462">
        <f t="shared" si="3"/>
        <v>0.91743119266055051</v>
      </c>
      <c r="AB12" s="1462">
        <f t="shared" si="4"/>
        <v>0.91743119266055051</v>
      </c>
      <c r="AC12" s="1462">
        <f t="shared" si="5"/>
        <v>0.91743119266055051</v>
      </c>
    </row>
    <row r="13" spans="1:29" ht="15">
      <c r="A13" s="2556"/>
      <c r="B13" s="2560"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62"/>
      <c r="Q13" s="1098" t="str">
        <f t="shared" si="6"/>
        <v>容积率</v>
      </c>
      <c r="R13" s="1459" t="s">
        <v>8</v>
      </c>
      <c r="S13" s="1460" t="e">
        <f t="shared" si="0"/>
        <v>#N/A</v>
      </c>
      <c r="T13" s="1459" t="s">
        <v>8</v>
      </c>
      <c r="U13" s="1460" t="e">
        <f t="shared" si="1"/>
        <v>#N/A</v>
      </c>
      <c r="V13" s="1459" t="s">
        <v>8</v>
      </c>
      <c r="W13" s="1460" t="e">
        <f t="shared" si="2"/>
        <v>#N/A</v>
      </c>
      <c r="X13" s="1461"/>
      <c r="Y13" s="3610"/>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62"/>
      <c r="Q14" s="1098">
        <f t="shared" si="6"/>
        <v>111</v>
      </c>
      <c r="R14" s="1459" t="s">
        <v>8</v>
      </c>
      <c r="S14" s="1460">
        <f t="shared" si="0"/>
        <v>100</v>
      </c>
      <c r="T14" s="1459" t="s">
        <v>8</v>
      </c>
      <c r="U14" s="1460">
        <f t="shared" si="1"/>
        <v>100</v>
      </c>
      <c r="V14" s="1459" t="s">
        <v>8</v>
      </c>
      <c r="W14" s="1460">
        <f t="shared" si="2"/>
        <v>100</v>
      </c>
      <c r="X14" s="1461"/>
      <c r="Y14" s="3610"/>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62"/>
      <c r="Q15" s="1098">
        <f t="shared" si="6"/>
        <v>111</v>
      </c>
      <c r="R15" s="1459" t="s">
        <v>8</v>
      </c>
      <c r="S15" s="1460">
        <f t="shared" si="0"/>
        <v>100</v>
      </c>
      <c r="T15" s="1459" t="s">
        <v>8</v>
      </c>
      <c r="U15" s="1460">
        <f t="shared" si="1"/>
        <v>100</v>
      </c>
      <c r="V15" s="1459" t="s">
        <v>8</v>
      </c>
      <c r="W15" s="1460">
        <f t="shared" si="2"/>
        <v>100</v>
      </c>
      <c r="X15" s="1461"/>
      <c r="Y15" s="3610"/>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62"/>
      <c r="Q16" s="1098">
        <f t="shared" si="6"/>
        <v>111</v>
      </c>
      <c r="R16" s="1459" t="s">
        <v>8</v>
      </c>
      <c r="S16" s="1460">
        <f t="shared" si="0"/>
        <v>100</v>
      </c>
      <c r="T16" s="1459" t="s">
        <v>8</v>
      </c>
      <c r="U16" s="1460">
        <f t="shared" si="1"/>
        <v>100</v>
      </c>
      <c r="V16" s="1459" t="s">
        <v>8</v>
      </c>
      <c r="W16" s="1460">
        <f t="shared" si="2"/>
        <v>100</v>
      </c>
      <c r="X16" s="1461"/>
      <c r="Y16" s="3610"/>
      <c r="Z16" s="1097">
        <f t="shared" si="7"/>
        <v>111</v>
      </c>
      <c r="AA16" s="1462">
        <f t="shared" si="3"/>
        <v>1</v>
      </c>
      <c r="AB16" s="1462">
        <f t="shared" si="4"/>
        <v>1</v>
      </c>
      <c r="AC16" s="1462">
        <f t="shared" si="5"/>
        <v>1</v>
      </c>
    </row>
    <row r="17" spans="1:29" ht="57">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64" t="s">
        <v>523</v>
      </c>
      <c r="Q17" s="1463" t="str">
        <f t="shared" si="6"/>
        <v>产业集聚程度</v>
      </c>
      <c r="R17" s="1464" t="s">
        <v>8</v>
      </c>
      <c r="S17" s="1465">
        <f t="shared" si="0"/>
        <v>100</v>
      </c>
      <c r="T17" s="1464" t="s">
        <v>8</v>
      </c>
      <c r="U17" s="1465">
        <f t="shared" si="1"/>
        <v>100</v>
      </c>
      <c r="V17" s="1464" t="s">
        <v>8</v>
      </c>
      <c r="W17" s="1465">
        <f t="shared" si="2"/>
        <v>100</v>
      </c>
      <c r="X17" s="1458"/>
      <c r="Y17" s="3664"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65"/>
      <c r="Q18" s="1463"/>
      <c r="R18" s="1464"/>
      <c r="S18" s="1465"/>
      <c r="T18" s="1464"/>
      <c r="U18" s="1465"/>
      <c r="V18" s="1464"/>
      <c r="W18" s="1465"/>
      <c r="X18" s="1458"/>
      <c r="Y18" s="3665"/>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65"/>
      <c r="Q19" s="1463" t="str">
        <f>B19</f>
        <v>交通便捷度</v>
      </c>
      <c r="R19" s="1464" t="s">
        <v>8</v>
      </c>
      <c r="S19" s="1465">
        <f>F19</f>
        <v>100</v>
      </c>
      <c r="T19" s="1464" t="s">
        <v>8</v>
      </c>
      <c r="U19" s="1465">
        <f>H19</f>
        <v>100</v>
      </c>
      <c r="V19" s="1464" t="s">
        <v>8</v>
      </c>
      <c r="W19" s="1465">
        <f>J19</f>
        <v>100</v>
      </c>
      <c r="X19" s="1458"/>
      <c r="Y19" s="3665"/>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65"/>
      <c r="Q20" s="1463"/>
      <c r="R20" s="1464"/>
      <c r="S20" s="1465"/>
      <c r="T20" s="1464"/>
      <c r="U20" s="1465"/>
      <c r="V20" s="1464"/>
      <c r="W20" s="1465"/>
      <c r="X20" s="1458"/>
      <c r="Y20" s="3665"/>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65"/>
      <c r="Q21" s="1463" t="str">
        <f t="shared" ref="Q21:Q35" si="8">B21</f>
        <v>区域土地利用方向</v>
      </c>
      <c r="R21" s="1464" t="s">
        <v>8</v>
      </c>
      <c r="S21" s="1465">
        <f>F21</f>
        <v>100</v>
      </c>
      <c r="T21" s="1464" t="s">
        <v>8</v>
      </c>
      <c r="U21" s="1465">
        <f>H21</f>
        <v>100</v>
      </c>
      <c r="V21" s="1464" t="s">
        <v>8</v>
      </c>
      <c r="W21" s="1465">
        <f>J21</f>
        <v>100</v>
      </c>
      <c r="X21" s="1458"/>
      <c r="Y21" s="3665"/>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65"/>
      <c r="Q22" s="1463"/>
      <c r="R22" s="1464"/>
      <c r="S22" s="1465"/>
      <c r="T22" s="1464"/>
      <c r="U22" s="1465"/>
      <c r="V22" s="1464"/>
      <c r="W22" s="1465"/>
      <c r="X22" s="1458"/>
      <c r="Y22" s="3665"/>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65"/>
      <c r="Q23" s="1463" t="str">
        <f t="shared" si="8"/>
        <v>环境状况</v>
      </c>
      <c r="R23" s="1464" t="s">
        <v>8</v>
      </c>
      <c r="S23" s="1465">
        <f>F23</f>
        <v>100</v>
      </c>
      <c r="T23" s="1464" t="s">
        <v>8</v>
      </c>
      <c r="U23" s="1465">
        <f>H23</f>
        <v>100</v>
      </c>
      <c r="V23" s="1464" t="s">
        <v>8</v>
      </c>
      <c r="W23" s="1465">
        <f>J23</f>
        <v>100</v>
      </c>
      <c r="X23" s="1458"/>
      <c r="Y23" s="3665"/>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65"/>
      <c r="Q24" s="1463"/>
      <c r="R24" s="1464"/>
      <c r="S24" s="1465"/>
      <c r="T24" s="1464"/>
      <c r="U24" s="1465"/>
      <c r="V24" s="1464"/>
      <c r="W24" s="1465"/>
      <c r="X24" s="1458"/>
      <c r="Y24" s="3665"/>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65"/>
      <c r="Q25" s="1098" t="str">
        <f t="shared" si="8"/>
        <v>公共配套设施</v>
      </c>
      <c r="R25" s="1459" t="s">
        <v>8</v>
      </c>
      <c r="S25" s="1460">
        <f>F25</f>
        <v>100</v>
      </c>
      <c r="T25" s="1459" t="s">
        <v>8</v>
      </c>
      <c r="U25" s="1460">
        <f>H25</f>
        <v>100</v>
      </c>
      <c r="V25" s="1459" t="s">
        <v>8</v>
      </c>
      <c r="W25" s="1460">
        <f>J25</f>
        <v>100</v>
      </c>
      <c r="X25" s="1461"/>
      <c r="Y25" s="3665"/>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65"/>
      <c r="Q26" s="1098"/>
      <c r="R26" s="1459"/>
      <c r="S26" s="1460"/>
      <c r="T26" s="1459"/>
      <c r="U26" s="1460"/>
      <c r="V26" s="1459"/>
      <c r="W26" s="1460"/>
      <c r="X26" s="1461"/>
      <c r="Y26" s="3665"/>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65"/>
      <c r="Q27" s="2351" t="str">
        <f t="shared" ref="Q27" si="9">B27</f>
        <v>基础设施水平</v>
      </c>
      <c r="R27" s="1459" t="s">
        <v>8</v>
      </c>
      <c r="S27" s="1460">
        <f>F27</f>
        <v>100</v>
      </c>
      <c r="T27" s="1459" t="s">
        <v>8</v>
      </c>
      <c r="U27" s="1460">
        <f>H27</f>
        <v>100</v>
      </c>
      <c r="V27" s="1459" t="s">
        <v>8</v>
      </c>
      <c r="W27" s="1460">
        <f>J27</f>
        <v>100</v>
      </c>
      <c r="X27" s="1461"/>
      <c r="Y27" s="3665"/>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65"/>
      <c r="Q28" s="2351"/>
      <c r="R28" s="1459"/>
      <c r="S28" s="1460"/>
      <c r="T28" s="1459"/>
      <c r="U28" s="1460"/>
      <c r="V28" s="1459"/>
      <c r="W28" s="1460"/>
      <c r="X28" s="1461"/>
      <c r="Y28" s="3665"/>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65"/>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65"/>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65"/>
      <c r="Q30" s="1463" t="str">
        <f t="shared" si="8"/>
        <v>毗邻道路的类型与等级</v>
      </c>
      <c r="R30" s="1464" t="s">
        <v>8</v>
      </c>
      <c r="S30" s="1465">
        <f t="shared" si="10"/>
        <v>100</v>
      </c>
      <c r="T30" s="1464" t="s">
        <v>8</v>
      </c>
      <c r="U30" s="1465">
        <f t="shared" si="11"/>
        <v>100</v>
      </c>
      <c r="V30" s="1464" t="s">
        <v>8</v>
      </c>
      <c r="W30" s="1465">
        <f t="shared" si="12"/>
        <v>100</v>
      </c>
      <c r="X30" s="1458"/>
      <c r="Y30" s="3665"/>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65"/>
      <c r="Q31" s="1463"/>
      <c r="R31" s="1464"/>
      <c r="S31" s="1465"/>
      <c r="T31" s="1464"/>
      <c r="U31" s="1465"/>
      <c r="V31" s="1464"/>
      <c r="W31" s="1465"/>
      <c r="X31" s="1458"/>
      <c r="Y31" s="3665"/>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65"/>
      <c r="Q32" s="1463" t="str">
        <f t="shared" si="8"/>
        <v>土地级别</v>
      </c>
      <c r="R32" s="1464" t="s">
        <v>8</v>
      </c>
      <c r="S32" s="1465">
        <f t="shared" si="10"/>
        <v>100</v>
      </c>
      <c r="T32" s="1464" t="s">
        <v>8</v>
      </c>
      <c r="U32" s="1465">
        <f t="shared" si="11"/>
        <v>100</v>
      </c>
      <c r="V32" s="1464" t="s">
        <v>8</v>
      </c>
      <c r="W32" s="1465">
        <f t="shared" si="12"/>
        <v>100</v>
      </c>
      <c r="X32" s="1458"/>
      <c r="Y32" s="3665"/>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65"/>
      <c r="Q33" s="1463">
        <f t="shared" si="8"/>
        <v>111</v>
      </c>
      <c r="R33" s="1464" t="s">
        <v>8</v>
      </c>
      <c r="S33" s="1465">
        <f t="shared" si="10"/>
        <v>100</v>
      </c>
      <c r="T33" s="1464" t="s">
        <v>8</v>
      </c>
      <c r="U33" s="1465">
        <f t="shared" si="11"/>
        <v>100</v>
      </c>
      <c r="V33" s="1464" t="s">
        <v>8</v>
      </c>
      <c r="W33" s="1465">
        <f t="shared" si="12"/>
        <v>100</v>
      </c>
      <c r="X33" s="1458"/>
      <c r="Y33" s="3665"/>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66" t="s">
        <v>533</v>
      </c>
      <c r="Q34" s="1463">
        <f t="shared" si="8"/>
        <v>111</v>
      </c>
      <c r="R34" s="1464" t="s">
        <v>8</v>
      </c>
      <c r="S34" s="1465">
        <f t="shared" si="10"/>
        <v>100</v>
      </c>
      <c r="T34" s="1464" t="s">
        <v>8</v>
      </c>
      <c r="U34" s="1465">
        <f t="shared" si="11"/>
        <v>100</v>
      </c>
      <c r="V34" s="1464" t="s">
        <v>8</v>
      </c>
      <c r="W34" s="1465">
        <f t="shared" si="12"/>
        <v>100</v>
      </c>
      <c r="X34" s="1458"/>
      <c r="Y34" s="3667"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67"/>
      <c r="Q35" s="1463">
        <f t="shared" si="8"/>
        <v>111</v>
      </c>
      <c r="R35" s="1468" t="s">
        <v>8</v>
      </c>
      <c r="S35" s="1469">
        <f t="shared" si="10"/>
        <v>100</v>
      </c>
      <c r="T35" s="1468" t="s">
        <v>8</v>
      </c>
      <c r="U35" s="1469">
        <f t="shared" si="11"/>
        <v>100</v>
      </c>
      <c r="V35" s="1468" t="s">
        <v>8</v>
      </c>
      <c r="W35" s="1469">
        <f t="shared" si="12"/>
        <v>100</v>
      </c>
      <c r="X35" s="1470"/>
      <c r="Y35" s="3667"/>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67"/>
      <c r="Q36" s="1463" t="str">
        <f>B36</f>
        <v>宗地面积</v>
      </c>
      <c r="R36" s="1464" t="s">
        <v>8</v>
      </c>
      <c r="S36" s="1465" t="e">
        <f t="shared" si="10"/>
        <v>#N/A</v>
      </c>
      <c r="T36" s="1464" t="s">
        <v>8</v>
      </c>
      <c r="U36" s="1465" t="e">
        <f t="shared" si="11"/>
        <v>#N/A</v>
      </c>
      <c r="V36" s="1464" t="s">
        <v>8</v>
      </c>
      <c r="W36" s="1465" t="e">
        <f t="shared" si="12"/>
        <v>#N/A</v>
      </c>
      <c r="X36" s="1458"/>
      <c r="Y36" s="3667"/>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67"/>
      <c r="Q37" s="1463" t="str">
        <f t="shared" ref="Q37:Q42" si="14">B37</f>
        <v>宗地形状</v>
      </c>
      <c r="R37" s="1464" t="s">
        <v>8</v>
      </c>
      <c r="S37" s="1465">
        <f t="shared" si="10"/>
        <v>100</v>
      </c>
      <c r="T37" s="1464" t="s">
        <v>8</v>
      </c>
      <c r="U37" s="1465">
        <f t="shared" si="11"/>
        <v>100</v>
      </c>
      <c r="V37" s="1464" t="s">
        <v>8</v>
      </c>
      <c r="W37" s="1465">
        <f t="shared" si="12"/>
        <v>100</v>
      </c>
      <c r="X37" s="1458"/>
      <c r="Y37" s="3667"/>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67"/>
      <c r="Q38" s="1463" t="str">
        <f t="shared" si="14"/>
        <v>宗地开发程度</v>
      </c>
      <c r="R38" s="1459" t="s">
        <v>8</v>
      </c>
      <c r="S38" s="1460">
        <f t="shared" si="10"/>
        <v>100</v>
      </c>
      <c r="T38" s="1459" t="s">
        <v>8</v>
      </c>
      <c r="U38" s="1460">
        <f t="shared" si="11"/>
        <v>100</v>
      </c>
      <c r="V38" s="1459" t="s">
        <v>8</v>
      </c>
      <c r="W38" s="1460">
        <f t="shared" si="12"/>
        <v>100</v>
      </c>
      <c r="X38" s="1461"/>
      <c r="Y38" s="3667"/>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67" t="s">
        <v>583</v>
      </c>
      <c r="Q39" s="1463" t="str">
        <f t="shared" si="14"/>
        <v>工程地质条件</v>
      </c>
      <c r="R39" s="1464" t="s">
        <v>8</v>
      </c>
      <c r="S39" s="1465">
        <f t="shared" si="10"/>
        <v>100</v>
      </c>
      <c r="T39" s="1464" t="s">
        <v>8</v>
      </c>
      <c r="U39" s="1465">
        <f t="shared" si="11"/>
        <v>100</v>
      </c>
      <c r="V39" s="1464" t="s">
        <v>8</v>
      </c>
      <c r="W39" s="1465">
        <f t="shared" si="12"/>
        <v>100</v>
      </c>
      <c r="X39" s="1458"/>
      <c r="Y39" s="3667"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67"/>
      <c r="Q40" s="1463">
        <f t="shared" si="14"/>
        <v>111</v>
      </c>
      <c r="R40" s="1464" t="s">
        <v>8</v>
      </c>
      <c r="S40" s="1465">
        <f t="shared" si="10"/>
        <v>100</v>
      </c>
      <c r="T40" s="1464" t="s">
        <v>8</v>
      </c>
      <c r="U40" s="1465">
        <f t="shared" si="11"/>
        <v>100</v>
      </c>
      <c r="V40" s="1464" t="s">
        <v>8</v>
      </c>
      <c r="W40" s="1465">
        <f t="shared" si="12"/>
        <v>100</v>
      </c>
      <c r="X40" s="1458"/>
      <c r="Y40" s="3667"/>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67"/>
      <c r="Q41" s="1463">
        <f t="shared" si="14"/>
        <v>111</v>
      </c>
      <c r="R41" s="1464" t="s">
        <v>8</v>
      </c>
      <c r="S41" s="1465">
        <f t="shared" si="10"/>
        <v>100</v>
      </c>
      <c r="T41" s="1464" t="s">
        <v>8</v>
      </c>
      <c r="U41" s="1465">
        <f t="shared" si="11"/>
        <v>100</v>
      </c>
      <c r="V41" s="1464" t="s">
        <v>8</v>
      </c>
      <c r="W41" s="1465">
        <f t="shared" si="12"/>
        <v>100</v>
      </c>
      <c r="X41" s="1458"/>
      <c r="Y41" s="3667"/>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67"/>
      <c r="Q42" s="1463">
        <f t="shared" si="14"/>
        <v>111</v>
      </c>
      <c r="R42" s="1468" t="s">
        <v>8</v>
      </c>
      <c r="S42" s="1469">
        <f t="shared" si="10"/>
        <v>100</v>
      </c>
      <c r="T42" s="1468" t="s">
        <v>8</v>
      </c>
      <c r="U42" s="1469">
        <f t="shared" si="11"/>
        <v>100</v>
      </c>
      <c r="V42" s="1468" t="s">
        <v>8</v>
      </c>
      <c r="W42" s="1469">
        <f t="shared" si="12"/>
        <v>100</v>
      </c>
      <c r="X42" s="1470"/>
      <c r="Y42" s="3667"/>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1"/>
      <c r="M43" s="1971"/>
      <c r="N43" s="1971"/>
      <c r="O43" s="1982"/>
      <c r="P43" s="3662" t="str">
        <f>A43</f>
        <v>成交单价</v>
      </c>
      <c r="Q43" s="3662"/>
      <c r="R43" s="3678">
        <f>E43</f>
        <v>0</v>
      </c>
      <c r="S43" s="3678"/>
      <c r="T43" s="3678">
        <f>G43</f>
        <v>0</v>
      </c>
      <c r="U43" s="3678"/>
      <c r="V43" s="3678">
        <f>I43</f>
        <v>0</v>
      </c>
      <c r="W43" s="3678"/>
      <c r="X43" s="1453"/>
      <c r="Y43" s="1472"/>
      <c r="Z43" s="1453"/>
      <c r="AA43" s="1453"/>
      <c r="AB43" s="1453"/>
      <c r="AC43" s="1453"/>
    </row>
    <row r="44" spans="1:29" ht="15.75" thickBot="1">
      <c r="A44" s="592" t="s">
        <v>2410</v>
      </c>
      <c r="B44" s="593"/>
      <c r="C44" s="594" t="e">
        <f>R45</f>
        <v>#DIV/0!</v>
      </c>
      <c r="D44" s="2923" t="s">
        <v>2702</v>
      </c>
      <c r="E44" s="594" t="e">
        <f>R44</f>
        <v>#DIV/0!</v>
      </c>
      <c r="F44" s="2924"/>
      <c r="G44" s="595" t="e">
        <f>T44</f>
        <v>#DIV/0!</v>
      </c>
      <c r="H44" s="2924"/>
      <c r="I44" s="594" t="e">
        <f>V44</f>
        <v>#DIV/0!</v>
      </c>
      <c r="J44" s="2924"/>
      <c r="K44" s="2925">
        <f>F44+H44+J44</f>
        <v>0</v>
      </c>
      <c r="L44" s="1981"/>
      <c r="M44" s="1971"/>
      <c r="N44" s="1971"/>
      <c r="O44" s="1982"/>
      <c r="P44" s="3662" t="str">
        <f>A44</f>
        <v>比较价格（元/平方米）</v>
      </c>
      <c r="Q44" s="3662"/>
      <c r="R44" s="3686" t="e">
        <f>ROUND(PRODUCT(R43,AA9:AA42),0)</f>
        <v>#DIV/0!</v>
      </c>
      <c r="S44" s="3686"/>
      <c r="T44" s="3686" t="e">
        <f>ROUND(PRODUCT(T43,AB9:AB42),0)</f>
        <v>#DIV/0!</v>
      </c>
      <c r="U44" s="3686"/>
      <c r="V44" s="3686" t="e">
        <f>ROUND(PRODUCT(V43,AC9:AC42),0)</f>
        <v>#DIV/0!</v>
      </c>
      <c r="W44" s="3686"/>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1"/>
      <c r="M45" s="1971"/>
      <c r="N45" s="1971"/>
      <c r="O45" s="1982"/>
      <c r="P45" s="3668" t="str">
        <f>A45</f>
        <v>估价对象XX用房的比较价格（楼面单价，元/平方米）</v>
      </c>
      <c r="Q45" s="3669"/>
      <c r="R45" s="3691" t="e">
        <f>ROUND(IF(D44="简单平均",AVERAGE(R44:W44),R44*F44+T44*H44+V44*J44),0)</f>
        <v>#DIV/0!</v>
      </c>
      <c r="S45" s="3691"/>
      <c r="T45" s="3691"/>
      <c r="U45" s="3691"/>
      <c r="V45" s="3691"/>
      <c r="W45" s="3691"/>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87" t="s">
        <v>2075</v>
      </c>
      <c r="H52" s="3688"/>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1790.62</v>
      </c>
      <c r="F53" s="1820" t="e">
        <f t="shared" ref="F53:F61" si="15">ROUND(B53*E53/10000,0)</f>
        <v>#DIV/0!</v>
      </c>
      <c r="G53" s="3689"/>
      <c r="H53" s="3690"/>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6" t="s">
        <v>2076</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v>
      </c>
      <c r="D57" s="2064">
        <v>0.25</v>
      </c>
      <c r="E57" s="616">
        <f>'数据-汇总表'!E11</f>
        <v>0</v>
      </c>
      <c r="F57" s="1820" t="e">
        <f t="shared" si="15"/>
        <v>#DIV/0!</v>
      </c>
      <c r="G57" s="1826" t="s">
        <v>2077</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v>
      </c>
      <c r="D59" s="2064">
        <v>0.25</v>
      </c>
      <c r="E59" s="616">
        <f>'数据-汇总表'!E13</f>
        <v>0</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16450</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2022-9-1</v>
      </c>
      <c r="D64" s="2439">
        <f>EDATE(C64,-3)</f>
        <v>44713</v>
      </c>
      <c r="E64" s="2439">
        <f t="shared" ref="E64:N64" si="18">EDATE(D64,-3)</f>
        <v>44621</v>
      </c>
      <c r="F64" s="2439">
        <f t="shared" si="18"/>
        <v>44531</v>
      </c>
      <c r="G64" s="2439">
        <f t="shared" si="18"/>
        <v>44440</v>
      </c>
      <c r="H64" s="2439">
        <f t="shared" si="18"/>
        <v>44348</v>
      </c>
      <c r="I64" s="2439">
        <f t="shared" si="18"/>
        <v>44256</v>
      </c>
      <c r="J64" s="2439">
        <f t="shared" si="18"/>
        <v>44166</v>
      </c>
      <c r="K64" s="2439">
        <f t="shared" si="18"/>
        <v>44075</v>
      </c>
      <c r="L64" s="2439">
        <f t="shared" si="18"/>
        <v>43983</v>
      </c>
      <c r="M64" s="2439">
        <f t="shared" si="18"/>
        <v>43891</v>
      </c>
      <c r="N64" s="2439">
        <f t="shared" si="18"/>
        <v>43800</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2022-3</v>
      </c>
      <c r="D66" s="2441" t="str">
        <f t="shared" ref="D66:N66" si="19">YEAR(D64)&amp;"-"&amp;ROUNDUP(MONTH(D64)/3,0)</f>
        <v>2022-2</v>
      </c>
      <c r="E66" s="2441" t="str">
        <f t="shared" si="19"/>
        <v>2022-1</v>
      </c>
      <c r="F66" s="2441" t="str">
        <f t="shared" si="19"/>
        <v>2021-4</v>
      </c>
      <c r="G66" s="2441" t="str">
        <f t="shared" si="19"/>
        <v>2021-3</v>
      </c>
      <c r="H66" s="2441" t="str">
        <f t="shared" si="19"/>
        <v>2021-2</v>
      </c>
      <c r="I66" s="2441" t="str">
        <f t="shared" si="19"/>
        <v>2021-1</v>
      </c>
      <c r="J66" s="2441" t="str">
        <f t="shared" si="19"/>
        <v>2020-4</v>
      </c>
      <c r="K66" s="2441" t="str">
        <f t="shared" si="19"/>
        <v>2020-3</v>
      </c>
      <c r="L66" s="2441" t="str">
        <f t="shared" si="19"/>
        <v>2020-2</v>
      </c>
      <c r="M66" s="2441" t="str">
        <f t="shared" si="19"/>
        <v>2020-1</v>
      </c>
      <c r="N66" s="2441" t="str">
        <f t="shared" si="19"/>
        <v>2019-4</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北京市平均增长率1.13%</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0</v>
      </c>
      <c r="T2" s="2577" t="e">
        <f>ROUND($C$5*$C$18*$C$19*$C$20*S2*$C$24,0)</f>
        <v>#DIV/0!</v>
      </c>
      <c r="U2" s="2566"/>
      <c r="V2" s="2577"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0.11</v>
      </c>
      <c r="H3" s="1319" t="s">
        <v>908</v>
      </c>
      <c r="I3" s="1010">
        <v>8</v>
      </c>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0</v>
      </c>
      <c r="T3" s="2577" t="e">
        <f t="shared" ref="T3:T16" si="0">ROUND($C$5*$C$18*$C$19*$C$20*S3*$C$24,0)</f>
        <v>#DIV/0!</v>
      </c>
      <c r="U3" s="2566"/>
      <c r="V3" s="2577"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0</v>
      </c>
      <c r="T4" s="2577" t="e">
        <f t="shared" si="0"/>
        <v>#DIV/0!</v>
      </c>
      <c r="U4" s="2566"/>
      <c r="V4" s="2577"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2" t="e">
        <f>ROUND(C6+C16,0)</f>
        <v>#DIV/0!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f>ROUND(IF(G3&gt;1,IF(R6&lt;7,SUMPRODUCT((B93:B98=R6)*(C92:N92=G2)*(C93:N98)),SUMIF(C92:N92,G2,C100:N100)),IF(R6&lt;7,SUMPRODUCT((B102:B107=R6)*(C92:N92=G2)*(C102:N107)),SUMIF(C92:N92,G2,C109:N109))),4)</f>
        <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699"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v>
      </c>
      <c r="T7" s="2577" t="e">
        <f t="shared" si="0"/>
        <v>#DIV/0!</v>
      </c>
      <c r="U7" s="2566"/>
      <c r="V7" s="2577" t="e">
        <f t="shared" si="1"/>
        <v>#DIV/0!</v>
      </c>
      <c r="W7" s="2575" t="s">
        <v>2481</v>
      </c>
      <c r="X7" s="2567">
        <f>G2</f>
        <v>0</v>
      </c>
      <c r="Y7" s="2567" t="s">
        <v>2482</v>
      </c>
      <c r="Z7" s="2568">
        <f>G3</f>
        <v>0.11</v>
      </c>
      <c r="AA7" s="2028"/>
      <c r="AB7" s="2028"/>
      <c r="AC7" s="2029"/>
      <c r="AD7" s="2569"/>
      <c r="AE7" s="2569"/>
      <c r="AF7" s="2569"/>
      <c r="AG7" s="2569"/>
      <c r="AH7" s="2569"/>
      <c r="AI7" s="2569"/>
      <c r="AJ7" s="2570"/>
    </row>
    <row r="8" spans="1:39" ht="15">
      <c r="A8" s="3700"/>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0</v>
      </c>
      <c r="N8" s="1757">
        <f>SUMPRODUCT((因素修正幅度!B206:B244=I2)*(因素修正幅度!C3:F3=E2)*(因素修正幅度!C206:F244))</f>
        <v>0</v>
      </c>
      <c r="O8" s="3144"/>
      <c r="P8" s="2025"/>
      <c r="Q8" s="2025"/>
      <c r="R8" s="2577">
        <v>7</v>
      </c>
      <c r="S8" s="2566"/>
      <c r="T8" s="2577" t="e">
        <f t="shared" si="0"/>
        <v>#DIV/0!</v>
      </c>
      <c r="U8" s="2566"/>
      <c r="V8" s="2577" t="e">
        <f t="shared" si="1"/>
        <v>#DIV/0!</v>
      </c>
      <c r="W8" s="3710" t="s">
        <v>2499</v>
      </c>
      <c r="X8" s="3711"/>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700"/>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t="e">
        <f t="shared" si="0"/>
        <v>#DIV/0!</v>
      </c>
      <c r="U9" s="2566"/>
      <c r="V9" s="2577" t="e">
        <f t="shared" si="1"/>
        <v>#DIV/0!</v>
      </c>
      <c r="W9" s="3709"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700"/>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t="e">
        <f t="shared" si="0"/>
        <v>#DIV/0!</v>
      </c>
      <c r="U10" s="2566"/>
      <c r="V10" s="2577" t="e">
        <f t="shared" si="1"/>
        <v>#DIV/0!</v>
      </c>
      <c r="W10" s="3709"/>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700"/>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t="e">
        <f t="shared" si="0"/>
        <v>#DIV/0!</v>
      </c>
      <c r="U11" s="2566"/>
      <c r="V11" s="2577" t="e">
        <f t="shared" si="1"/>
        <v>#DIV/0!</v>
      </c>
      <c r="W11" s="3709" t="s">
        <v>2497</v>
      </c>
      <c r="X11" s="1018" t="s">
        <v>2482</v>
      </c>
      <c r="Y11" s="1537">
        <f>$G$3</f>
        <v>0.11</v>
      </c>
      <c r="Z11" s="1537">
        <f t="shared" ref="Z11:AJ11" si="3">$G$3</f>
        <v>0.11</v>
      </c>
      <c r="AA11" s="1537">
        <f t="shared" si="3"/>
        <v>0.11</v>
      </c>
      <c r="AB11" s="1537">
        <f t="shared" si="3"/>
        <v>0.11</v>
      </c>
      <c r="AC11" s="1537">
        <f t="shared" si="3"/>
        <v>0.11</v>
      </c>
      <c r="AD11" s="1537">
        <f t="shared" si="3"/>
        <v>0.11</v>
      </c>
      <c r="AE11" s="1537">
        <f t="shared" si="3"/>
        <v>0.11</v>
      </c>
      <c r="AF11" s="1537">
        <f t="shared" si="3"/>
        <v>0.11</v>
      </c>
      <c r="AG11" s="1537">
        <f t="shared" si="3"/>
        <v>0.11</v>
      </c>
      <c r="AH11" s="1537">
        <f t="shared" si="3"/>
        <v>0.11</v>
      </c>
      <c r="AI11" s="1537">
        <f t="shared" si="3"/>
        <v>0.11</v>
      </c>
      <c r="AJ11" s="1537">
        <f t="shared" si="3"/>
        <v>0.11</v>
      </c>
    </row>
    <row r="12" spans="1:39" ht="25.5" thickBot="1">
      <c r="A12" s="3699"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t="e">
        <f t="shared" si="0"/>
        <v>#DIV/0!</v>
      </c>
      <c r="U12" s="2566"/>
      <c r="V12" s="2577" t="e">
        <f t="shared" si="1"/>
        <v>#DIV/0!</v>
      </c>
      <c r="W12" s="3709"/>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701"/>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t="e">
        <f t="shared" si="0"/>
        <v>#DIV/0!</v>
      </c>
      <c r="U13" s="2566"/>
      <c r="V13" s="2577" t="e">
        <f t="shared" si="1"/>
        <v>#DIV/0!</v>
      </c>
      <c r="W13" s="3709"/>
      <c r="X13" s="2574"/>
      <c r="Y13" s="2573">
        <f>(-0.163*(Y12^2)-0.59*Y12+7617)*(10^(-4))/Y11</f>
        <v>6.9245454545454548</v>
      </c>
      <c r="Z13" s="2573">
        <f t="shared" ref="Z13:AJ13" si="5">(-0.163*(Z12^2)-0.59*Z12+7617)*(10^(-4))/Z11</f>
        <v>6.9245454545454548</v>
      </c>
      <c r="AA13" s="2573">
        <f t="shared" si="5"/>
        <v>6.9245454545454548</v>
      </c>
      <c r="AB13" s="2573">
        <f t="shared" si="5"/>
        <v>6.9245454545454548</v>
      </c>
      <c r="AC13" s="2573">
        <f t="shared" si="5"/>
        <v>6.9245454545454548</v>
      </c>
      <c r="AD13" s="2573">
        <f t="shared" si="5"/>
        <v>6.9245454545454548</v>
      </c>
      <c r="AE13" s="2573">
        <f t="shared" si="5"/>
        <v>6.9245454545454548</v>
      </c>
      <c r="AF13" s="2573">
        <f t="shared" si="5"/>
        <v>6.9245454545454548</v>
      </c>
      <c r="AG13" s="2573">
        <f t="shared" si="5"/>
        <v>6.9245454545454548</v>
      </c>
      <c r="AH13" s="2573">
        <f t="shared" si="5"/>
        <v>6.9245454545454548</v>
      </c>
      <c r="AI13" s="2573">
        <f t="shared" si="5"/>
        <v>6.9245454545454548</v>
      </c>
      <c r="AJ13" s="2573">
        <f t="shared" si="5"/>
        <v>6.9245454545454548</v>
      </c>
    </row>
    <row r="14" spans="1:39" ht="12.75" customHeight="1">
      <c r="A14" s="3701"/>
      <c r="B14" s="1356"/>
      <c r="C14" s="1357"/>
      <c r="D14" s="1358"/>
      <c r="E14" s="1358"/>
      <c r="F14" s="1359"/>
      <c r="G14" s="1360" t="s">
        <v>928</v>
      </c>
      <c r="H14" s="1361"/>
      <c r="I14" s="1362"/>
      <c r="J14" s="1363"/>
      <c r="K14" s="3145"/>
      <c r="L14" s="3145"/>
      <c r="M14" s="3145"/>
      <c r="N14" s="3145"/>
      <c r="O14" s="3145"/>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702"/>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699" t="s">
        <v>1638</v>
      </c>
      <c r="B16" s="1332" t="s">
        <v>929</v>
      </c>
      <c r="C16" s="1022" t="e">
        <f>ROUND(IF(F17="与级别开发程度一致",0,(G17-E17)/C17),0)</f>
        <v>#DIV/0!</v>
      </c>
      <c r="D16" s="3717" t="s">
        <v>933</v>
      </c>
      <c r="E16" s="3718"/>
      <c r="F16" s="3717" t="s">
        <v>930</v>
      </c>
      <c r="G16" s="3718"/>
      <c r="H16" s="1364"/>
      <c r="I16" s="1364"/>
      <c r="J16" s="1364"/>
      <c r="K16" s="1364"/>
      <c r="L16" s="1364"/>
      <c r="M16" s="1364"/>
      <c r="N16" s="1364"/>
      <c r="O16" s="2772"/>
      <c r="P16" s="2025"/>
      <c r="Q16" s="2028"/>
      <c r="R16" s="2577">
        <v>15</v>
      </c>
      <c r="S16" s="2566"/>
      <c r="T16" s="2577" t="e">
        <f t="shared" si="0"/>
        <v>#DIV/0!</v>
      </c>
      <c r="U16" s="2566"/>
      <c r="V16" s="2577" t="e">
        <f t="shared" si="1"/>
        <v>#DIV/0!</v>
      </c>
      <c r="W16" s="2028"/>
      <c r="X16" s="2028"/>
      <c r="Y16" s="2028"/>
      <c r="Z16" s="2028"/>
      <c r="AA16" s="2028"/>
      <c r="AB16" s="2028"/>
      <c r="AC16" s="2029"/>
    </row>
    <row r="17" spans="1:40" ht="13.5" thickBot="1">
      <c r="A17" s="3703"/>
      <c r="B17" s="2773" t="s">
        <v>932</v>
      </c>
      <c r="C17" s="2774">
        <f>SUMPRODUCT((修正!A2:A7=E2)*(修正!B1:M1=G2)*(修正!B2:M7))</f>
        <v>0</v>
      </c>
      <c r="D17" s="2775" t="str">
        <f>IF(OR(G2="八级",G2="九级",G2="十级",G2="十一级",G2="十二级"),"五通一平","七通一平")</f>
        <v>七通一平</v>
      </c>
      <c r="E17" s="2765">
        <f>SUMPRODUCT((修正!B1:M1=G2)*(修正!B17:M17))</f>
        <v>0</v>
      </c>
      <c r="F17" s="2766"/>
      <c r="G17" s="2765">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6">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8" t="s">
        <v>934</v>
      </c>
      <c r="C18" s="2769">
        <f>SUMIF(修正!C20:C51,E3,修正!E20:E51)</f>
        <v>0</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44819</v>
      </c>
      <c r="H19" s="1372" t="s">
        <v>2687</v>
      </c>
      <c r="I19" s="2426" t="str">
        <f>IF(H19="季度增幅（自定义）",SUMIF(N21:N24,E2,O21:O24),"")</f>
        <v/>
      </c>
      <c r="J19" s="1368"/>
      <c r="K19" s="3143"/>
      <c r="L19" s="2673" t="s">
        <v>2555</v>
      </c>
      <c r="M19" s="2674">
        <f>ROUND(SUMIF(地价!B2:F2,E2,地价!B41:F41),0)</f>
        <v>0</v>
      </c>
      <c r="N19" s="2428" t="s">
        <v>1476</v>
      </c>
      <c r="O19" s="2427">
        <f>ROUNDDOWN(DATEDIF(E19,G19,"M")/3,0)</f>
        <v>34</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702">
        <f>存贷款利率!E22/100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3"/>
      <c r="L20" s="2675" t="s">
        <v>2556</v>
      </c>
      <c r="M20" s="2756">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f>IF(B21="容积率修正",IF(G3&lt;=10,D22,J22),C23)</f>
        <v>0</v>
      </c>
      <c r="D21" s="1378"/>
      <c r="E21" s="1378"/>
      <c r="F21" s="1378"/>
      <c r="G21" s="1378"/>
      <c r="H21" s="1378"/>
      <c r="I21" s="1378"/>
      <c r="J21" s="1379"/>
      <c r="K21" s="3143"/>
      <c r="L21" s="1378"/>
      <c r="M21" s="1378"/>
      <c r="N21" s="1375" t="s">
        <v>954</v>
      </c>
      <c r="O21" s="1438"/>
      <c r="P21" s="2418">
        <f>SUMPRODUCT((地价!A3:A41=YEAR(G19)&amp;"-"&amp;ROUNDUP(MONTH(G19)/3,0))*(地价!AD2:AH2=N21)*(地价!AD3:AH41))</f>
        <v>9.7000000000000003E-3</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f>IF(E22=G22,F22,IF(G3&lt;=10,ROUND(F22+(H22-F22)*(G3-E22)/(G22-E22),4),"——"))</f>
        <v>0</v>
      </c>
      <c r="E22" s="1009">
        <f>ROUNDDOWN(G3,1)</f>
        <v>0.1</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9"/>
      <c r="L22" s="1378"/>
      <c r="M22" s="1378"/>
      <c r="N22" s="1375" t="s">
        <v>957</v>
      </c>
      <c r="O22" s="1438"/>
      <c r="P22" s="2418">
        <f>SUMPRODUCT((地价!A3:A41=YEAR(G19)&amp;"-"&amp;ROUNDUP(MONTH(G19)/3,0))*(地价!AD2:AH2=N22)*(地价!AD3:AH41))</f>
        <v>9.7000000000000003E-3</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1.7100000000000001E-2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50"/>
      <c r="L24" s="1378"/>
      <c r="M24" s="1378"/>
      <c r="N24" s="1375" t="s">
        <v>960</v>
      </c>
      <c r="O24" s="2755"/>
      <c r="P24" s="2418">
        <f>SUMPRODUCT((地价!A3:A41=YEAR(G19)&amp;"-"&amp;ROUNDUP(MONTH(G19)/3,0))*(地价!AD2:AH2=N24)*(地价!AD3:AH41))</f>
        <v>1.1299999999999999E-2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1.55E-2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t="e">
        <f>IF(B21="容积率修正",E29+SUM(E33:E39),SUM(V2:V16)+SUM(E33:E39))</f>
        <v>#DIV/0!</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706"/>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06"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707"/>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07"/>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707"/>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07"/>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708"/>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08"/>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2682</v>
      </c>
      <c r="C41" s="811" t="e">
        <f>ROUND(POWER(1+E41,H41-G41)*(POWER(1+E41,G41)-1)/(POWER(1+E41,H41)-1),4)</f>
        <v>#DIV/0!</v>
      </c>
      <c r="D41" s="372" t="s">
        <v>2680</v>
      </c>
      <c r="E41" s="2751">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4"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3"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704" t="s">
        <v>1434</v>
      </c>
      <c r="B90" s="3704"/>
      <c r="C90" s="3704"/>
      <c r="D90" s="3704"/>
      <c r="E90" s="3704"/>
      <c r="F90" s="3704"/>
      <c r="G90" s="3704"/>
      <c r="H90" s="3704"/>
      <c r="I90" s="3704"/>
      <c r="J90" s="3704"/>
      <c r="K90" s="2260"/>
      <c r="L90" s="2260"/>
      <c r="M90" s="2260"/>
      <c r="N90" s="2260"/>
    </row>
    <row r="91" spans="1:40">
      <c r="A91" s="3705" t="s">
        <v>1422</v>
      </c>
      <c r="B91" s="3705" t="s">
        <v>1435</v>
      </c>
      <c r="C91" s="1087" t="s">
        <v>1436</v>
      </c>
      <c r="D91" s="1088"/>
      <c r="E91" s="1088"/>
      <c r="F91" s="1088"/>
      <c r="G91" s="1088"/>
      <c r="H91" s="1088"/>
      <c r="I91" s="1088"/>
      <c r="J91" s="1089"/>
      <c r="K91" s="1081"/>
      <c r="L91" s="1081"/>
      <c r="M91" s="1081"/>
      <c r="N91" s="1081"/>
    </row>
    <row r="92" spans="1:40">
      <c r="A92" s="3705"/>
      <c r="B92" s="3705"/>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712"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13"/>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13"/>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13"/>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13"/>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13"/>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13"/>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14"/>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12" t="s">
        <v>1438</v>
      </c>
      <c r="B101" s="1094" t="s">
        <v>885</v>
      </c>
      <c r="C101" s="1095">
        <f>$G$3</f>
        <v>0.11</v>
      </c>
      <c r="D101" s="1095">
        <f t="shared" ref="D101:N101" si="31">$G$3</f>
        <v>0.11</v>
      </c>
      <c r="E101" s="1095">
        <f t="shared" si="31"/>
        <v>0.11</v>
      </c>
      <c r="F101" s="1095">
        <f t="shared" si="31"/>
        <v>0.11</v>
      </c>
      <c r="G101" s="1095">
        <f t="shared" si="31"/>
        <v>0.11</v>
      </c>
      <c r="H101" s="1095">
        <f t="shared" si="31"/>
        <v>0.11</v>
      </c>
      <c r="I101" s="1095">
        <f t="shared" si="31"/>
        <v>0.11</v>
      </c>
      <c r="J101" s="1095">
        <f t="shared" si="31"/>
        <v>0.11</v>
      </c>
      <c r="K101" s="1095">
        <f t="shared" si="31"/>
        <v>0.11</v>
      </c>
      <c r="L101" s="1095">
        <f t="shared" si="31"/>
        <v>0.11</v>
      </c>
      <c r="M101" s="1095">
        <f t="shared" si="31"/>
        <v>0.11</v>
      </c>
      <c r="N101" s="1095">
        <f t="shared" si="31"/>
        <v>0.11</v>
      </c>
    </row>
    <row r="102" spans="1:14">
      <c r="A102" s="3713"/>
      <c r="B102" s="1090">
        <v>1</v>
      </c>
      <c r="C102" s="1091">
        <f>1.9362/C101</f>
        <v>17.601818181818182</v>
      </c>
      <c r="D102" s="1091">
        <f>1.9362/D101</f>
        <v>17.601818181818182</v>
      </c>
      <c r="E102" s="1091">
        <f>1.8629/E101</f>
        <v>16.935454545454544</v>
      </c>
      <c r="F102" s="1091">
        <f>1.8629/F101</f>
        <v>16.935454545454544</v>
      </c>
      <c r="G102" s="1091">
        <f>1.8629/G101</f>
        <v>16.935454545454544</v>
      </c>
      <c r="H102" s="1091">
        <f>1.8629/H101</f>
        <v>16.935454545454544</v>
      </c>
      <c r="I102" s="1091">
        <f>1.8629/I101</f>
        <v>16.935454545454544</v>
      </c>
      <c r="J102" s="1091">
        <f>1.942/J101</f>
        <v>17.654545454545453</v>
      </c>
      <c r="K102" s="1091">
        <f>1.942/K101</f>
        <v>17.654545454545453</v>
      </c>
      <c r="L102" s="1091">
        <f>1.942/L101</f>
        <v>17.654545454545453</v>
      </c>
      <c r="M102" s="1091">
        <f>1.942/M101</f>
        <v>17.654545454545453</v>
      </c>
      <c r="N102" s="1091">
        <f>1.942/N101</f>
        <v>17.654545454545453</v>
      </c>
    </row>
    <row r="103" spans="1:14">
      <c r="A103" s="3713"/>
      <c r="B103" s="1090">
        <v>2</v>
      </c>
      <c r="C103" s="1091">
        <f>1.4198/C101</f>
        <v>12.907272727272726</v>
      </c>
      <c r="D103" s="1091">
        <f>1.4198/D101</f>
        <v>12.907272727272726</v>
      </c>
      <c r="E103" s="1091">
        <f>1.3372/E101</f>
        <v>12.156363636363636</v>
      </c>
      <c r="F103" s="1091">
        <f>1.3372/F101</f>
        <v>12.156363636363636</v>
      </c>
      <c r="G103" s="1091">
        <f>1.3372/G101</f>
        <v>12.156363636363636</v>
      </c>
      <c r="H103" s="1091">
        <f>1.3372/H101</f>
        <v>12.156363636363636</v>
      </c>
      <c r="I103" s="1091">
        <f>1.3372/I101</f>
        <v>12.156363636363636</v>
      </c>
      <c r="J103" s="1091">
        <f>1.2799/J101</f>
        <v>11.635454545454547</v>
      </c>
      <c r="K103" s="1091">
        <f>1.2799/K101</f>
        <v>11.635454545454547</v>
      </c>
      <c r="L103" s="1091">
        <f>1.2799/L101</f>
        <v>11.635454545454547</v>
      </c>
      <c r="M103" s="1091">
        <f>1.2799/M101</f>
        <v>11.635454545454547</v>
      </c>
      <c r="N103" s="1091">
        <f>1.2799/N101</f>
        <v>11.635454545454547</v>
      </c>
    </row>
    <row r="104" spans="1:14">
      <c r="A104" s="3713"/>
      <c r="B104" s="1090">
        <v>3</v>
      </c>
      <c r="C104" s="1091">
        <f>1.1594/C101</f>
        <v>10.54</v>
      </c>
      <c r="D104" s="1091">
        <f>1.1594/D101</f>
        <v>10.54</v>
      </c>
      <c r="E104" s="1091">
        <f>1.0788/E101</f>
        <v>9.8072727272727267</v>
      </c>
      <c r="F104" s="1091">
        <f>1.0788/F101</f>
        <v>9.8072727272727267</v>
      </c>
      <c r="G104" s="1091">
        <f>1.0788/G101</f>
        <v>9.8072727272727267</v>
      </c>
      <c r="H104" s="1091">
        <f>1.0788/H101</f>
        <v>9.8072727272727267</v>
      </c>
      <c r="I104" s="1091">
        <f>1.0788/I101</f>
        <v>9.8072727272727267</v>
      </c>
      <c r="J104" s="1091">
        <f>1.0072/J101</f>
        <v>9.156363636363638</v>
      </c>
      <c r="K104" s="1091">
        <f>1.0072/K101</f>
        <v>9.156363636363638</v>
      </c>
      <c r="L104" s="1091">
        <f>1.0072/L101</f>
        <v>9.156363636363638</v>
      </c>
      <c r="M104" s="1091">
        <f>1.0072/M101</f>
        <v>9.156363636363638</v>
      </c>
      <c r="N104" s="1091">
        <f>1.0072/N101</f>
        <v>9.156363636363638</v>
      </c>
    </row>
    <row r="105" spans="1:14">
      <c r="A105" s="3713"/>
      <c r="B105" s="1090">
        <v>4</v>
      </c>
      <c r="C105" s="1091">
        <f>0.9622/C101</f>
        <v>8.747272727272728</v>
      </c>
      <c r="D105" s="1091">
        <f>0.9622/D101</f>
        <v>8.747272727272728</v>
      </c>
      <c r="E105" s="1091">
        <f>0.8656/E101</f>
        <v>7.8690909090909091</v>
      </c>
      <c r="F105" s="1091">
        <f>0.8656/F101</f>
        <v>7.8690909090909091</v>
      </c>
      <c r="G105" s="1091">
        <f>0.8656/G101</f>
        <v>7.8690909090909091</v>
      </c>
      <c r="H105" s="1091">
        <f>0.8656/H101</f>
        <v>7.8690909090909091</v>
      </c>
      <c r="I105" s="1091">
        <f>0.8656/I101</f>
        <v>7.8690909090909091</v>
      </c>
      <c r="J105" s="1091">
        <f>0.7525/J101</f>
        <v>6.8409090909090908</v>
      </c>
      <c r="K105" s="1091">
        <f>0.7525/K101</f>
        <v>6.8409090909090908</v>
      </c>
      <c r="L105" s="1091">
        <f>0.7525/L101</f>
        <v>6.8409090909090908</v>
      </c>
      <c r="M105" s="1091">
        <f>0.7525/M101</f>
        <v>6.8409090909090908</v>
      </c>
      <c r="N105" s="1091">
        <f>0.7525/N101</f>
        <v>6.8409090909090908</v>
      </c>
    </row>
    <row r="106" spans="1:14">
      <c r="A106" s="3713"/>
      <c r="B106" s="1090">
        <v>5</v>
      </c>
      <c r="C106" s="1091">
        <f>0.8417/C101</f>
        <v>7.6518181818181814</v>
      </c>
      <c r="D106" s="1091">
        <f>0.8417/D101</f>
        <v>7.6518181818181814</v>
      </c>
      <c r="E106" s="1091">
        <f>0.7371/E101</f>
        <v>6.7009090909090903</v>
      </c>
      <c r="F106" s="1091">
        <f>0.7371/F101</f>
        <v>6.7009090909090903</v>
      </c>
      <c r="G106" s="1091">
        <f>0.7371/G101</f>
        <v>6.7009090909090903</v>
      </c>
      <c r="H106" s="1091">
        <f>0.7371/H101</f>
        <v>6.7009090909090903</v>
      </c>
      <c r="I106" s="1091">
        <f>0.7371/I101</f>
        <v>6.7009090909090903</v>
      </c>
      <c r="J106" s="1091">
        <f>0.5659/J101</f>
        <v>5.1445454545454545</v>
      </c>
      <c r="K106" s="1091">
        <f>0.5659/K101</f>
        <v>5.1445454545454545</v>
      </c>
      <c r="L106" s="1091">
        <f>0.5659/L101</f>
        <v>5.1445454545454545</v>
      </c>
      <c r="M106" s="1091">
        <f>0.5659/M101</f>
        <v>5.1445454545454545</v>
      </c>
      <c r="N106" s="1091">
        <f>0.5659/N101</f>
        <v>5.1445454545454545</v>
      </c>
    </row>
    <row r="107" spans="1:14">
      <c r="A107" s="3713"/>
      <c r="B107" s="1090">
        <v>6</v>
      </c>
      <c r="C107" s="1091">
        <f>0.7608/C101</f>
        <v>6.9163636363636369</v>
      </c>
      <c r="D107" s="1091">
        <f>0.7608/D101</f>
        <v>6.9163636363636369</v>
      </c>
      <c r="E107" s="1091">
        <f>0.6482/E101</f>
        <v>5.8927272727272726</v>
      </c>
      <c r="F107" s="1091">
        <f>0.6482/F101</f>
        <v>5.8927272727272726</v>
      </c>
      <c r="G107" s="1091">
        <f>0.6482/G101</f>
        <v>5.8927272727272726</v>
      </c>
      <c r="H107" s="1091">
        <f>0.6482/H101</f>
        <v>5.8927272727272726</v>
      </c>
      <c r="I107" s="1091">
        <f>0.6482/I101</f>
        <v>5.8927272727272726</v>
      </c>
      <c r="J107" s="1091">
        <f>0.4525/J101</f>
        <v>4.1136363636363633</v>
      </c>
      <c r="K107" s="1091">
        <f>0.4525/K101</f>
        <v>4.1136363636363633</v>
      </c>
      <c r="L107" s="1091">
        <f>0.4525/L101</f>
        <v>4.1136363636363633</v>
      </c>
      <c r="M107" s="1091">
        <f>0.4525/M101</f>
        <v>4.1136363636363633</v>
      </c>
      <c r="N107" s="1091">
        <f>0.4525/N101</f>
        <v>4.1136363636363633</v>
      </c>
    </row>
    <row r="108" spans="1:14">
      <c r="A108" s="3713"/>
      <c r="B108" s="3715"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14"/>
      <c r="B109" s="3716"/>
      <c r="C109" s="1093">
        <f>(-0.163*(C108^2)-0.59*C108+7617)*(10^(-4))/C101</f>
        <v>6.9107709090909086</v>
      </c>
      <c r="D109" s="1093">
        <f>(-0.163*(D108^2)-0.59*D108+7617)*(10^(-4))/D101</f>
        <v>6.9107709090909086</v>
      </c>
      <c r="E109" s="1093">
        <f>(-0.161*(E108^2)-7.509*E108+6533)*(10^(-4))/E101</f>
        <v>5.875112727272727</v>
      </c>
      <c r="F109" s="1093">
        <f>(-0.161*(F108^2)-7.509*F108+6533)*(10^(-4))/F101</f>
        <v>5.875112727272727</v>
      </c>
      <c r="G109" s="1093">
        <f>(-0.161*(G108^2)-7.509*G108+6533)*(10^(-4))/G101</f>
        <v>5.875112727272727</v>
      </c>
      <c r="H109" s="1093">
        <f>(-0.161*(H108^2)-7.509*H108+6533)*(10^(-4))/H101</f>
        <v>5.875112727272727</v>
      </c>
      <c r="I109" s="1093">
        <f>(-0.161*(I108^2)-7.509*I108+6533)*(10^(-4))/I101</f>
        <v>5.875112727272727</v>
      </c>
      <c r="J109" s="1093">
        <f>(-0.214*(J108^2)-21.991*J108+4665)*(10^(-4))/J101</f>
        <v>4.0685236363636363</v>
      </c>
      <c r="K109" s="1093">
        <f>(-0.214*(K108^2)-21.991*K108+4665)*(10^(-4))/K101</f>
        <v>4.0685236363636363</v>
      </c>
      <c r="L109" s="1093">
        <f>(-0.214*(L108^2)-21.991*L108+4665)*(10^(-4))/L101</f>
        <v>4.0685236363636363</v>
      </c>
      <c r="M109" s="1093">
        <f>(-0.214*(M108^2)-21.991*M108+4665)*(10^(-4))/M101</f>
        <v>4.0685236363636363</v>
      </c>
      <c r="N109" s="1093">
        <f>(-0.214*(N108^2)-21.991*N108+4665)*(10^(-4))/N101</f>
        <v>4.0685236363636363</v>
      </c>
    </row>
    <row r="110" spans="1:14">
      <c r="A110" s="3698" t="s">
        <v>1440</v>
      </c>
      <c r="B110" s="3698"/>
      <c r="C110" s="3698"/>
      <c r="D110" s="3698"/>
      <c r="E110" s="3698"/>
      <c r="F110" s="3698"/>
      <c r="G110" s="3698"/>
      <c r="H110" s="3698"/>
      <c r="I110" s="3698"/>
      <c r="J110" s="3698"/>
      <c r="K110" s="2258"/>
      <c r="L110" s="2258"/>
      <c r="M110" s="2258"/>
      <c r="N110" s="2258"/>
    </row>
    <row r="112" spans="1:14" ht="12.75" thickBot="1"/>
    <row r="113" spans="1:13" ht="25.5" thickBot="1">
      <c r="A113" s="986" t="s">
        <v>875</v>
      </c>
      <c r="B113" s="2261">
        <f>G3</f>
        <v>0.11</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0.9325</v>
      </c>
      <c r="C115" s="1000">
        <f>B115</f>
        <v>0.9325</v>
      </c>
      <c r="D115" s="1000">
        <f>ROUND(0.8331-0.0109*B113,4)</f>
        <v>0.83189999999999997</v>
      </c>
      <c r="E115" s="1000">
        <f>D115</f>
        <v>0.83189999999999997</v>
      </c>
      <c r="F115" s="1000">
        <f>E115</f>
        <v>0.83189999999999997</v>
      </c>
      <c r="G115" s="1000">
        <f>F115</f>
        <v>0.83189999999999997</v>
      </c>
      <c r="H115" s="1000">
        <f>G115</f>
        <v>0.83189999999999997</v>
      </c>
      <c r="I115" s="1000">
        <f>ROUND(0.689-0.0155*B113,4)</f>
        <v>0.68730000000000002</v>
      </c>
      <c r="J115" s="1000">
        <f t="shared" ref="J115:M118" si="33">I115</f>
        <v>0.68730000000000002</v>
      </c>
      <c r="K115" s="1000">
        <f t="shared" si="33"/>
        <v>0.68730000000000002</v>
      </c>
      <c r="L115" s="1000">
        <f t="shared" si="33"/>
        <v>0.68730000000000002</v>
      </c>
      <c r="M115" s="1001">
        <f t="shared" si="33"/>
        <v>0.68730000000000002</v>
      </c>
    </row>
    <row r="116" spans="1:13" ht="12.75">
      <c r="A116" s="999" t="s">
        <v>880</v>
      </c>
      <c r="B116" s="1000">
        <f>ROUND(0.949-0.012*B113,4)</f>
        <v>0.94769999999999999</v>
      </c>
      <c r="C116" s="1000">
        <f>B116</f>
        <v>0.94769999999999999</v>
      </c>
      <c r="D116" s="1000">
        <f>ROUND(0.8567-0.013*B113,4)</f>
        <v>0.85529999999999995</v>
      </c>
      <c r="E116" s="1000">
        <f t="shared" ref="E116:H117" si="34">D116</f>
        <v>0.85529999999999995</v>
      </c>
      <c r="F116" s="1000">
        <f t="shared" si="34"/>
        <v>0.85529999999999995</v>
      </c>
      <c r="G116" s="1000">
        <f t="shared" si="34"/>
        <v>0.85529999999999995</v>
      </c>
      <c r="H116" s="1000">
        <f t="shared" si="34"/>
        <v>0.85529999999999995</v>
      </c>
      <c r="I116" s="1000">
        <f>ROUND(0.7694-0.014*B113,4)</f>
        <v>0.76790000000000003</v>
      </c>
      <c r="J116" s="1000">
        <f t="shared" si="33"/>
        <v>0.76790000000000003</v>
      </c>
      <c r="K116" s="1000">
        <f t="shared" si="33"/>
        <v>0.76790000000000003</v>
      </c>
      <c r="L116" s="1000">
        <f t="shared" si="33"/>
        <v>0.76790000000000003</v>
      </c>
      <c r="M116" s="1001">
        <f t="shared" si="33"/>
        <v>0.76790000000000003</v>
      </c>
    </row>
    <row r="117" spans="1:13" ht="12.75">
      <c r="A117" s="1002" t="s">
        <v>881</v>
      </c>
      <c r="B117" s="1000">
        <f>ROUND(0.8808-0.006*B113,4)</f>
        <v>0.88009999999999999</v>
      </c>
      <c r="C117" s="1000">
        <f>B117</f>
        <v>0.88009999999999999</v>
      </c>
      <c r="D117" s="1000">
        <f>ROUND(0.8748-0.008*B113,4)</f>
        <v>0.87390000000000001</v>
      </c>
      <c r="E117" s="1000">
        <f t="shared" si="34"/>
        <v>0.87390000000000001</v>
      </c>
      <c r="F117" s="1000">
        <f t="shared" si="34"/>
        <v>0.87390000000000001</v>
      </c>
      <c r="G117" s="1000">
        <f t="shared" si="34"/>
        <v>0.87390000000000001</v>
      </c>
      <c r="H117" s="1000">
        <f t="shared" si="34"/>
        <v>0.87390000000000001</v>
      </c>
      <c r="I117" s="1000">
        <f>ROUND(0.7412-0.0095*B113,4)</f>
        <v>0.74019999999999997</v>
      </c>
      <c r="J117" s="1000">
        <f t="shared" si="33"/>
        <v>0.74019999999999997</v>
      </c>
      <c r="K117" s="1000">
        <f t="shared" si="33"/>
        <v>0.74019999999999997</v>
      </c>
      <c r="L117" s="1000">
        <f t="shared" si="33"/>
        <v>0.74019999999999997</v>
      </c>
      <c r="M117" s="1001">
        <f t="shared" si="33"/>
        <v>0.74019999999999997</v>
      </c>
    </row>
    <row r="118" spans="1:13" ht="13.5" thickBot="1">
      <c r="A118" s="1003" t="s">
        <v>882</v>
      </c>
      <c r="B118" s="1004">
        <f>ROUND(0.7275-0.01*B113,4)</f>
        <v>0.72640000000000005</v>
      </c>
      <c r="C118" s="1004">
        <f>B118</f>
        <v>0.72640000000000005</v>
      </c>
      <c r="D118" s="1004">
        <f>ROUND(0.7043-0.012*B113,4)</f>
        <v>0.70299999999999996</v>
      </c>
      <c r="E118" s="1004">
        <f>D118</f>
        <v>0.70299999999999996</v>
      </c>
      <c r="F118" s="1004">
        <f>E118</f>
        <v>0.70299999999999996</v>
      </c>
      <c r="G118" s="1004">
        <f>ROUND(0.6299-0.0122*B113,4)</f>
        <v>0.62860000000000005</v>
      </c>
      <c r="H118" s="1004">
        <f>G118</f>
        <v>0.62860000000000005</v>
      </c>
      <c r="I118" s="1004">
        <f>ROUND(0.5667-0.0136*B113,4)</f>
        <v>0.56520000000000004</v>
      </c>
      <c r="J118" s="1004">
        <f t="shared" si="33"/>
        <v>0.56520000000000004</v>
      </c>
      <c r="K118" s="1004">
        <f t="shared" si="33"/>
        <v>0.56520000000000004</v>
      </c>
      <c r="L118" s="1004">
        <f t="shared" si="33"/>
        <v>0.56520000000000004</v>
      </c>
      <c r="M118" s="1005">
        <f t="shared" si="33"/>
        <v>0.56520000000000004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2894</v>
      </c>
      <c r="B2" s="3402">
        <v>3.5</v>
      </c>
      <c r="C2" s="3402">
        <v>3.5</v>
      </c>
      <c r="D2" s="3403">
        <v>2.5</v>
      </c>
      <c r="E2" s="3403">
        <v>2.5</v>
      </c>
      <c r="F2" s="3403">
        <v>2.5</v>
      </c>
      <c r="G2" s="3403">
        <v>2.5</v>
      </c>
      <c r="H2" s="3403">
        <v>2.5</v>
      </c>
      <c r="I2" s="3402">
        <v>2</v>
      </c>
      <c r="J2" s="3402">
        <v>2</v>
      </c>
      <c r="K2" s="3402">
        <v>2</v>
      </c>
      <c r="L2" s="3402">
        <v>2</v>
      </c>
      <c r="M2" s="3404">
        <v>2</v>
      </c>
    </row>
    <row r="3" spans="1:13">
      <c r="A3" s="3405" t="s">
        <v>2895</v>
      </c>
      <c r="B3" s="3406">
        <v>3.5</v>
      </c>
      <c r="C3" s="3406">
        <v>3.5</v>
      </c>
      <c r="D3" s="3407">
        <v>2.5</v>
      </c>
      <c r="E3" s="3407">
        <v>2.5</v>
      </c>
      <c r="F3" s="3407">
        <v>2.5</v>
      </c>
      <c r="G3" s="3407">
        <v>2.5</v>
      </c>
      <c r="H3" s="3407">
        <v>2.5</v>
      </c>
      <c r="I3" s="3406">
        <v>2</v>
      </c>
      <c r="J3" s="3406">
        <v>2</v>
      </c>
      <c r="K3" s="3406">
        <v>2</v>
      </c>
      <c r="L3" s="3406">
        <v>2</v>
      </c>
      <c r="M3" s="3408">
        <v>2</v>
      </c>
    </row>
    <row r="4" spans="1:13">
      <c r="A4" s="3405" t="s">
        <v>2896</v>
      </c>
      <c r="B4" s="3407">
        <v>2.5</v>
      </c>
      <c r="C4" s="3407">
        <v>2.5</v>
      </c>
      <c r="D4" s="3407">
        <v>2.5</v>
      </c>
      <c r="E4" s="3407">
        <v>2.5</v>
      </c>
      <c r="F4" s="3407">
        <v>2.5</v>
      </c>
      <c r="G4" s="3407">
        <v>2.5</v>
      </c>
      <c r="H4" s="3407">
        <v>2.5</v>
      </c>
      <c r="I4" s="3406">
        <v>1.5</v>
      </c>
      <c r="J4" s="3406">
        <v>1.5</v>
      </c>
      <c r="K4" s="3406">
        <v>1.5</v>
      </c>
      <c r="L4" s="3406">
        <v>1.5</v>
      </c>
      <c r="M4" s="3408">
        <v>1.5</v>
      </c>
    </row>
    <row r="5" spans="1:13">
      <c r="A5" s="3409" t="s">
        <v>2897</v>
      </c>
      <c r="B5" s="3406">
        <v>1.5</v>
      </c>
      <c r="C5" s="3406">
        <v>1.5</v>
      </c>
      <c r="D5" s="3406">
        <v>1.5</v>
      </c>
      <c r="E5" s="3406">
        <v>1.5</v>
      </c>
      <c r="F5" s="3406">
        <v>1.5</v>
      </c>
      <c r="G5" s="3406">
        <v>1.2</v>
      </c>
      <c r="H5" s="3406">
        <v>1.2</v>
      </c>
      <c r="I5" s="3406">
        <v>1</v>
      </c>
      <c r="J5" s="3406">
        <v>1</v>
      </c>
      <c r="K5" s="3406">
        <v>1</v>
      </c>
      <c r="L5" s="3406">
        <v>1</v>
      </c>
      <c r="M5" s="3408">
        <v>1</v>
      </c>
    </row>
    <row r="6" spans="1:13">
      <c r="A6" s="3410" t="s">
        <v>2898</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2899</v>
      </c>
      <c r="B7" s="3415">
        <v>2.5</v>
      </c>
      <c r="C7" s="3415">
        <v>2.5</v>
      </c>
      <c r="D7" s="3415">
        <v>2</v>
      </c>
      <c r="E7" s="3415">
        <v>2</v>
      </c>
      <c r="F7" s="3415">
        <v>2</v>
      </c>
      <c r="G7" s="3415">
        <v>2</v>
      </c>
      <c r="H7" s="3415">
        <v>2</v>
      </c>
      <c r="I7" s="3416">
        <v>1.5</v>
      </c>
      <c r="J7" s="3416">
        <v>1.5</v>
      </c>
      <c r="K7" s="3416">
        <v>1.5</v>
      </c>
      <c r="L7" s="3416">
        <v>1.5</v>
      </c>
      <c r="M7" s="3417">
        <v>1.5</v>
      </c>
    </row>
    <row r="8" spans="1:13">
      <c r="A8" s="1073" t="s">
        <v>1412</v>
      </c>
      <c r="B8" s="3418">
        <v>80</v>
      </c>
      <c r="C8" s="3418">
        <v>80</v>
      </c>
      <c r="D8" s="3418">
        <v>70</v>
      </c>
      <c r="E8" s="3418">
        <v>70</v>
      </c>
      <c r="F8" s="3418">
        <v>70</v>
      </c>
      <c r="G8" s="3418">
        <v>70</v>
      </c>
      <c r="H8" s="3418">
        <v>70</v>
      </c>
      <c r="I8" s="3418">
        <v>60</v>
      </c>
      <c r="J8" s="3418">
        <v>60</v>
      </c>
      <c r="K8" s="3418">
        <v>60</v>
      </c>
      <c r="L8" s="3418">
        <v>60</v>
      </c>
      <c r="M8" s="3419">
        <v>60</v>
      </c>
    </row>
    <row r="9" spans="1:13">
      <c r="A9" s="1033" t="s">
        <v>1413</v>
      </c>
      <c r="B9" s="3420">
        <v>70</v>
      </c>
      <c r="C9" s="3420">
        <v>70</v>
      </c>
      <c r="D9" s="3420">
        <v>60</v>
      </c>
      <c r="E9" s="3420">
        <v>60</v>
      </c>
      <c r="F9" s="3420">
        <v>60</v>
      </c>
      <c r="G9" s="3420">
        <v>60</v>
      </c>
      <c r="H9" s="3420">
        <v>60</v>
      </c>
      <c r="I9" s="3420">
        <v>50</v>
      </c>
      <c r="J9" s="3420">
        <v>50</v>
      </c>
      <c r="K9" s="3420">
        <v>50</v>
      </c>
      <c r="L9" s="3420">
        <v>50</v>
      </c>
      <c r="M9" s="3421">
        <v>50</v>
      </c>
    </row>
    <row r="10" spans="1:13">
      <c r="A10" s="1033" t="s">
        <v>1414</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1415</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1416</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1417</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1418</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1419</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4" t="s">
        <v>2684</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1421</v>
      </c>
      <c r="B18" s="1076"/>
      <c r="C18" s="1077"/>
      <c r="D18" s="1077"/>
      <c r="E18" s="1076"/>
      <c r="F18" s="1077"/>
      <c r="G18" s="1077"/>
    </row>
    <row r="19" spans="1:13" ht="14.25" thickBot="1">
      <c r="A19" s="3422" t="s">
        <v>2900</v>
      </c>
      <c r="B19" s="3424" t="s">
        <v>2901</v>
      </c>
      <c r="C19" s="3425" t="s">
        <v>2902</v>
      </c>
      <c r="D19" s="3426"/>
      <c r="E19" s="3420" t="s">
        <v>2903</v>
      </c>
      <c r="F19" s="1079"/>
      <c r="G19" s="1079"/>
    </row>
    <row r="20" spans="1:13" s="1486" customFormat="1">
      <c r="A20" s="3722" t="s">
        <v>2894</v>
      </c>
      <c r="B20" s="3725" t="s">
        <v>2904</v>
      </c>
      <c r="C20" s="3427" t="s">
        <v>2905</v>
      </c>
      <c r="D20" s="3428"/>
      <c r="E20" s="3429">
        <v>1</v>
      </c>
      <c r="F20" s="3430" t="s">
        <v>2906</v>
      </c>
      <c r="G20" s="1081"/>
      <c r="H20" s="1071"/>
      <c r="I20" s="1071"/>
    </row>
    <row r="21" spans="1:13" s="1486" customFormat="1">
      <c r="A21" s="3723"/>
      <c r="B21" s="3726"/>
      <c r="C21" s="3431" t="s">
        <v>2907</v>
      </c>
      <c r="D21" s="3432"/>
      <c r="E21" s="3433">
        <v>1</v>
      </c>
      <c r="F21" s="3430" t="s">
        <v>2908</v>
      </c>
      <c r="G21" s="1081"/>
      <c r="H21" s="1071"/>
      <c r="I21" s="1071"/>
    </row>
    <row r="22" spans="1:13" s="1486" customFormat="1">
      <c r="A22" s="3723"/>
      <c r="B22" s="3726"/>
      <c r="C22" s="3431" t="s">
        <v>2909</v>
      </c>
      <c r="D22" s="3432"/>
      <c r="E22" s="3433">
        <v>0.9</v>
      </c>
      <c r="F22" s="3430" t="s">
        <v>2910</v>
      </c>
      <c r="G22" s="1081"/>
      <c r="H22" s="1071"/>
      <c r="I22" s="1071"/>
    </row>
    <row r="23" spans="1:13" s="1486" customFormat="1">
      <c r="A23" s="3723"/>
      <c r="B23" s="3726"/>
      <c r="C23" s="3431" t="s">
        <v>2911</v>
      </c>
      <c r="D23" s="3432"/>
      <c r="E23" s="3433">
        <v>0.9</v>
      </c>
      <c r="F23" s="3430" t="s">
        <v>2912</v>
      </c>
      <c r="G23" s="1081"/>
      <c r="H23" s="1071"/>
      <c r="I23" s="1071"/>
    </row>
    <row r="24" spans="1:13" s="1486" customFormat="1">
      <c r="A24" s="3723"/>
      <c r="B24" s="3726"/>
      <c r="C24" s="3431" t="s">
        <v>2913</v>
      </c>
      <c r="D24" s="3432"/>
      <c r="E24" s="3433">
        <v>0.8</v>
      </c>
      <c r="F24" s="3430" t="s">
        <v>2914</v>
      </c>
      <c r="G24" s="1081"/>
      <c r="H24" s="1071"/>
      <c r="I24" s="1071"/>
    </row>
    <row r="25" spans="1:13" s="1486" customFormat="1" ht="14.25" thickBot="1">
      <c r="A25" s="3724"/>
      <c r="B25" s="3727"/>
      <c r="C25" s="3434" t="s">
        <v>2915</v>
      </c>
      <c r="D25" s="3435"/>
      <c r="E25" s="3436">
        <v>0.8</v>
      </c>
      <c r="F25" s="3430" t="s">
        <v>2916</v>
      </c>
      <c r="G25" s="1081"/>
      <c r="H25" s="1071"/>
      <c r="I25" s="1071"/>
    </row>
    <row r="26" spans="1:13" s="1486" customFormat="1" ht="14.25" thickBot="1">
      <c r="A26" s="3437" t="s">
        <v>2895</v>
      </c>
      <c r="B26" s="3438" t="s">
        <v>2904</v>
      </c>
      <c r="C26" s="3439" t="s">
        <v>2917</v>
      </c>
      <c r="D26" s="3440"/>
      <c r="E26" s="3441">
        <v>1</v>
      </c>
      <c r="F26" s="3430" t="s">
        <v>2918</v>
      </c>
      <c r="G26" s="1081"/>
      <c r="H26" s="1071"/>
      <c r="I26" s="1071"/>
    </row>
    <row r="27" spans="1:13" s="1486" customFormat="1">
      <c r="A27" s="3728" t="s">
        <v>2899</v>
      </c>
      <c r="B27" s="3725" t="s">
        <v>2899</v>
      </c>
      <c r="C27" s="3427" t="s">
        <v>2919</v>
      </c>
      <c r="D27" s="3428"/>
      <c r="E27" s="3429">
        <v>1</v>
      </c>
      <c r="F27" s="3430" t="s">
        <v>2920</v>
      </c>
      <c r="G27" s="1081"/>
      <c r="H27" s="1071"/>
      <c r="I27" s="1071"/>
    </row>
    <row r="28" spans="1:13" s="1486" customFormat="1">
      <c r="A28" s="3729"/>
      <c r="B28" s="3726"/>
      <c r="C28" s="3431" t="s">
        <v>2921</v>
      </c>
      <c r="D28" s="3432"/>
      <c r="E28" s="3433">
        <v>1</v>
      </c>
      <c r="F28" s="3430" t="s">
        <v>2922</v>
      </c>
      <c r="G28" s="1081"/>
      <c r="H28" s="1071"/>
      <c r="I28" s="1071"/>
    </row>
    <row r="29" spans="1:13" s="1486" customFormat="1">
      <c r="A29" s="3729"/>
      <c r="B29" s="3726"/>
      <c r="C29" s="3431" t="s">
        <v>2923</v>
      </c>
      <c r="D29" s="3432"/>
      <c r="E29" s="3433">
        <v>0.8</v>
      </c>
      <c r="F29" s="3430" t="s">
        <v>2924</v>
      </c>
      <c r="G29" s="1081"/>
      <c r="H29" s="1071"/>
      <c r="I29" s="1071"/>
    </row>
    <row r="30" spans="1:13" s="1486" customFormat="1">
      <c r="A30" s="3729"/>
      <c r="B30" s="3726"/>
      <c r="C30" s="3431" t="s">
        <v>2925</v>
      </c>
      <c r="D30" s="3432"/>
      <c r="E30" s="3433">
        <v>0.8</v>
      </c>
      <c r="F30" s="3430" t="s">
        <v>2926</v>
      </c>
      <c r="G30" s="1081"/>
      <c r="H30" s="1071"/>
      <c r="I30" s="1071"/>
    </row>
    <row r="31" spans="1:13" s="1486" customFormat="1">
      <c r="A31" s="3729"/>
      <c r="B31" s="3726"/>
      <c r="C31" s="3431" t="s">
        <v>2927</v>
      </c>
      <c r="D31" s="3432"/>
      <c r="E31" s="3433">
        <v>0.8</v>
      </c>
      <c r="F31" s="3430" t="s">
        <v>2928</v>
      </c>
      <c r="G31" s="1081"/>
      <c r="H31" s="1071"/>
      <c r="I31" s="1071"/>
    </row>
    <row r="32" spans="1:13" s="1486" customFormat="1">
      <c r="A32" s="3729"/>
      <c r="B32" s="3726"/>
      <c r="C32" s="3431" t="s">
        <v>2929</v>
      </c>
      <c r="D32" s="3432"/>
      <c r="E32" s="3433">
        <v>0.7</v>
      </c>
      <c r="F32" s="3430" t="s">
        <v>2930</v>
      </c>
      <c r="G32" s="1081"/>
      <c r="H32" s="1071"/>
      <c r="I32" s="1071"/>
    </row>
    <row r="33" spans="1:9" s="1486" customFormat="1">
      <c r="A33" s="3729"/>
      <c r="B33" s="3726"/>
      <c r="C33" s="3431" t="s">
        <v>2931</v>
      </c>
      <c r="D33" s="3432"/>
      <c r="E33" s="3433">
        <v>0.8</v>
      </c>
      <c r="F33" s="3430" t="s">
        <v>2932</v>
      </c>
      <c r="G33" s="1081"/>
      <c r="H33" s="1071"/>
      <c r="I33" s="1071"/>
    </row>
    <row r="34" spans="1:9" s="1486" customFormat="1">
      <c r="A34" s="3729"/>
      <c r="B34" s="3726"/>
      <c r="C34" s="3431" t="s">
        <v>2933</v>
      </c>
      <c r="D34" s="3432"/>
      <c r="E34" s="3433">
        <v>0.6</v>
      </c>
      <c r="F34" s="3430" t="s">
        <v>2934</v>
      </c>
      <c r="G34" s="1081"/>
      <c r="H34" s="1071"/>
      <c r="I34" s="1071"/>
    </row>
    <row r="35" spans="1:9" s="1486" customFormat="1">
      <c r="A35" s="3729"/>
      <c r="B35" s="3726"/>
      <c r="C35" s="3431" t="s">
        <v>2935</v>
      </c>
      <c r="D35" s="3432"/>
      <c r="E35" s="3433">
        <v>0.2</v>
      </c>
      <c r="F35" s="3430" t="s">
        <v>2936</v>
      </c>
      <c r="G35" s="1081"/>
      <c r="H35" s="1071"/>
      <c r="I35" s="1071"/>
    </row>
    <row r="36" spans="1:9" s="1486" customFormat="1">
      <c r="A36" s="3729"/>
      <c r="B36" s="3726"/>
      <c r="C36" s="3431" t="s">
        <v>2937</v>
      </c>
      <c r="D36" s="3432"/>
      <c r="E36" s="3433">
        <v>0.2</v>
      </c>
      <c r="F36" s="3430" t="s">
        <v>2938</v>
      </c>
      <c r="G36" s="1081"/>
      <c r="H36" s="1071"/>
      <c r="I36" s="1071"/>
    </row>
    <row r="37" spans="1:9" s="1486" customFormat="1">
      <c r="A37" s="3729"/>
      <c r="B37" s="3720" t="s">
        <v>2939</v>
      </c>
      <c r="C37" s="3431" t="s">
        <v>2940</v>
      </c>
      <c r="D37" s="3432"/>
      <c r="E37" s="3433">
        <v>0.6</v>
      </c>
      <c r="F37" s="3430" t="s">
        <v>2941</v>
      </c>
      <c r="G37" s="1081"/>
      <c r="H37" s="1071"/>
      <c r="I37" s="1071"/>
    </row>
    <row r="38" spans="1:9" s="1486" customFormat="1">
      <c r="A38" s="3729"/>
      <c r="B38" s="3726"/>
      <c r="C38" s="3431" t="s">
        <v>2942</v>
      </c>
      <c r="D38" s="3432"/>
      <c r="E38" s="3433">
        <v>0.6</v>
      </c>
      <c r="F38" s="3430" t="s">
        <v>2943</v>
      </c>
      <c r="G38" s="1081"/>
      <c r="H38" s="1071"/>
      <c r="I38" s="1071"/>
    </row>
    <row r="39" spans="1:9" s="1486" customFormat="1" ht="14.25" thickBot="1">
      <c r="A39" s="3730"/>
      <c r="B39" s="3727"/>
      <c r="C39" s="3434" t="s">
        <v>2944</v>
      </c>
      <c r="D39" s="3435"/>
      <c r="E39" s="3436">
        <v>0.6</v>
      </c>
      <c r="F39" s="3430" t="s">
        <v>2945</v>
      </c>
      <c r="G39" s="1081"/>
      <c r="H39" s="1071"/>
      <c r="I39" s="1071"/>
    </row>
    <row r="40" spans="1:9" s="1486" customFormat="1" ht="14.25" thickBot="1">
      <c r="A40" s="3437" t="s">
        <v>2896</v>
      </c>
      <c r="B40" s="3438" t="s">
        <v>2896</v>
      </c>
      <c r="C40" s="3439" t="s">
        <v>2946</v>
      </c>
      <c r="D40" s="3440"/>
      <c r="E40" s="3441">
        <v>1</v>
      </c>
      <c r="F40" s="3430" t="s">
        <v>2947</v>
      </c>
      <c r="G40" s="1081"/>
      <c r="H40" s="1071"/>
      <c r="I40" s="1071"/>
    </row>
    <row r="41" spans="1:9" s="1486" customFormat="1">
      <c r="A41" s="3722" t="s">
        <v>2897</v>
      </c>
      <c r="B41" s="3725" t="s">
        <v>2948</v>
      </c>
      <c r="C41" s="3427" t="s">
        <v>2949</v>
      </c>
      <c r="D41" s="3428"/>
      <c r="E41" s="3429">
        <v>1</v>
      </c>
      <c r="F41" s="3430" t="s">
        <v>2950</v>
      </c>
      <c r="G41" s="1081"/>
      <c r="H41" s="1071"/>
      <c r="I41" s="1071"/>
    </row>
    <row r="42" spans="1:9" s="1486" customFormat="1">
      <c r="A42" s="3723"/>
      <c r="B42" s="3726"/>
      <c r="C42" s="3431" t="s">
        <v>2951</v>
      </c>
      <c r="D42" s="3432"/>
      <c r="E42" s="3433">
        <v>1</v>
      </c>
      <c r="F42" s="3430" t="s">
        <v>2952</v>
      </c>
      <c r="G42" s="1081"/>
      <c r="H42" s="1071"/>
      <c r="I42" s="1071"/>
    </row>
    <row r="43" spans="1:9" s="1486" customFormat="1">
      <c r="A43" s="3723"/>
      <c r="B43" s="3721"/>
      <c r="C43" s="3431" t="s">
        <v>2953</v>
      </c>
      <c r="D43" s="3432"/>
      <c r="E43" s="3433">
        <v>1.5</v>
      </c>
      <c r="F43" s="3430" t="s">
        <v>2954</v>
      </c>
      <c r="G43" s="1081"/>
      <c r="H43" s="1071"/>
      <c r="I43" s="1071"/>
    </row>
    <row r="44" spans="1:9" s="1486" customFormat="1">
      <c r="A44" s="3723"/>
      <c r="B44" s="3442" t="s">
        <v>2899</v>
      </c>
      <c r="C44" s="3431" t="s">
        <v>2898</v>
      </c>
      <c r="D44" s="3432"/>
      <c r="E44" s="3433">
        <v>2</v>
      </c>
      <c r="F44" s="3430" t="s">
        <v>2955</v>
      </c>
      <c r="G44" s="1081"/>
      <c r="H44" s="1071"/>
      <c r="I44" s="1071"/>
    </row>
    <row r="45" spans="1:9" s="1486" customFormat="1">
      <c r="A45" s="3723"/>
      <c r="B45" s="3720" t="s">
        <v>2956</v>
      </c>
      <c r="C45" s="3431" t="s">
        <v>2957</v>
      </c>
      <c r="D45" s="3432"/>
      <c r="E45" s="3433">
        <v>1</v>
      </c>
      <c r="F45" s="3430" t="s">
        <v>2958</v>
      </c>
      <c r="G45" s="1081"/>
      <c r="H45" s="1071"/>
      <c r="I45" s="1071"/>
    </row>
    <row r="46" spans="1:9" s="1486" customFormat="1">
      <c r="A46" s="3723"/>
      <c r="B46" s="3726"/>
      <c r="C46" s="3431" t="s">
        <v>2959</v>
      </c>
      <c r="D46" s="3432"/>
      <c r="E46" s="3433">
        <v>1</v>
      </c>
      <c r="F46" s="3430" t="s">
        <v>2960</v>
      </c>
      <c r="G46" s="1081"/>
      <c r="H46" s="1071"/>
      <c r="I46" s="1071"/>
    </row>
    <row r="47" spans="1:9" s="1486" customFormat="1">
      <c r="A47" s="3723"/>
      <c r="B47" s="3726"/>
      <c r="C47" s="3431" t="s">
        <v>2961</v>
      </c>
      <c r="D47" s="3432"/>
      <c r="E47" s="3433">
        <v>1</v>
      </c>
      <c r="F47" s="3430" t="s">
        <v>2962</v>
      </c>
      <c r="G47" s="1081"/>
      <c r="H47" s="1071"/>
      <c r="I47" s="1071"/>
    </row>
    <row r="48" spans="1:9" s="1486" customFormat="1">
      <c r="A48" s="3723"/>
      <c r="B48" s="3726"/>
      <c r="C48" s="3431" t="s">
        <v>2963</v>
      </c>
      <c r="D48" s="3432"/>
      <c r="E48" s="3433">
        <v>1</v>
      </c>
      <c r="F48" s="3430" t="s">
        <v>2964</v>
      </c>
      <c r="G48" s="1081"/>
      <c r="H48" s="1071"/>
      <c r="I48" s="1071"/>
    </row>
    <row r="49" spans="1:9" s="1486" customFormat="1">
      <c r="A49" s="3723"/>
      <c r="B49" s="3726"/>
      <c r="C49" s="3431" t="s">
        <v>2965</v>
      </c>
      <c r="D49" s="3432"/>
      <c r="E49" s="3433">
        <v>1</v>
      </c>
      <c r="F49" s="3430" t="s">
        <v>2966</v>
      </c>
      <c r="G49" s="1081"/>
      <c r="H49" s="1071"/>
      <c r="I49" s="1071"/>
    </row>
    <row r="50" spans="1:9" s="1486" customFormat="1">
      <c r="A50" s="3723"/>
      <c r="B50" s="3726"/>
      <c r="C50" s="3431" t="s">
        <v>2967</v>
      </c>
      <c r="D50" s="3432"/>
      <c r="E50" s="3433">
        <v>1</v>
      </c>
      <c r="F50" s="3430" t="s">
        <v>2968</v>
      </c>
      <c r="G50" s="1081"/>
      <c r="H50" s="1071"/>
      <c r="I50" s="1071"/>
    </row>
    <row r="51" spans="1:9" s="1486" customFormat="1" ht="14.25" thickBot="1">
      <c r="A51" s="3724"/>
      <c r="B51" s="3727"/>
      <c r="C51" s="3434" t="s">
        <v>2969</v>
      </c>
      <c r="D51" s="3435"/>
      <c r="E51" s="3436">
        <v>1</v>
      </c>
      <c r="F51" s="3430" t="s">
        <v>2970</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42">
        <v>1</v>
      </c>
      <c r="B73" s="3720" t="s">
        <v>2972</v>
      </c>
      <c r="C73" s="3420" t="s">
        <v>2973</v>
      </c>
      <c r="D73" s="3420" t="s">
        <v>2974</v>
      </c>
      <c r="E73" s="3443">
        <v>0.2</v>
      </c>
      <c r="F73" s="3442">
        <v>25</v>
      </c>
      <c r="H73" s="1071">
        <f>SUMIF(C71:C139,基准地价!C8,E71:E139)</f>
        <v>0</v>
      </c>
    </row>
    <row r="74" spans="1:8" s="1071" customFormat="1" ht="24">
      <c r="A74" s="3442">
        <v>2</v>
      </c>
      <c r="B74" s="3726"/>
      <c r="C74" s="3420" t="s">
        <v>2975</v>
      </c>
      <c r="D74" s="3420" t="s">
        <v>2976</v>
      </c>
      <c r="E74" s="3443">
        <v>0.2</v>
      </c>
      <c r="F74" s="3442">
        <v>25</v>
      </c>
    </row>
    <row r="75" spans="1:8" s="1071" customFormat="1" ht="24">
      <c r="A75" s="3442">
        <v>3</v>
      </c>
      <c r="B75" s="3726"/>
      <c r="C75" s="3420" t="s">
        <v>2977</v>
      </c>
      <c r="D75" s="3420" t="s">
        <v>2978</v>
      </c>
      <c r="E75" s="3443">
        <v>0.2</v>
      </c>
      <c r="F75" s="3442">
        <v>25</v>
      </c>
    </row>
    <row r="76" spans="1:8" s="1071" customFormat="1">
      <c r="A76" s="3442">
        <v>4</v>
      </c>
      <c r="B76" s="3726"/>
      <c r="C76" s="3420" t="s">
        <v>2979</v>
      </c>
      <c r="D76" s="3420" t="s">
        <v>2980</v>
      </c>
      <c r="E76" s="3443">
        <v>0.15</v>
      </c>
      <c r="F76" s="3442">
        <v>20</v>
      </c>
    </row>
    <row r="77" spans="1:8" s="1071" customFormat="1" ht="24">
      <c r="A77" s="3442">
        <v>5</v>
      </c>
      <c r="B77" s="3726"/>
      <c r="C77" s="3420" t="s">
        <v>2981</v>
      </c>
      <c r="D77" s="3420" t="s">
        <v>2982</v>
      </c>
      <c r="E77" s="3443">
        <v>0.15</v>
      </c>
      <c r="F77" s="3442">
        <v>20</v>
      </c>
    </row>
    <row r="78" spans="1:8" s="1071" customFormat="1" ht="24">
      <c r="A78" s="3442">
        <v>6</v>
      </c>
      <c r="B78" s="3726"/>
      <c r="C78" s="3420" t="s">
        <v>2983</v>
      </c>
      <c r="D78" s="3420" t="s">
        <v>2984</v>
      </c>
      <c r="E78" s="3443">
        <v>0.15</v>
      </c>
      <c r="F78" s="3442">
        <v>20</v>
      </c>
    </row>
    <row r="79" spans="1:8" s="1071" customFormat="1" ht="24">
      <c r="A79" s="3442">
        <v>7</v>
      </c>
      <c r="B79" s="3726"/>
      <c r="C79" s="3420" t="s">
        <v>2985</v>
      </c>
      <c r="D79" s="3420" t="s">
        <v>2986</v>
      </c>
      <c r="E79" s="3443">
        <v>0.15</v>
      </c>
      <c r="F79" s="3442">
        <v>20</v>
      </c>
    </row>
    <row r="80" spans="1:8" s="1071" customFormat="1" ht="24">
      <c r="A80" s="3442">
        <v>8</v>
      </c>
      <c r="B80" s="3726"/>
      <c r="C80" s="3420" t="s">
        <v>2987</v>
      </c>
      <c r="D80" s="3420" t="s">
        <v>2988</v>
      </c>
      <c r="E80" s="3443">
        <v>0.1</v>
      </c>
      <c r="F80" s="3442">
        <v>15</v>
      </c>
    </row>
    <row r="81" spans="1:6" s="1071" customFormat="1" ht="24">
      <c r="A81" s="3442">
        <v>9</v>
      </c>
      <c r="B81" s="3726"/>
      <c r="C81" s="3420" t="s">
        <v>2989</v>
      </c>
      <c r="D81" s="3420" t="s">
        <v>2990</v>
      </c>
      <c r="E81" s="3443">
        <v>0.1</v>
      </c>
      <c r="F81" s="3442">
        <v>15</v>
      </c>
    </row>
    <row r="82" spans="1:6" s="1071" customFormat="1" ht="24">
      <c r="A82" s="3442">
        <v>10</v>
      </c>
      <c r="B82" s="3726"/>
      <c r="C82" s="3420" t="s">
        <v>2991</v>
      </c>
      <c r="D82" s="3420" t="s">
        <v>2992</v>
      </c>
      <c r="E82" s="3443">
        <v>0.1</v>
      </c>
      <c r="F82" s="3442">
        <v>15</v>
      </c>
    </row>
    <row r="83" spans="1:6" s="1071" customFormat="1" ht="24">
      <c r="A83" s="3442">
        <v>11</v>
      </c>
      <c r="B83" s="3726"/>
      <c r="C83" s="3420" t="s">
        <v>2993</v>
      </c>
      <c r="D83" s="3420" t="s">
        <v>2994</v>
      </c>
      <c r="E83" s="3443">
        <v>0.1</v>
      </c>
      <c r="F83" s="3442">
        <v>15</v>
      </c>
    </row>
    <row r="84" spans="1:6" s="1071" customFormat="1" ht="24">
      <c r="A84" s="3442">
        <v>12</v>
      </c>
      <c r="B84" s="3726"/>
      <c r="C84" s="3420" t="s">
        <v>2995</v>
      </c>
      <c r="D84" s="3420" t="s">
        <v>2996</v>
      </c>
      <c r="E84" s="3443">
        <v>0.1</v>
      </c>
      <c r="F84" s="3442">
        <v>15</v>
      </c>
    </row>
    <row r="85" spans="1:6" s="1071" customFormat="1">
      <c r="A85" s="3442">
        <v>13</v>
      </c>
      <c r="B85" s="3726"/>
      <c r="C85" s="3420" t="s">
        <v>2997</v>
      </c>
      <c r="D85" s="3420" t="s">
        <v>2998</v>
      </c>
      <c r="E85" s="3443">
        <v>0.1</v>
      </c>
      <c r="F85" s="3442">
        <v>15</v>
      </c>
    </row>
    <row r="86" spans="1:6" s="1071" customFormat="1">
      <c r="A86" s="3442">
        <v>14</v>
      </c>
      <c r="B86" s="3726"/>
      <c r="C86" s="3420" t="s">
        <v>2999</v>
      </c>
      <c r="D86" s="3420" t="s">
        <v>3000</v>
      </c>
      <c r="E86" s="3443">
        <v>0.1</v>
      </c>
      <c r="F86" s="3442">
        <v>15</v>
      </c>
    </row>
    <row r="87" spans="1:6" s="1071" customFormat="1">
      <c r="A87" s="3442">
        <v>15</v>
      </c>
      <c r="B87" s="3726"/>
      <c r="C87" s="3420" t="s">
        <v>3001</v>
      </c>
      <c r="D87" s="3420" t="s">
        <v>3002</v>
      </c>
      <c r="E87" s="3443">
        <v>0.1</v>
      </c>
      <c r="F87" s="3442">
        <v>15</v>
      </c>
    </row>
    <row r="88" spans="1:6" s="1071" customFormat="1" ht="24">
      <c r="A88" s="3442">
        <v>16</v>
      </c>
      <c r="B88" s="3726"/>
      <c r="C88" s="3420" t="s">
        <v>3003</v>
      </c>
      <c r="D88" s="3420" t="s">
        <v>3004</v>
      </c>
      <c r="E88" s="3443">
        <v>0.1</v>
      </c>
      <c r="F88" s="3442">
        <v>15</v>
      </c>
    </row>
    <row r="89" spans="1:6" s="1071" customFormat="1" ht="24">
      <c r="A89" s="3442">
        <v>17</v>
      </c>
      <c r="B89" s="3721"/>
      <c r="C89" s="3420" t="s">
        <v>3005</v>
      </c>
      <c r="D89" s="3420" t="s">
        <v>3006</v>
      </c>
      <c r="E89" s="3443">
        <v>0.1</v>
      </c>
      <c r="F89" s="3442">
        <v>15</v>
      </c>
    </row>
    <row r="90" spans="1:6" s="1071" customFormat="1">
      <c r="A90" s="3442">
        <v>18</v>
      </c>
      <c r="B90" s="3720" t="s">
        <v>3007</v>
      </c>
      <c r="C90" s="3420" t="s">
        <v>3008</v>
      </c>
      <c r="D90" s="3420" t="s">
        <v>3009</v>
      </c>
      <c r="E90" s="3443">
        <v>0.2</v>
      </c>
      <c r="F90" s="3442">
        <v>25</v>
      </c>
    </row>
    <row r="91" spans="1:6" s="1071" customFormat="1" ht="24">
      <c r="A91" s="3442">
        <v>19</v>
      </c>
      <c r="B91" s="3726"/>
      <c r="C91" s="3420" t="s">
        <v>3010</v>
      </c>
      <c r="D91" s="3420" t="s">
        <v>3011</v>
      </c>
      <c r="E91" s="3443">
        <v>0.2</v>
      </c>
      <c r="F91" s="3442">
        <v>25</v>
      </c>
    </row>
    <row r="92" spans="1:6" s="1071" customFormat="1">
      <c r="A92" s="3442">
        <v>20</v>
      </c>
      <c r="B92" s="3726"/>
      <c r="C92" s="3420" t="s">
        <v>3012</v>
      </c>
      <c r="D92" s="3420" t="s">
        <v>3013</v>
      </c>
      <c r="E92" s="3443">
        <v>0.15</v>
      </c>
      <c r="F92" s="3442">
        <v>20</v>
      </c>
    </row>
    <row r="93" spans="1:6" s="1071" customFormat="1" ht="24">
      <c r="A93" s="3442">
        <v>21</v>
      </c>
      <c r="B93" s="3726"/>
      <c r="C93" s="3420" t="s">
        <v>3014</v>
      </c>
      <c r="D93" s="3420" t="s">
        <v>3015</v>
      </c>
      <c r="E93" s="3443">
        <v>0.15</v>
      </c>
      <c r="F93" s="3442">
        <v>20</v>
      </c>
    </row>
    <row r="94" spans="1:6" s="1071" customFormat="1" ht="24">
      <c r="A94" s="3442">
        <v>22</v>
      </c>
      <c r="B94" s="3726"/>
      <c r="C94" s="3420" t="s">
        <v>3016</v>
      </c>
      <c r="D94" s="3420" t="s">
        <v>3017</v>
      </c>
      <c r="E94" s="3443">
        <v>0.15</v>
      </c>
      <c r="F94" s="3442">
        <v>20</v>
      </c>
    </row>
    <row r="95" spans="1:6" s="1071" customFormat="1" ht="36">
      <c r="A95" s="3442">
        <v>23</v>
      </c>
      <c r="B95" s="3726"/>
      <c r="C95" s="3420" t="s">
        <v>3018</v>
      </c>
      <c r="D95" s="3420" t="s">
        <v>3019</v>
      </c>
      <c r="E95" s="3443">
        <v>0.15</v>
      </c>
      <c r="F95" s="3442">
        <v>20</v>
      </c>
    </row>
    <row r="96" spans="1:6" s="1071" customFormat="1">
      <c r="A96" s="3442">
        <v>24</v>
      </c>
      <c r="B96" s="3726"/>
      <c r="C96" s="3420" t="s">
        <v>3020</v>
      </c>
      <c r="D96" s="3420" t="s">
        <v>3021</v>
      </c>
      <c r="E96" s="3443">
        <v>0.1</v>
      </c>
      <c r="F96" s="3442">
        <v>15</v>
      </c>
    </row>
    <row r="97" spans="1:6" s="1071" customFormat="1" ht="24">
      <c r="A97" s="3442">
        <v>25</v>
      </c>
      <c r="B97" s="3726"/>
      <c r="C97" s="3420" t="s">
        <v>3022</v>
      </c>
      <c r="D97" s="3420" t="s">
        <v>3023</v>
      </c>
      <c r="E97" s="3443">
        <v>0.1</v>
      </c>
      <c r="F97" s="3442">
        <v>15</v>
      </c>
    </row>
    <row r="98" spans="1:6" s="1071" customFormat="1" ht="24">
      <c r="A98" s="3442">
        <v>26</v>
      </c>
      <c r="B98" s="3726"/>
      <c r="C98" s="3420" t="s">
        <v>3024</v>
      </c>
      <c r="D98" s="3420" t="s">
        <v>3025</v>
      </c>
      <c r="E98" s="3443">
        <v>0.1</v>
      </c>
      <c r="F98" s="3442">
        <v>15</v>
      </c>
    </row>
    <row r="99" spans="1:6" s="1071" customFormat="1" ht="24">
      <c r="A99" s="3442">
        <v>27</v>
      </c>
      <c r="B99" s="3726"/>
      <c r="C99" s="3420" t="s">
        <v>3026</v>
      </c>
      <c r="D99" s="3420" t="s">
        <v>3027</v>
      </c>
      <c r="E99" s="3443">
        <v>0.1</v>
      </c>
      <c r="F99" s="3442">
        <v>15</v>
      </c>
    </row>
    <row r="100" spans="1:6" s="1071" customFormat="1" ht="24">
      <c r="A100" s="3442">
        <v>28</v>
      </c>
      <c r="B100" s="3726"/>
      <c r="C100" s="3420" t="s">
        <v>3028</v>
      </c>
      <c r="D100" s="3420" t="s">
        <v>3029</v>
      </c>
      <c r="E100" s="3443">
        <v>0.1</v>
      </c>
      <c r="F100" s="3442">
        <v>15</v>
      </c>
    </row>
    <row r="101" spans="1:6" s="1071" customFormat="1" ht="24">
      <c r="A101" s="3442">
        <v>29</v>
      </c>
      <c r="B101" s="3726"/>
      <c r="C101" s="3420" t="s">
        <v>3030</v>
      </c>
      <c r="D101" s="3420" t="s">
        <v>3031</v>
      </c>
      <c r="E101" s="3443">
        <v>0.1</v>
      </c>
      <c r="F101" s="3442">
        <v>15</v>
      </c>
    </row>
    <row r="102" spans="1:6" s="1071" customFormat="1" ht="24">
      <c r="A102" s="3442">
        <v>30</v>
      </c>
      <c r="B102" s="3726"/>
      <c r="C102" s="3420" t="s">
        <v>3032</v>
      </c>
      <c r="D102" s="3420" t="s">
        <v>3033</v>
      </c>
      <c r="E102" s="3443">
        <v>0.1</v>
      </c>
      <c r="F102" s="3442">
        <v>15</v>
      </c>
    </row>
    <row r="103" spans="1:6" s="1071" customFormat="1" ht="24">
      <c r="A103" s="3442">
        <v>31</v>
      </c>
      <c r="B103" s="3726"/>
      <c r="C103" s="3420" t="s">
        <v>3034</v>
      </c>
      <c r="D103" s="3420" t="s">
        <v>3035</v>
      </c>
      <c r="E103" s="3443">
        <v>0.1</v>
      </c>
      <c r="F103" s="3442">
        <v>15</v>
      </c>
    </row>
    <row r="104" spans="1:6" s="1071" customFormat="1" ht="24">
      <c r="A104" s="3442">
        <v>32</v>
      </c>
      <c r="B104" s="3726"/>
      <c r="C104" s="3420" t="s">
        <v>3036</v>
      </c>
      <c r="D104" s="3420" t="s">
        <v>3037</v>
      </c>
      <c r="E104" s="3443">
        <v>0.1</v>
      </c>
      <c r="F104" s="3442">
        <v>15</v>
      </c>
    </row>
    <row r="105" spans="1:6" s="1071" customFormat="1" ht="24">
      <c r="A105" s="3442">
        <v>33</v>
      </c>
      <c r="B105" s="3726"/>
      <c r="C105" s="3420" t="s">
        <v>3038</v>
      </c>
      <c r="D105" s="3420" t="s">
        <v>3039</v>
      </c>
      <c r="E105" s="3443">
        <v>0.1</v>
      </c>
      <c r="F105" s="3442">
        <v>15</v>
      </c>
    </row>
    <row r="106" spans="1:6" s="1071" customFormat="1" ht="24">
      <c r="A106" s="3442">
        <v>34</v>
      </c>
      <c r="B106" s="3721"/>
      <c r="C106" s="3420" t="s">
        <v>3040</v>
      </c>
      <c r="D106" s="3420" t="s">
        <v>3041</v>
      </c>
      <c r="E106" s="3443">
        <v>0.1</v>
      </c>
      <c r="F106" s="3442">
        <v>15</v>
      </c>
    </row>
    <row r="107" spans="1:6" s="1071" customFormat="1" ht="24">
      <c r="A107" s="3442">
        <v>35</v>
      </c>
      <c r="B107" s="3720" t="s">
        <v>3042</v>
      </c>
      <c r="C107" s="3442" t="s">
        <v>3043</v>
      </c>
      <c r="D107" s="3420" t="s">
        <v>3044</v>
      </c>
      <c r="E107" s="3443">
        <v>0.15</v>
      </c>
      <c r="F107" s="3442">
        <v>20</v>
      </c>
    </row>
    <row r="108" spans="1:6" s="1071" customFormat="1" ht="24">
      <c r="A108" s="3442">
        <v>36</v>
      </c>
      <c r="B108" s="3726"/>
      <c r="C108" s="3442" t="s">
        <v>3045</v>
      </c>
      <c r="D108" s="3420" t="s">
        <v>3046</v>
      </c>
      <c r="E108" s="3443">
        <v>0.15</v>
      </c>
      <c r="F108" s="3442">
        <v>20</v>
      </c>
    </row>
    <row r="109" spans="1:6" s="1071" customFormat="1" ht="24">
      <c r="A109" s="3442">
        <v>37</v>
      </c>
      <c r="B109" s="3726"/>
      <c r="C109" s="3442" t="s">
        <v>3047</v>
      </c>
      <c r="D109" s="3420" t="s">
        <v>3048</v>
      </c>
      <c r="E109" s="3443">
        <v>0.15</v>
      </c>
      <c r="F109" s="3442">
        <v>20</v>
      </c>
    </row>
    <row r="110" spans="1:6" s="1071" customFormat="1">
      <c r="A110" s="3442">
        <v>38</v>
      </c>
      <c r="B110" s="3726"/>
      <c r="C110" s="3442" t="s">
        <v>3049</v>
      </c>
      <c r="D110" s="3420" t="s">
        <v>3050</v>
      </c>
      <c r="E110" s="3443">
        <v>0.1</v>
      </c>
      <c r="F110" s="3442">
        <v>15</v>
      </c>
    </row>
    <row r="111" spans="1:6" s="1071" customFormat="1" ht="24">
      <c r="A111" s="3442">
        <v>39</v>
      </c>
      <c r="B111" s="3726"/>
      <c r="C111" s="3442" t="s">
        <v>3051</v>
      </c>
      <c r="D111" s="3420" t="s">
        <v>3052</v>
      </c>
      <c r="E111" s="3443">
        <v>0.1</v>
      </c>
      <c r="F111" s="3442">
        <v>15</v>
      </c>
    </row>
    <row r="112" spans="1:6" s="1071" customFormat="1" ht="24">
      <c r="A112" s="3442">
        <v>40</v>
      </c>
      <c r="B112" s="3721"/>
      <c r="C112" s="3442" t="s">
        <v>3053</v>
      </c>
      <c r="D112" s="3420" t="s">
        <v>3054</v>
      </c>
      <c r="E112" s="3443">
        <v>0.1</v>
      </c>
      <c r="F112" s="3442">
        <v>15</v>
      </c>
    </row>
    <row r="113" spans="1:6" s="1071" customFormat="1" ht="24">
      <c r="A113" s="3442">
        <v>41</v>
      </c>
      <c r="B113" s="3719" t="s">
        <v>3055</v>
      </c>
      <c r="C113" s="3442" t="s">
        <v>3056</v>
      </c>
      <c r="D113" s="3420" t="s">
        <v>3057</v>
      </c>
      <c r="E113" s="3443">
        <v>0.1</v>
      </c>
      <c r="F113" s="3442">
        <v>15</v>
      </c>
    </row>
    <row r="114" spans="1:6" s="1071" customFormat="1">
      <c r="A114" s="3442">
        <v>42</v>
      </c>
      <c r="B114" s="3719"/>
      <c r="C114" s="3442" t="s">
        <v>3058</v>
      </c>
      <c r="D114" s="3420" t="s">
        <v>3059</v>
      </c>
      <c r="E114" s="3443">
        <v>0.1</v>
      </c>
      <c r="F114" s="3442">
        <v>15</v>
      </c>
    </row>
    <row r="115" spans="1:6" s="1071" customFormat="1" ht="24">
      <c r="A115" s="3442">
        <v>43</v>
      </c>
      <c r="B115" s="3719"/>
      <c r="C115" s="3442" t="s">
        <v>3060</v>
      </c>
      <c r="D115" s="3420" t="s">
        <v>3061</v>
      </c>
      <c r="E115" s="3443">
        <v>0.1</v>
      </c>
      <c r="F115" s="3442">
        <v>15</v>
      </c>
    </row>
    <row r="116" spans="1:6" s="1071" customFormat="1" ht="24">
      <c r="A116" s="3442">
        <v>44</v>
      </c>
      <c r="B116" s="3720" t="s">
        <v>3062</v>
      </c>
      <c r="C116" s="3442" t="s">
        <v>3063</v>
      </c>
      <c r="D116" s="3420" t="s">
        <v>3064</v>
      </c>
      <c r="E116" s="3443">
        <v>0.1</v>
      </c>
      <c r="F116" s="3442">
        <v>15</v>
      </c>
    </row>
    <row r="117" spans="1:6" s="1071" customFormat="1" ht="24">
      <c r="A117" s="3442">
        <v>45</v>
      </c>
      <c r="B117" s="3721"/>
      <c r="C117" s="3420" t="s">
        <v>3065</v>
      </c>
      <c r="D117" s="3420" t="s">
        <v>3066</v>
      </c>
      <c r="E117" s="3443">
        <v>0.1</v>
      </c>
      <c r="F117" s="3442">
        <v>15</v>
      </c>
    </row>
    <row r="118" spans="1:6" s="1071" customFormat="1" ht="24">
      <c r="A118" s="3442">
        <v>46</v>
      </c>
      <c r="B118" s="3720" t="s">
        <v>3067</v>
      </c>
      <c r="C118" s="3442" t="s">
        <v>3068</v>
      </c>
      <c r="D118" s="3420" t="s">
        <v>3069</v>
      </c>
      <c r="E118" s="3443">
        <v>0.1</v>
      </c>
      <c r="F118" s="3442">
        <v>15</v>
      </c>
    </row>
    <row r="119" spans="1:6" s="1071" customFormat="1" ht="24">
      <c r="A119" s="3442">
        <v>47</v>
      </c>
      <c r="B119" s="3721"/>
      <c r="C119" s="3442" t="s">
        <v>3070</v>
      </c>
      <c r="D119" s="3420" t="s">
        <v>3071</v>
      </c>
      <c r="E119" s="3443">
        <v>0.1</v>
      </c>
      <c r="F119" s="3442">
        <v>15</v>
      </c>
    </row>
    <row r="120" spans="1:6" s="1071" customFormat="1" ht="24">
      <c r="A120" s="3442">
        <v>48</v>
      </c>
      <c r="B120" s="3720" t="s">
        <v>3072</v>
      </c>
      <c r="C120" s="3442" t="s">
        <v>3073</v>
      </c>
      <c r="D120" s="3420" t="s">
        <v>3074</v>
      </c>
      <c r="E120" s="3443">
        <v>0.1</v>
      </c>
      <c r="F120" s="3442">
        <v>15</v>
      </c>
    </row>
    <row r="121" spans="1:6" s="1071" customFormat="1">
      <c r="A121" s="3442">
        <v>49</v>
      </c>
      <c r="B121" s="3721"/>
      <c r="C121" s="3442" t="s">
        <v>3075</v>
      </c>
      <c r="D121" s="3420" t="s">
        <v>3076</v>
      </c>
      <c r="E121" s="3443">
        <v>0.1</v>
      </c>
      <c r="F121" s="3442">
        <v>15</v>
      </c>
    </row>
    <row r="122" spans="1:6" s="1071" customFormat="1" ht="24">
      <c r="A122" s="3442">
        <v>50</v>
      </c>
      <c r="B122" s="3719" t="s">
        <v>3077</v>
      </c>
      <c r="C122" s="3442" t="s">
        <v>3078</v>
      </c>
      <c r="D122" s="3420" t="s">
        <v>3079</v>
      </c>
      <c r="E122" s="3443">
        <v>0.1</v>
      </c>
      <c r="F122" s="3442">
        <v>15</v>
      </c>
    </row>
    <row r="123" spans="1:6" s="1071" customFormat="1" ht="24">
      <c r="A123" s="3442">
        <v>51</v>
      </c>
      <c r="B123" s="3719"/>
      <c r="C123" s="3442" t="s">
        <v>3080</v>
      </c>
      <c r="D123" s="3420" t="s">
        <v>3081</v>
      </c>
      <c r="E123" s="3443">
        <v>0.1</v>
      </c>
      <c r="F123" s="3442">
        <v>15</v>
      </c>
    </row>
    <row r="124" spans="1:6" s="1071" customFormat="1" ht="24">
      <c r="A124" s="3442">
        <v>52</v>
      </c>
      <c r="B124" s="3719" t="s">
        <v>3082</v>
      </c>
      <c r="C124" s="3442" t="s">
        <v>3083</v>
      </c>
      <c r="D124" s="3420" t="s">
        <v>3084</v>
      </c>
      <c r="E124" s="3443">
        <v>0.1</v>
      </c>
      <c r="F124" s="3442">
        <v>15</v>
      </c>
    </row>
    <row r="125" spans="1:6" s="1071" customFormat="1" ht="24">
      <c r="A125" s="3442">
        <v>53</v>
      </c>
      <c r="B125" s="3719"/>
      <c r="C125" s="3442" t="s">
        <v>3085</v>
      </c>
      <c r="D125" s="3420" t="s">
        <v>3086</v>
      </c>
      <c r="E125" s="3443">
        <v>0.1</v>
      </c>
      <c r="F125" s="3442">
        <v>15</v>
      </c>
    </row>
    <row r="126" spans="1:6" ht="24">
      <c r="A126" s="3442">
        <v>54</v>
      </c>
      <c r="B126" s="3442" t="s">
        <v>3087</v>
      </c>
      <c r="C126" s="3442" t="s">
        <v>3088</v>
      </c>
      <c r="D126" s="3420" t="s">
        <v>3089</v>
      </c>
      <c r="E126" s="3443">
        <v>0.1</v>
      </c>
      <c r="F126" s="3442">
        <v>15</v>
      </c>
    </row>
    <row r="127" spans="1:6">
      <c r="A127" s="3442">
        <v>55</v>
      </c>
      <c r="B127" s="3719" t="s">
        <v>3090</v>
      </c>
      <c r="C127" s="3442" t="s">
        <v>3091</v>
      </c>
      <c r="D127" s="3420" t="s">
        <v>3092</v>
      </c>
      <c r="E127" s="3443">
        <v>0.1</v>
      </c>
      <c r="F127" s="3442">
        <v>15</v>
      </c>
    </row>
    <row r="128" spans="1:6">
      <c r="A128" s="3442">
        <v>56</v>
      </c>
      <c r="B128" s="3719"/>
      <c r="C128" s="3442" t="s">
        <v>3093</v>
      </c>
      <c r="D128" s="3420" t="s">
        <v>3094</v>
      </c>
      <c r="E128" s="3443">
        <v>0.1</v>
      </c>
      <c r="F128" s="3442">
        <v>15</v>
      </c>
    </row>
    <row r="129" spans="1:14" ht="24">
      <c r="A129" s="3442">
        <v>57</v>
      </c>
      <c r="B129" s="3719"/>
      <c r="C129" s="3442" t="s">
        <v>3095</v>
      </c>
      <c r="D129" s="3420" t="s">
        <v>3096</v>
      </c>
      <c r="E129" s="3443">
        <v>0.1</v>
      </c>
      <c r="F129" s="3442">
        <v>15</v>
      </c>
    </row>
    <row r="130" spans="1:14" ht="24">
      <c r="A130" s="3442">
        <v>58</v>
      </c>
      <c r="B130" s="3719" t="s">
        <v>3097</v>
      </c>
      <c r="C130" s="3442" t="s">
        <v>3098</v>
      </c>
      <c r="D130" s="3420" t="s">
        <v>3099</v>
      </c>
      <c r="E130" s="3443">
        <v>0.1</v>
      </c>
      <c r="F130" s="3442">
        <v>15</v>
      </c>
    </row>
    <row r="131" spans="1:14" ht="24">
      <c r="A131" s="3442">
        <v>59</v>
      </c>
      <c r="B131" s="3719"/>
      <c r="C131" s="3442" t="s">
        <v>3100</v>
      </c>
      <c r="D131" s="3420" t="s">
        <v>3101</v>
      </c>
      <c r="E131" s="3443">
        <v>0.1</v>
      </c>
      <c r="F131" s="3442">
        <v>15</v>
      </c>
    </row>
    <row r="132" spans="1:14" ht="24">
      <c r="A132" s="3442">
        <v>60</v>
      </c>
      <c r="B132" s="3720" t="s">
        <v>3102</v>
      </c>
      <c r="C132" s="3442" t="s">
        <v>3103</v>
      </c>
      <c r="D132" s="3420" t="s">
        <v>3104</v>
      </c>
      <c r="E132" s="3443">
        <v>0.1</v>
      </c>
      <c r="F132" s="3442">
        <v>15</v>
      </c>
    </row>
    <row r="133" spans="1:14" ht="24">
      <c r="A133" s="3442">
        <v>61</v>
      </c>
      <c r="B133" s="3721"/>
      <c r="C133" s="3442" t="s">
        <v>3105</v>
      </c>
      <c r="D133" s="3420" t="s">
        <v>3106</v>
      </c>
      <c r="E133" s="3443">
        <v>0.1</v>
      </c>
      <c r="F133" s="3442">
        <v>15</v>
      </c>
    </row>
    <row r="134" spans="1:14" ht="24">
      <c r="A134" s="3442">
        <v>62</v>
      </c>
      <c r="B134" s="3442" t="s">
        <v>3107</v>
      </c>
      <c r="C134" s="3442" t="s">
        <v>3108</v>
      </c>
      <c r="D134" s="3420" t="s">
        <v>3109</v>
      </c>
      <c r="E134" s="3443">
        <v>0.1</v>
      </c>
      <c r="F134" s="3442">
        <v>15</v>
      </c>
    </row>
    <row r="135" spans="1:14" ht="24">
      <c r="A135" s="3442">
        <v>63</v>
      </c>
      <c r="B135" s="3719" t="s">
        <v>3110</v>
      </c>
      <c r="C135" s="3442" t="s">
        <v>3111</v>
      </c>
      <c r="D135" s="3420" t="s">
        <v>3112</v>
      </c>
      <c r="E135" s="3443">
        <v>0.1</v>
      </c>
      <c r="F135" s="3442">
        <v>15</v>
      </c>
    </row>
    <row r="136" spans="1:14">
      <c r="A136" s="3442">
        <v>64</v>
      </c>
      <c r="B136" s="3719"/>
      <c r="C136" s="3442" t="s">
        <v>3113</v>
      </c>
      <c r="D136" s="3420" t="s">
        <v>3114</v>
      </c>
      <c r="E136" s="3443">
        <v>0.1</v>
      </c>
      <c r="F136" s="3442">
        <v>15</v>
      </c>
    </row>
    <row r="137" spans="1:14" ht="24">
      <c r="A137" s="3442">
        <v>65</v>
      </c>
      <c r="B137" s="3442" t="s">
        <v>3115</v>
      </c>
      <c r="C137" s="3442" t="s">
        <v>3116</v>
      </c>
      <c r="D137" s="3420" t="s">
        <v>3117</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704" t="s">
        <v>1434</v>
      </c>
      <c r="B141" s="3704"/>
      <c r="C141" s="3704"/>
      <c r="D141" s="3704"/>
      <c r="E141" s="3704"/>
      <c r="F141" s="3704"/>
      <c r="G141" s="3704"/>
      <c r="H141" s="3704"/>
      <c r="I141" s="3704"/>
      <c r="J141" s="3704"/>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31" t="s">
        <v>1018</v>
      </c>
      <c r="B1" s="3731"/>
      <c r="C1" s="3731"/>
      <c r="D1" s="3731"/>
      <c r="E1" s="3731"/>
      <c r="F1" s="3731"/>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32" t="s">
        <v>1031</v>
      </c>
      <c r="B2" s="3732"/>
      <c r="C2" s="3732"/>
      <c r="D2" s="3732"/>
      <c r="E2" s="3732"/>
      <c r="F2" s="3732"/>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33"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34"/>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35" t="s">
        <v>1871</v>
      </c>
      <c r="B1" s="3735"/>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38" t="s">
        <v>2293</v>
      </c>
      <c r="C1" s="3738"/>
      <c r="D1" s="3738"/>
      <c r="E1" s="3738"/>
      <c r="F1" s="3738"/>
      <c r="G1" s="3737" t="s">
        <v>2294</v>
      </c>
      <c r="H1" s="3737"/>
      <c r="I1" s="3737"/>
      <c r="J1" s="3737"/>
      <c r="K1" s="3737"/>
      <c r="L1" s="3737"/>
      <c r="N1" s="3737" t="s">
        <v>2295</v>
      </c>
      <c r="O1" s="3737"/>
      <c r="P1" s="3737"/>
      <c r="Q1" s="3737"/>
      <c r="S1" s="3737" t="s">
        <v>2296</v>
      </c>
      <c r="T1" s="3737"/>
      <c r="U1" s="3737"/>
      <c r="V1" s="3737"/>
      <c r="X1" s="3736" t="s">
        <v>2356</v>
      </c>
      <c r="Y1" s="3737"/>
      <c r="Z1" s="3737"/>
      <c r="AA1" s="3737"/>
      <c r="AB1" s="3737"/>
      <c r="AD1" s="3736" t="s">
        <v>2360</v>
      </c>
      <c r="AE1" s="3737"/>
      <c r="AF1" s="3737"/>
      <c r="AG1" s="3737"/>
      <c r="AH1" s="3737"/>
    </row>
    <row r="2" spans="1:34" s="2784" customFormat="1" ht="14.25" thickBot="1">
      <c r="B2" s="2785" t="s">
        <v>2297</v>
      </c>
      <c r="C2" s="2785" t="s">
        <v>2358</v>
      </c>
      <c r="D2" s="2786" t="s">
        <v>1444</v>
      </c>
      <c r="E2" s="2786" t="s">
        <v>1741</v>
      </c>
      <c r="F2" s="2785" t="s">
        <v>2359</v>
      </c>
      <c r="G2" s="2787"/>
      <c r="I2" s="2785" t="s">
        <v>2656</v>
      </c>
      <c r="J2" s="2786" t="s">
        <v>2658</v>
      </c>
      <c r="K2" s="2786" t="s">
        <v>2659</v>
      </c>
      <c r="L2" s="2785" t="s">
        <v>2660</v>
      </c>
      <c r="N2" s="2785" t="s">
        <v>2297</v>
      </c>
      <c r="O2" s="2786" t="s">
        <v>2657</v>
      </c>
      <c r="P2" s="2786" t="s">
        <v>1741</v>
      </c>
      <c r="Q2" s="2785" t="s">
        <v>2359</v>
      </c>
      <c r="S2" s="2785" t="s">
        <v>2297</v>
      </c>
      <c r="T2" s="2786" t="s">
        <v>2657</v>
      </c>
      <c r="U2" s="2786" t="s">
        <v>1741</v>
      </c>
      <c r="V2" s="2785" t="s">
        <v>2359</v>
      </c>
      <c r="X2" s="2785" t="s">
        <v>2297</v>
      </c>
      <c r="Y2" s="2785" t="s">
        <v>2358</v>
      </c>
      <c r="Z2" s="2786" t="s">
        <v>1444</v>
      </c>
      <c r="AA2" s="2786" t="s">
        <v>1741</v>
      </c>
      <c r="AB2" s="2785" t="s">
        <v>2359</v>
      </c>
      <c r="AD2" s="2785" t="s">
        <v>2297</v>
      </c>
      <c r="AE2" s="2785" t="s">
        <v>2358</v>
      </c>
      <c r="AF2" s="2786" t="s">
        <v>1444</v>
      </c>
      <c r="AG2" s="2786" t="s">
        <v>1741</v>
      </c>
      <c r="AH2" s="2785" t="s">
        <v>2359</v>
      </c>
    </row>
    <row r="3" spans="1:34" s="2794" customFormat="1" ht="14.25">
      <c r="A3" s="2788" t="s">
        <v>2667</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2891</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2890</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2889</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2888</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2887</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2736</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2735</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2734</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2733</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2731</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2730</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2694</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2692</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2690</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2689</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2686</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2685</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2683</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40">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2676</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40"/>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2677</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40"/>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2673</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46"/>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2666</v>
      </c>
      <c r="B26" s="2824">
        <v>439</v>
      </c>
      <c r="C26" s="2824">
        <v>327</v>
      </c>
      <c r="D26" s="2824">
        <f t="shared" si="219"/>
        <v>327</v>
      </c>
      <c r="E26" s="2824">
        <v>627</v>
      </c>
      <c r="F26" s="2825">
        <v>283</v>
      </c>
      <c r="G26" s="3745">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2668</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40"/>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2298</v>
      </c>
      <c r="B28" s="2808">
        <f t="shared" si="231"/>
        <v>419.31181600000002</v>
      </c>
      <c r="C28" s="2808">
        <f t="shared" si="231"/>
        <v>313.95436800000004</v>
      </c>
      <c r="D28" s="2808">
        <f t="shared" si="219"/>
        <v>313.95436800000004</v>
      </c>
      <c r="E28" s="2808">
        <f t="shared" si="232"/>
        <v>596.63028431999999</v>
      </c>
      <c r="F28" s="2808">
        <f t="shared" si="232"/>
        <v>274.74220703999998</v>
      </c>
      <c r="G28" s="3740"/>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2299</v>
      </c>
      <c r="B29" s="2808">
        <f t="shared" si="231"/>
        <v>405.524</v>
      </c>
      <c r="C29" s="2808">
        <f t="shared" si="231"/>
        <v>307.79840000000002</v>
      </c>
      <c r="D29" s="2808">
        <f t="shared" si="219"/>
        <v>307.79840000000002</v>
      </c>
      <c r="E29" s="2808">
        <f t="shared" si="232"/>
        <v>574.67759999999998</v>
      </c>
      <c r="F29" s="2808">
        <f t="shared" si="232"/>
        <v>270.20280000000002</v>
      </c>
      <c r="G29" s="3746"/>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45">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40"/>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40"/>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41"/>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39">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40"/>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40"/>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41"/>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39">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40"/>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40"/>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41"/>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2357</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2300</v>
      </c>
      <c r="B42" s="2829">
        <v>299</v>
      </c>
      <c r="C42" s="2829">
        <v>252</v>
      </c>
      <c r="D42" s="2829">
        <f t="shared" si="241"/>
        <v>252</v>
      </c>
      <c r="E42" s="2829">
        <v>409</v>
      </c>
      <c r="F42" s="2830">
        <v>227</v>
      </c>
      <c r="G42" s="3742">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2301</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43"/>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2302</v>
      </c>
      <c r="B44" s="2808">
        <f t="shared" si="250"/>
        <v>288.2649053828776</v>
      </c>
      <c r="C44" s="2808">
        <f t="shared" si="250"/>
        <v>243.64564425013293</v>
      </c>
      <c r="D44" s="2808">
        <f t="shared" si="241"/>
        <v>243.64564425013293</v>
      </c>
      <c r="E44" s="2808">
        <f t="shared" si="251"/>
        <v>393.31080825986544</v>
      </c>
      <c r="F44" s="2808">
        <f t="shared" si="251"/>
        <v>223.07903790551154</v>
      </c>
      <c r="G44" s="3743"/>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2303</v>
      </c>
      <c r="B45" s="2808">
        <f t="shared" si="250"/>
        <v>282.50186729015837</v>
      </c>
      <c r="C45" s="2808">
        <f t="shared" si="250"/>
        <v>238.09796174155468</v>
      </c>
      <c r="D45" s="2808">
        <f t="shared" si="241"/>
        <v>238.09796174155468</v>
      </c>
      <c r="E45" s="2808">
        <f t="shared" si="251"/>
        <v>385.33438646014054</v>
      </c>
      <c r="F45" s="2808">
        <f t="shared" si="251"/>
        <v>221.55034055567739</v>
      </c>
      <c r="G45" s="3744"/>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2304</v>
      </c>
      <c r="B46" s="2857">
        <v>278</v>
      </c>
      <c r="C46" s="2857">
        <v>234</v>
      </c>
      <c r="D46" s="2857">
        <f t="shared" si="241"/>
        <v>234</v>
      </c>
      <c r="E46" s="2857">
        <v>379</v>
      </c>
      <c r="F46" s="2858">
        <v>220</v>
      </c>
      <c r="G46" s="3739">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2305</v>
      </c>
      <c r="B47" s="2808">
        <f>B46/(1+N46)</f>
        <v>275.49301357645425</v>
      </c>
      <c r="C47" s="2808">
        <f>C46/(1+O46)</f>
        <v>232.41954707985698</v>
      </c>
      <c r="D47" s="2808">
        <f t="shared" si="241"/>
        <v>232.41954707985698</v>
      </c>
      <c r="E47" s="2808">
        <f t="shared" ref="E47:F49" si="252">E46/(1+P46)</f>
        <v>375.32184591008121</v>
      </c>
      <c r="F47" s="2808">
        <f t="shared" si="252"/>
        <v>218.03766105054513</v>
      </c>
      <c r="G47" s="3740"/>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2306</v>
      </c>
      <c r="B48" s="2808">
        <f>B47/(1+N47)</f>
        <v>275.24529281292263</v>
      </c>
      <c r="C48" s="2808">
        <f>C47/(1+O47)</f>
        <v>231.74747938962707</v>
      </c>
      <c r="D48" s="2808">
        <f t="shared" si="241"/>
        <v>231.74747938962707</v>
      </c>
      <c r="E48" s="2808">
        <f t="shared" si="252"/>
        <v>375.35938184826603</v>
      </c>
      <c r="F48" s="2808">
        <f t="shared" si="252"/>
        <v>216.78033510692495</v>
      </c>
      <c r="G48" s="3740"/>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2307</v>
      </c>
      <c r="B49" s="2808">
        <f>B48/(1+N48)</f>
        <v>275.19025476197027</v>
      </c>
      <c r="C49" s="2859">
        <v>232</v>
      </c>
      <c r="D49" s="2859">
        <f t="shared" si="241"/>
        <v>232</v>
      </c>
      <c r="E49" s="2808">
        <f t="shared" si="252"/>
        <v>375.65990977608692</v>
      </c>
      <c r="F49" s="2808">
        <f t="shared" si="252"/>
        <v>214.12518283971252</v>
      </c>
      <c r="G49" s="3741"/>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2308</v>
      </c>
      <c r="B50" s="2829">
        <v>275</v>
      </c>
      <c r="C50" s="2829">
        <v>232</v>
      </c>
      <c r="D50" s="2829">
        <f t="shared" si="241"/>
        <v>232</v>
      </c>
      <c r="E50" s="2829">
        <v>376</v>
      </c>
      <c r="F50" s="2830">
        <v>213</v>
      </c>
      <c r="G50" s="3739">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2309</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40">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2310</v>
      </c>
      <c r="B52" s="2808">
        <f t="shared" si="253"/>
        <v>275.19335084830601</v>
      </c>
      <c r="C52" s="2808">
        <f t="shared" si="253"/>
        <v>230.18088050139744</v>
      </c>
      <c r="D52" s="2808">
        <f t="shared" si="241"/>
        <v>230.18088050139744</v>
      </c>
      <c r="E52" s="2808">
        <f t="shared" si="254"/>
        <v>377.58482925212331</v>
      </c>
      <c r="F52" s="2808">
        <f t="shared" si="254"/>
        <v>210.90687997847917</v>
      </c>
      <c r="G52" s="3740">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2311</v>
      </c>
      <c r="B53" s="2808">
        <f t="shared" si="253"/>
        <v>276.29854502841971</v>
      </c>
      <c r="C53" s="2808">
        <f t="shared" si="253"/>
        <v>229.79023709833027</v>
      </c>
      <c r="D53" s="2808">
        <f t="shared" si="241"/>
        <v>229.79023709833027</v>
      </c>
      <c r="E53" s="2808">
        <f t="shared" si="254"/>
        <v>379.78759731655936</v>
      </c>
      <c r="F53" s="2808">
        <f t="shared" si="254"/>
        <v>211.32953905659235</v>
      </c>
      <c r="G53" s="3741">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2312</v>
      </c>
      <c r="B54" s="2829">
        <v>269</v>
      </c>
      <c r="C54" s="2829">
        <v>221</v>
      </c>
      <c r="D54" s="2829">
        <f t="shared" si="241"/>
        <v>221</v>
      </c>
      <c r="E54" s="2829">
        <v>373</v>
      </c>
      <c r="F54" s="2830">
        <v>196</v>
      </c>
      <c r="G54" s="3739">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2313</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40">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2314</v>
      </c>
      <c r="B56" s="2808">
        <f t="shared" si="255"/>
        <v>242.95398227588385</v>
      </c>
      <c r="C56" s="2808">
        <f t="shared" si="255"/>
        <v>199.59137053614126</v>
      </c>
      <c r="D56" s="2808">
        <f t="shared" si="241"/>
        <v>199.59137053614126</v>
      </c>
      <c r="E56" s="2808">
        <f t="shared" si="256"/>
        <v>335.92189522342125</v>
      </c>
      <c r="F56" s="2808">
        <f t="shared" si="256"/>
        <v>183.10139991109489</v>
      </c>
      <c r="G56" s="3740">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2315</v>
      </c>
      <c r="B57" s="2808">
        <f t="shared" si="255"/>
        <v>232.06990378821649</v>
      </c>
      <c r="C57" s="2808">
        <f t="shared" si="255"/>
        <v>192.74878854286936</v>
      </c>
      <c r="D57" s="2808">
        <f t="shared" si="241"/>
        <v>192.74878854286936</v>
      </c>
      <c r="E57" s="2808">
        <f t="shared" si="256"/>
        <v>319.71247284992984</v>
      </c>
      <c r="F57" s="2808">
        <f t="shared" si="256"/>
        <v>175.67053622862409</v>
      </c>
      <c r="G57" s="3741">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2316</v>
      </c>
      <c r="B58" s="2829">
        <v>220</v>
      </c>
      <c r="C58" s="2829">
        <v>187</v>
      </c>
      <c r="D58" s="2829">
        <f t="shared" si="241"/>
        <v>187</v>
      </c>
      <c r="E58" s="2829">
        <v>301</v>
      </c>
      <c r="F58" s="2830">
        <v>168</v>
      </c>
      <c r="G58" s="3739">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2317</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40">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2318</v>
      </c>
      <c r="B60" s="2808">
        <f t="shared" si="257"/>
        <v>210.630522469011</v>
      </c>
      <c r="C60" s="2808">
        <f t="shared" si="257"/>
        <v>181.69567812247232</v>
      </c>
      <c r="D60" s="2808">
        <f t="shared" si="241"/>
        <v>181.69567812247232</v>
      </c>
      <c r="E60" s="2808">
        <f t="shared" si="258"/>
        <v>286.13517466736738</v>
      </c>
      <c r="F60" s="2808">
        <f t="shared" si="258"/>
        <v>165.47535084591149</v>
      </c>
      <c r="G60" s="3740">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2319</v>
      </c>
      <c r="B61" s="2808">
        <f t="shared" si="257"/>
        <v>208.83454537875372</v>
      </c>
      <c r="C61" s="2808">
        <f t="shared" si="257"/>
        <v>183.77230517090351</v>
      </c>
      <c r="D61" s="2808">
        <f t="shared" si="241"/>
        <v>183.77230517090351</v>
      </c>
      <c r="E61" s="2808">
        <f t="shared" si="258"/>
        <v>281.10342338870947</v>
      </c>
      <c r="F61" s="2808">
        <f t="shared" si="258"/>
        <v>168.97309388942256</v>
      </c>
      <c r="G61" s="3741">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2320</v>
      </c>
      <c r="B62" s="2857">
        <v>214</v>
      </c>
      <c r="C62" s="2857">
        <v>188</v>
      </c>
      <c r="D62" s="2857">
        <f t="shared" si="241"/>
        <v>188</v>
      </c>
      <c r="E62" s="2857">
        <v>289</v>
      </c>
      <c r="F62" s="2858">
        <v>166</v>
      </c>
      <c r="G62" s="3739">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2321</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40">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2322</v>
      </c>
      <c r="B64" s="2808">
        <f t="shared" si="259"/>
        <v>206.31694671589116</v>
      </c>
      <c r="C64" s="2808">
        <f t="shared" si="259"/>
        <v>183.61041121036101</v>
      </c>
      <c r="D64" s="2808">
        <f t="shared" si="241"/>
        <v>183.61041121036101</v>
      </c>
      <c r="E64" s="2808">
        <f t="shared" si="260"/>
        <v>276.66850301795557</v>
      </c>
      <c r="F64" s="2808">
        <f t="shared" si="260"/>
        <v>165.1360938278614</v>
      </c>
      <c r="G64" s="3740">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2323</v>
      </c>
      <c r="B65" s="2860">
        <f t="shared" si="259"/>
        <v>196.62341248059772</v>
      </c>
      <c r="C65" s="2860">
        <f t="shared" si="259"/>
        <v>170.99125648199012</v>
      </c>
      <c r="D65" s="2860">
        <f t="shared" si="241"/>
        <v>170.99125648199012</v>
      </c>
      <c r="E65" s="2860">
        <f t="shared" si="260"/>
        <v>266.07857570490052</v>
      </c>
      <c r="F65" s="2860">
        <f t="shared" si="260"/>
        <v>154.53499328828505</v>
      </c>
      <c r="G65" s="3741">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2324</v>
      </c>
      <c r="B66" s="2829">
        <v>188</v>
      </c>
      <c r="C66" s="2829">
        <v>165</v>
      </c>
      <c r="D66" s="2829">
        <f t="shared" si="241"/>
        <v>165</v>
      </c>
      <c r="E66" s="2829">
        <v>254</v>
      </c>
      <c r="F66" s="2830">
        <v>148</v>
      </c>
      <c r="G66" s="3739">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2325</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40">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2326</v>
      </c>
      <c r="B68" s="2808">
        <f t="shared" si="263"/>
        <v>168.82017748715555</v>
      </c>
      <c r="C68" s="2808">
        <f t="shared" si="263"/>
        <v>148.06267029972753</v>
      </c>
      <c r="D68" s="2808">
        <f t="shared" si="241"/>
        <v>148.06267029972753</v>
      </c>
      <c r="E68" s="2808">
        <f t="shared" si="264"/>
        <v>216.46288379323747</v>
      </c>
      <c r="F68" s="2808">
        <f t="shared" si="264"/>
        <v>134.23529411764704</v>
      </c>
      <c r="G68" s="3740">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2327</v>
      </c>
      <c r="B69" s="2808">
        <f t="shared" si="263"/>
        <v>163.84913591779542</v>
      </c>
      <c r="C69" s="2808">
        <f t="shared" si="263"/>
        <v>145.0283378746594</v>
      </c>
      <c r="D69" s="2808">
        <f t="shared" si="241"/>
        <v>145.0283378746594</v>
      </c>
      <c r="E69" s="2808">
        <f t="shared" si="264"/>
        <v>204.95180722891567</v>
      </c>
      <c r="F69" s="2808">
        <f t="shared" si="264"/>
        <v>125.95920303605313</v>
      </c>
      <c r="G69" s="3741">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2328</v>
      </c>
      <c r="B70" s="2836">
        <v>159</v>
      </c>
      <c r="C70" s="2836">
        <v>141</v>
      </c>
      <c r="D70" s="2836">
        <f t="shared" si="241"/>
        <v>141</v>
      </c>
      <c r="E70" s="2836">
        <v>195</v>
      </c>
      <c r="F70" s="2837">
        <v>122</v>
      </c>
      <c r="G70" s="3739">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2329</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40">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2330</v>
      </c>
      <c r="B72" s="2808">
        <f t="shared" si="267"/>
        <v>146.57412060301507</v>
      </c>
      <c r="C72" s="2808">
        <f t="shared" si="267"/>
        <v>136.46831955922866</v>
      </c>
      <c r="D72" s="2808">
        <f t="shared" si="241"/>
        <v>136.46831955922866</v>
      </c>
      <c r="E72" s="2808">
        <f t="shared" si="268"/>
        <v>166.73864894795128</v>
      </c>
      <c r="F72" s="2808">
        <f t="shared" si="268"/>
        <v>115.05882352941177</v>
      </c>
      <c r="G72" s="3740">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2331</v>
      </c>
      <c r="B73" s="2808">
        <f t="shared" si="267"/>
        <v>144.04145728643215</v>
      </c>
      <c r="C73" s="2808">
        <f t="shared" si="267"/>
        <v>136.12396694214877</v>
      </c>
      <c r="D73" s="2808">
        <f t="shared" si="241"/>
        <v>136.12396694214877</v>
      </c>
      <c r="E73" s="2808">
        <f t="shared" si="268"/>
        <v>158.32225913621264</v>
      </c>
      <c r="F73" s="2808">
        <f t="shared" si="268"/>
        <v>114.04278074866311</v>
      </c>
      <c r="G73" s="3741">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2332</v>
      </c>
      <c r="B74" s="2836">
        <v>138</v>
      </c>
      <c r="C74" s="2836">
        <v>131</v>
      </c>
      <c r="D74" s="2836">
        <f t="shared" si="241"/>
        <v>131</v>
      </c>
      <c r="E74" s="2836">
        <v>155</v>
      </c>
      <c r="F74" s="2837">
        <v>114</v>
      </c>
      <c r="G74" s="3739">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2333</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40">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2334</v>
      </c>
      <c r="B76" s="2808">
        <f t="shared" si="271"/>
        <v>124.29032258064517</v>
      </c>
      <c r="C76" s="2808">
        <f t="shared" si="271"/>
        <v>123.8968609865471</v>
      </c>
      <c r="D76" s="2808">
        <f t="shared" si="241"/>
        <v>123.8968609865471</v>
      </c>
      <c r="E76" s="2808">
        <f t="shared" si="272"/>
        <v>138.00507614213197</v>
      </c>
      <c r="F76" s="2808">
        <f t="shared" si="272"/>
        <v>107.96106557377048</v>
      </c>
      <c r="G76" s="3740">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2335</v>
      </c>
      <c r="B77" s="2808">
        <f t="shared" si="271"/>
        <v>122.57204301075269</v>
      </c>
      <c r="C77" s="2808">
        <f t="shared" si="271"/>
        <v>123.4932735426009</v>
      </c>
      <c r="D77" s="2808">
        <f t="shared" si="241"/>
        <v>123.4932735426009</v>
      </c>
      <c r="E77" s="2808">
        <f t="shared" si="272"/>
        <v>129.82233502538071</v>
      </c>
      <c r="F77" s="2808">
        <f t="shared" si="272"/>
        <v>107.39446721311475</v>
      </c>
      <c r="G77" s="3741">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2336</v>
      </c>
      <c r="B78" s="2857">
        <v>121</v>
      </c>
      <c r="C78" s="2857">
        <v>122</v>
      </c>
      <c r="D78" s="2857">
        <f t="shared" si="241"/>
        <v>122</v>
      </c>
      <c r="E78" s="2857">
        <v>124</v>
      </c>
      <c r="F78" s="2858">
        <v>107</v>
      </c>
      <c r="G78" s="3739">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2337</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40">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2338</v>
      </c>
      <c r="B80" s="2808">
        <f t="shared" si="275"/>
        <v>116.99099099099099</v>
      </c>
      <c r="C80" s="2808">
        <f t="shared" si="275"/>
        <v>118.84848484848486</v>
      </c>
      <c r="D80" s="2808">
        <f t="shared" si="241"/>
        <v>118.84848484848486</v>
      </c>
      <c r="E80" s="2808">
        <f t="shared" si="276"/>
        <v>117.60960960960961</v>
      </c>
      <c r="F80" s="2808">
        <f t="shared" si="276"/>
        <v>104</v>
      </c>
      <c r="G80" s="3740">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2339</v>
      </c>
      <c r="B81" s="2860">
        <f t="shared" si="275"/>
        <v>112.48648648648648</v>
      </c>
      <c r="C81" s="2860">
        <f t="shared" si="275"/>
        <v>115.21212121212122</v>
      </c>
      <c r="D81" s="2860">
        <f t="shared" si="241"/>
        <v>115.21212121212122</v>
      </c>
      <c r="E81" s="2860">
        <f t="shared" si="276"/>
        <v>110.4024024024024</v>
      </c>
      <c r="F81" s="2860">
        <f t="shared" si="276"/>
        <v>104</v>
      </c>
      <c r="G81" s="3741">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2340</v>
      </c>
      <c r="B82" s="2877">
        <v>111</v>
      </c>
      <c r="C82" s="2877">
        <v>114</v>
      </c>
      <c r="D82" s="2877">
        <f t="shared" si="241"/>
        <v>114</v>
      </c>
      <c r="E82" s="2877">
        <v>108</v>
      </c>
      <c r="F82" s="2878">
        <v>104</v>
      </c>
      <c r="G82" s="3739">
        <v>2003</v>
      </c>
      <c r="H82" s="2867">
        <v>4</v>
      </c>
      <c r="I82" s="2879"/>
      <c r="J82" s="2879"/>
      <c r="K82" s="2879"/>
      <c r="L82" s="2879"/>
      <c r="N82" s="2880"/>
      <c r="O82" s="2879"/>
      <c r="P82" s="2879"/>
      <c r="Q82" s="2879"/>
      <c r="S82" s="2880"/>
      <c r="T82" s="2879"/>
      <c r="U82" s="2879"/>
      <c r="V82" s="2879"/>
      <c r="X82" s="2871"/>
      <c r="Y82" s="2871"/>
      <c r="Z82" s="2871"/>
    </row>
    <row r="83" spans="1:26">
      <c r="A83" s="2807" t="s">
        <v>2341</v>
      </c>
      <c r="B83" s="2881">
        <f t="shared" ref="B83:C85" si="277">B84+(B$82-B$86)/4</f>
        <v>109.75</v>
      </c>
      <c r="C83" s="2881">
        <f t="shared" si="277"/>
        <v>112.25</v>
      </c>
      <c r="D83" s="2881">
        <f t="shared" si="241"/>
        <v>112.25</v>
      </c>
      <c r="E83" s="2881">
        <f t="shared" ref="E83:F85" si="278">E84+(E$82-E$86)/4</f>
        <v>107.25</v>
      </c>
      <c r="F83" s="2881">
        <f t="shared" si="278"/>
        <v>103.5</v>
      </c>
      <c r="G83" s="3740">
        <v>2003</v>
      </c>
      <c r="H83" s="2834">
        <v>3</v>
      </c>
      <c r="I83" s="2879"/>
      <c r="J83" s="2879"/>
      <c r="K83" s="2879"/>
      <c r="L83" s="2879"/>
      <c r="X83" s="2871"/>
      <c r="Y83" s="2871"/>
      <c r="Z83" s="2871"/>
    </row>
    <row r="84" spans="1:26">
      <c r="A84" s="2807" t="s">
        <v>2342</v>
      </c>
      <c r="B84" s="2881">
        <f t="shared" si="277"/>
        <v>108.5</v>
      </c>
      <c r="C84" s="2881">
        <f t="shared" si="277"/>
        <v>110.5</v>
      </c>
      <c r="D84" s="2881">
        <f t="shared" si="241"/>
        <v>110.5</v>
      </c>
      <c r="E84" s="2881">
        <f t="shared" si="278"/>
        <v>106.5</v>
      </c>
      <c r="F84" s="2881">
        <f t="shared" si="278"/>
        <v>103</v>
      </c>
      <c r="G84" s="3740">
        <v>2003</v>
      </c>
      <c r="H84" s="2822">
        <v>2</v>
      </c>
      <c r="I84" s="2879"/>
      <c r="J84" s="2879"/>
      <c r="K84" s="2879"/>
      <c r="L84" s="2879"/>
      <c r="X84" s="2871"/>
      <c r="Y84" s="2871"/>
      <c r="Z84" s="2871"/>
    </row>
    <row r="85" spans="1:26" ht="13.5" thickBot="1">
      <c r="A85" s="2807" t="s">
        <v>2343</v>
      </c>
      <c r="B85" s="2881">
        <f t="shared" si="277"/>
        <v>107.25</v>
      </c>
      <c r="C85" s="2881">
        <f t="shared" si="277"/>
        <v>108.75</v>
      </c>
      <c r="D85" s="2881">
        <f t="shared" si="241"/>
        <v>108.75</v>
      </c>
      <c r="E85" s="2881">
        <f t="shared" si="278"/>
        <v>105.75</v>
      </c>
      <c r="F85" s="2881">
        <f t="shared" si="278"/>
        <v>102.5</v>
      </c>
      <c r="G85" s="3741">
        <v>2003</v>
      </c>
      <c r="H85" s="2882">
        <v>1</v>
      </c>
      <c r="I85" s="2879"/>
      <c r="J85" s="2879"/>
      <c r="K85" s="2879"/>
      <c r="L85" s="2879"/>
      <c r="S85" s="2810"/>
      <c r="T85" s="2806"/>
      <c r="U85" s="2806"/>
      <c r="X85" s="2871"/>
      <c r="Y85" s="2871"/>
      <c r="Z85" s="2871"/>
    </row>
    <row r="86" spans="1:26" ht="13.5" thickBot="1">
      <c r="A86" s="2807" t="s">
        <v>2344</v>
      </c>
      <c r="B86" s="2883">
        <v>106</v>
      </c>
      <c r="C86" s="2883">
        <v>107</v>
      </c>
      <c r="D86" s="2883">
        <f t="shared" si="241"/>
        <v>107</v>
      </c>
      <c r="E86" s="2883">
        <v>105</v>
      </c>
      <c r="F86" s="2884">
        <v>102</v>
      </c>
      <c r="G86" s="3739">
        <v>2002</v>
      </c>
      <c r="H86" s="2831">
        <v>4</v>
      </c>
      <c r="I86" s="2879"/>
      <c r="J86" s="2879"/>
      <c r="K86" s="2879"/>
      <c r="L86" s="2879"/>
      <c r="N86" s="2880"/>
      <c r="O86" s="2879"/>
      <c r="P86" s="2879"/>
      <c r="Q86" s="2879"/>
      <c r="S86" s="2880"/>
      <c r="T86" s="2879"/>
      <c r="U86" s="2879"/>
      <c r="V86" s="2879"/>
      <c r="X86" s="2871"/>
      <c r="Y86" s="2871"/>
      <c r="Z86" s="2871"/>
    </row>
    <row r="87" spans="1:26">
      <c r="A87" s="2807" t="s">
        <v>2345</v>
      </c>
      <c r="B87" s="2881">
        <f t="shared" ref="B87:C89" si="279">B88+(B$86-B$90)/4</f>
        <v>105</v>
      </c>
      <c r="C87" s="2881">
        <f t="shared" si="279"/>
        <v>106</v>
      </c>
      <c r="D87" s="2881">
        <f t="shared" si="241"/>
        <v>106</v>
      </c>
      <c r="E87" s="2881">
        <f t="shared" ref="E87:F89" si="280">E88+(E$86-E$90)/4</f>
        <v>104.5</v>
      </c>
      <c r="F87" s="2881">
        <f t="shared" si="280"/>
        <v>101.5</v>
      </c>
      <c r="G87" s="3740">
        <v>2002</v>
      </c>
      <c r="H87" s="2834">
        <v>3</v>
      </c>
      <c r="I87" s="2879"/>
      <c r="J87" s="2879"/>
      <c r="K87" s="2879"/>
      <c r="L87" s="2879"/>
      <c r="X87" s="2871"/>
      <c r="Y87" s="2871"/>
      <c r="Z87" s="2871"/>
    </row>
    <row r="88" spans="1:26">
      <c r="A88" s="2807" t="s">
        <v>2346</v>
      </c>
      <c r="B88" s="2881">
        <f t="shared" si="279"/>
        <v>104</v>
      </c>
      <c r="C88" s="2881">
        <f t="shared" si="279"/>
        <v>105</v>
      </c>
      <c r="D88" s="2881">
        <f t="shared" si="241"/>
        <v>105</v>
      </c>
      <c r="E88" s="2881">
        <f t="shared" si="280"/>
        <v>104</v>
      </c>
      <c r="F88" s="2881">
        <f t="shared" si="280"/>
        <v>101</v>
      </c>
      <c r="G88" s="3740">
        <v>2002</v>
      </c>
      <c r="H88" s="2822">
        <v>2</v>
      </c>
      <c r="I88" s="2879"/>
      <c r="J88" s="2879"/>
      <c r="K88" s="2879"/>
      <c r="L88" s="2879"/>
      <c r="X88" s="2871"/>
      <c r="Y88" s="2871"/>
      <c r="Z88" s="2871"/>
    </row>
    <row r="89" spans="1:26" s="2844" customFormat="1" ht="13.5" thickBot="1">
      <c r="A89" s="2840" t="s">
        <v>2347</v>
      </c>
      <c r="B89" s="2847">
        <f t="shared" si="279"/>
        <v>103</v>
      </c>
      <c r="C89" s="2847">
        <f t="shared" si="279"/>
        <v>104</v>
      </c>
      <c r="D89" s="2847">
        <f t="shared" si="241"/>
        <v>104</v>
      </c>
      <c r="E89" s="2847">
        <f t="shared" si="280"/>
        <v>103.5</v>
      </c>
      <c r="F89" s="2847">
        <f t="shared" si="280"/>
        <v>100.5</v>
      </c>
      <c r="G89" s="3741">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2348</v>
      </c>
      <c r="G92" s="2894"/>
      <c r="N92" s="2894"/>
      <c r="S92" s="2894"/>
    </row>
    <row r="93" spans="1:26" s="2893" customFormat="1">
      <c r="A93" s="2893" t="s">
        <v>2349</v>
      </c>
      <c r="G93" s="2894"/>
      <c r="N93" s="2894"/>
      <c r="S93" s="2894"/>
    </row>
    <row r="94" spans="1:26" s="2893" customFormat="1">
      <c r="A94" s="2893" t="s">
        <v>2350</v>
      </c>
      <c r="G94" s="2894"/>
      <c r="I94" s="2895"/>
      <c r="J94" s="2895"/>
      <c r="K94" s="2895"/>
      <c r="L94" s="2895"/>
      <c r="N94" s="2896"/>
      <c r="O94" s="2895"/>
      <c r="P94" s="2895"/>
      <c r="Q94" s="2895"/>
      <c r="S94" s="2896"/>
      <c r="T94" s="2895"/>
      <c r="U94" s="2895"/>
      <c r="V94" s="2895"/>
    </row>
    <row r="95" spans="1:26" s="2893" customFormat="1">
      <c r="A95" s="2893" t="s">
        <v>2351</v>
      </c>
      <c r="G95" s="2894"/>
      <c r="N95" s="2894"/>
      <c r="S95" s="2894"/>
    </row>
    <row r="102" spans="7:22" ht="13.5" thickBot="1"/>
    <row r="103" spans="7:22">
      <c r="G103" s="2805"/>
      <c r="S103" s="2897" t="s">
        <v>2352</v>
      </c>
      <c r="T103" s="2898" t="s">
        <v>2353</v>
      </c>
      <c r="U103" s="2898" t="s">
        <v>2354</v>
      </c>
      <c r="V103" s="2898" t="s">
        <v>2355</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2650</v>
      </c>
      <c r="B1" s="3155"/>
      <c r="C1" s="3155"/>
      <c r="D1" s="3155"/>
      <c r="E1" s="3155"/>
      <c r="F1" s="3155"/>
      <c r="G1" s="3156"/>
      <c r="H1" s="3156"/>
      <c r="I1" s="3156"/>
      <c r="J1" s="3156"/>
      <c r="K1" s="3156"/>
      <c r="L1" s="3156"/>
      <c r="M1" s="3156"/>
      <c r="N1" s="3156"/>
    </row>
    <row r="2" spans="1:14" ht="14.25">
      <c r="A2" s="3161" t="s">
        <v>2645</v>
      </c>
      <c r="B2" s="3166">
        <f ca="1">SUMIF(B7:B14,"&lt;&gt;#ref!",B7:B14)</f>
        <v>0</v>
      </c>
      <c r="C2" s="3161" t="s">
        <v>2646</v>
      </c>
      <c r="D2" s="3158"/>
      <c r="E2" s="3158"/>
      <c r="F2" s="3158"/>
      <c r="G2" s="3156"/>
      <c r="H2" s="3156"/>
      <c r="I2" s="3156"/>
      <c r="J2" s="3156"/>
      <c r="K2" s="3156"/>
      <c r="L2" s="3156"/>
      <c r="M2" s="3156"/>
      <c r="N2" s="3156"/>
    </row>
    <row r="3" spans="1:14" ht="14.25">
      <c r="A3" s="3161" t="s">
        <v>2674</v>
      </c>
      <c r="B3" s="3166" t="e">
        <f ca="1">ROUND(B2*10000/E3,0)</f>
        <v>#DIV/0!</v>
      </c>
      <c r="C3" s="3161" t="s">
        <v>1870</v>
      </c>
      <c r="D3" s="3161" t="s">
        <v>2647</v>
      </c>
      <c r="E3" s="3159">
        <f ca="1">SUMIF(E7:E14,"&lt;&gt;#ref!",E7:E14)</f>
        <v>0</v>
      </c>
      <c r="F3" s="3158"/>
      <c r="G3" s="3156"/>
      <c r="H3" s="3156"/>
      <c r="I3" s="3156"/>
      <c r="J3" s="3156"/>
      <c r="K3" s="3156"/>
      <c r="L3" s="3156"/>
      <c r="M3" s="3156"/>
      <c r="N3" s="3156"/>
    </row>
    <row r="4" spans="1:14" ht="14.25">
      <c r="A4" s="3161" t="s">
        <v>2653</v>
      </c>
      <c r="B4" s="3166" t="e">
        <f ca="1">ROUND(B2*10000/E4,0)</f>
        <v>#DIV/0!</v>
      </c>
      <c r="C4" s="3161" t="s">
        <v>1870</v>
      </c>
      <c r="D4" s="3161" t="s">
        <v>2654</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2651</v>
      </c>
      <c r="B6" s="3161" t="s">
        <v>2648</v>
      </c>
      <c r="C6" s="2709"/>
      <c r="D6" s="3158"/>
      <c r="E6" s="3161" t="s">
        <v>2649</v>
      </c>
      <c r="F6" s="3161" t="s">
        <v>2652</v>
      </c>
      <c r="G6" s="3156"/>
      <c r="H6" s="3156"/>
      <c r="I6" s="3156"/>
      <c r="J6" s="3156"/>
      <c r="K6" s="3156"/>
      <c r="L6" s="3156"/>
      <c r="M6" s="3156"/>
      <c r="N6" s="3156"/>
    </row>
    <row r="7" spans="1:14" ht="14.25">
      <c r="A7" s="3164"/>
      <c r="B7" s="3166" t="e">
        <f ca="1">SUMIF(INDIRECT("'"&amp;A7&amp;"'"&amp;"!A:A"),"总价",INDIRECT("'"&amp;A7&amp;"'"&amp;"!B:B"))</f>
        <v>#REF!</v>
      </c>
      <c r="C7" s="3161" t="s">
        <v>2646</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2646</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2646</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2646</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2646</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2646</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2646</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2646</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-2</v>
      </c>
      <c r="G1" s="747">
        <f>MATCH(C1,'数据-取费表'!A6:A16,0)+5</f>
        <v>7</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48" t="s">
        <v>2242</v>
      </c>
      <c r="C8" s="1696">
        <f ca="1">ROUND(F8*F10*F9*(1-F11)/10000,0)</f>
        <v>0</v>
      </c>
      <c r="D8" s="1693" t="s">
        <v>2252</v>
      </c>
      <c r="E8" s="61" t="s">
        <v>619</v>
      </c>
      <c r="F8" s="758">
        <f ca="1">INDIRECT("'数据-取费表'!u"&amp;$G$1)</f>
        <v>0</v>
      </c>
      <c r="G8" s="1483"/>
      <c r="H8" s="2310" t="s">
        <v>1624</v>
      </c>
      <c r="I8" s="3748" t="s">
        <v>2242</v>
      </c>
      <c r="J8" s="756">
        <f ca="1">ROUND(M8*M10*M9*(1-M11)/10000,0)</f>
        <v>0</v>
      </c>
      <c r="K8" s="339" t="s">
        <v>2252</v>
      </c>
      <c r="L8" s="757" t="s">
        <v>1538</v>
      </c>
      <c r="M8" s="758">
        <f ca="1">INDIRECT("'数据-取费表'!z"&amp;$G$1)</f>
        <v>0</v>
      </c>
    </row>
    <row r="9" spans="1:25" ht="18" customHeight="1">
      <c r="A9" s="2306"/>
      <c r="B9" s="3749"/>
      <c r="C9" s="1697"/>
      <c r="D9" s="1694"/>
      <c r="E9" s="61" t="s">
        <v>620</v>
      </c>
      <c r="F9" s="758">
        <f ca="1">IF(INDIRECT("'数据-取费表'!ah"&amp;$G$1)="",INDIRECT("'数据-取费表'!k"&amp;$G$1),INDIRECT("'数据-取费表'!ah"&amp;$G$1))</f>
        <v>0</v>
      </c>
      <c r="G9" s="1483"/>
      <c r="H9" s="2295"/>
      <c r="I9" s="3749"/>
      <c r="J9" s="761"/>
      <c r="K9" s="762"/>
      <c r="L9" s="757" t="s">
        <v>1539</v>
      </c>
      <c r="M9" s="758">
        <f ca="1">F9</f>
        <v>0</v>
      </c>
    </row>
    <row r="10" spans="1:25" ht="18" customHeight="1">
      <c r="A10" s="2299"/>
      <c r="B10" s="3750"/>
      <c r="C10" s="1697"/>
      <c r="D10" s="1694"/>
      <c r="E10" s="61" t="s">
        <v>621</v>
      </c>
      <c r="F10" s="758">
        <f ca="1">INDIRECT("'数据-取费表'!ai"&amp;$G$1)</f>
        <v>0</v>
      </c>
      <c r="G10" s="1483"/>
      <c r="H10" s="2295"/>
      <c r="I10" s="3750"/>
      <c r="J10" s="761"/>
      <c r="K10" s="762"/>
      <c r="L10" s="757" t="s">
        <v>1540</v>
      </c>
      <c r="M10" s="758">
        <f ca="1">INDIRECT("'数据-取费表'!ai"&amp;$G$1)</f>
        <v>0</v>
      </c>
    </row>
    <row r="11" spans="1:25" ht="18" customHeight="1">
      <c r="A11" s="759"/>
      <c r="B11" s="3751"/>
      <c r="C11" s="1697"/>
      <c r="D11" s="1694"/>
      <c r="E11" s="61" t="s">
        <v>622</v>
      </c>
      <c r="F11" s="767">
        <f ca="1">INDIRECT("'数据-取费表'!w"&amp;$G$1)</f>
        <v>0</v>
      </c>
      <c r="G11" s="1483"/>
      <c r="H11" s="2311"/>
      <c r="I11" s="3750"/>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0.03</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8">
        <f ca="1">ROUND(IF(AND(项目基本情况!B11="自然人",项目基本情况!B10="北京市"),J8*M19/(1+'数据-取费表'!C42),J20+J21+J22),0)</f>
        <v>0</v>
      </c>
      <c r="K19" s="1848" t="s">
        <v>639</v>
      </c>
      <c r="L19" s="1846" t="s">
        <v>640</v>
      </c>
      <c r="M19" s="2927"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5.6000000000000001E-2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24</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复利计息。建造成本、管理费用、销售费用产生的利息。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(建造成本+管理费用)×((1+利率)^(建设周期÷2)-1)</v>
      </c>
      <c r="E25" s="757" t="s">
        <v>660</v>
      </c>
      <c r="F25" s="615">
        <f>'数据-取费表'!B20</f>
        <v>2</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8.0000000000000004E-4</v>
      </c>
      <c r="D26" s="2346" t="str">
        <f>IF(F25&lt;=1,"销售费用×利率×(建设周期÷2)","销售费用×((1+利率)^(建设周期÷2)-1)")</f>
        <v>销售费用×((1+利率)^(建设周期÷2)-1)</v>
      </c>
      <c r="E26" s="757" t="s">
        <v>664</v>
      </c>
      <c r="F26" s="791">
        <f ca="1">'数据-取费表'!B40</f>
        <v>4.1499999999999995E-2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5.33E-2</v>
      </c>
      <c r="D30" s="784" t="s">
        <v>691</v>
      </c>
      <c r="E30" s="757" t="s">
        <v>631</v>
      </c>
      <c r="F30" s="782">
        <f>'数据-取费表'!B41</f>
        <v>5.6000000000000001E-2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8">
        <f ca="1">ROUND(IF(AND(项目基本情况!B11="自然人",项目基本情况!B10="北京市"),C8*F33/(1+'数据-取费表'!C42),C34+C35+C36),0)</f>
        <v>0</v>
      </c>
      <c r="D33" s="1848" t="s">
        <v>639</v>
      </c>
      <c r="E33" s="1846" t="s">
        <v>672</v>
      </c>
      <c r="F33" s="2927" t="str">
        <f>IF(项目基本情况!B11="企业","——",IF('数据-取费表'!B10="住宅",IF(F8*F9*F10/12/(1+'数据-取费表'!F30)&gt;100000,4%,2.5%),IF(F8*F9*F10/12/(1+'数据-取费表'!F30)&gt;100000,12%,7%)))</f>
        <v>——</v>
      </c>
      <c r="G33" s="1900"/>
      <c r="H33" s="3167"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5.6000000000000001E-2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24</v>
      </c>
      <c r="G36" s="1900"/>
      <c r="H36" s="1903"/>
      <c r="I36" s="3747"/>
      <c r="J36" s="1917"/>
      <c r="K36" s="1918"/>
      <c r="L36" s="1917"/>
      <c r="M36" s="1917"/>
    </row>
    <row r="37" spans="1:18" ht="18" customHeight="1">
      <c r="A37" s="787"/>
      <c r="B37" s="766"/>
      <c r="C37" s="69"/>
      <c r="D37" s="788"/>
      <c r="E37" s="757" t="s">
        <v>656</v>
      </c>
      <c r="F37" s="758">
        <f ca="1">INDIRECT("'数据-取费表'!r"&amp;$G$1)</f>
        <v>0</v>
      </c>
      <c r="G37" s="1900"/>
      <c r="H37" s="1903"/>
      <c r="I37" s="3747"/>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31"/>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31"/>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4" t="s">
        <v>2661</v>
      </c>
      <c r="F43" s="2715">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71">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30" t="str">
        <f ca="1">IF(M48="住宅",0,IF(L49&gt;J52,L61,J61))</f>
        <v>0</v>
      </c>
      <c r="O47" s="2204" t="s">
        <v>2197</v>
      </c>
      <c r="P47" s="1483"/>
      <c r="Q47" s="1491"/>
      <c r="R47" s="1483"/>
    </row>
    <row r="48" spans="1:18" s="1897" customFormat="1" ht="18" customHeight="1" thickBot="1">
      <c r="A48" s="1921"/>
      <c r="C48" s="1924"/>
      <c r="D48" s="1925"/>
      <c r="E48" s="1925"/>
      <c r="F48" s="1926"/>
      <c r="G48" s="1927"/>
      <c r="I48" s="2721" t="s">
        <v>2131</v>
      </c>
      <c r="J48" s="2191"/>
      <c r="K48" s="2727" t="s">
        <v>2136</v>
      </c>
      <c r="L48" s="2731">
        <f ca="1">INDIRECT("'数据-取费表'!d"&amp;$G$1)</f>
        <v>0</v>
      </c>
      <c r="M48" s="2713"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8" t="s">
        <v>2132</v>
      </c>
      <c r="J49" s="2192"/>
      <c r="K49" s="2728"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8" t="s">
        <v>2133</v>
      </c>
      <c r="J50" s="2193"/>
      <c r="K50" s="2729"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8" t="s">
        <v>2134</v>
      </c>
      <c r="J51" s="2725">
        <f>SUMPRODUCT((I64:I66=J48)*(J63:L63=J49)*(J64:L66))</f>
        <v>0</v>
      </c>
      <c r="K51" s="2729" t="s">
        <v>2140</v>
      </c>
      <c r="L51" s="2194"/>
      <c r="O51" s="2211" t="s">
        <v>2170</v>
      </c>
      <c r="P51" s="2209" t="s">
        <v>2194</v>
      </c>
      <c r="Q51" s="2210">
        <f ca="1">C31</f>
        <v>0</v>
      </c>
      <c r="R51" s="2209" t="s">
        <v>2167</v>
      </c>
    </row>
    <row r="52" spans="1:18" s="1897" customFormat="1" ht="18" customHeight="1" thickBot="1">
      <c r="A52" s="1933"/>
      <c r="F52" s="1922"/>
      <c r="I52" s="2722" t="s">
        <v>2135</v>
      </c>
      <c r="J52" s="2726">
        <f>IF(J50="",J51,J50+J51-YEAR('数据-取费表'!B3))</f>
        <v>0</v>
      </c>
      <c r="K52" s="2718" t="s">
        <v>2141</v>
      </c>
      <c r="L52" s="2732">
        <f ca="1">C45</f>
        <v>0</v>
      </c>
      <c r="O52" s="2211" t="s">
        <v>2171</v>
      </c>
      <c r="P52" s="2209" t="s">
        <v>2172</v>
      </c>
      <c r="Q52" s="2212" t="e">
        <f ca="1">J59</f>
        <v>#VALUE!</v>
      </c>
      <c r="R52" s="2213"/>
    </row>
    <row r="53" spans="1:18" s="1897" customFormat="1" ht="18" customHeight="1" thickBot="1">
      <c r="A53" s="1933"/>
      <c r="F53" s="1922"/>
      <c r="I53" s="2723" t="s">
        <v>2208</v>
      </c>
      <c r="J53" s="2195"/>
      <c r="K53" s="2723" t="s">
        <v>2207</v>
      </c>
      <c r="L53" s="2195"/>
      <c r="O53" s="2211" t="s">
        <v>2173</v>
      </c>
      <c r="P53" s="2209" t="s">
        <v>2174</v>
      </c>
      <c r="Q53" s="2212">
        <f>J53</f>
        <v>0</v>
      </c>
      <c r="R53" s="2213"/>
    </row>
    <row r="54" spans="1:18" s="1897" customFormat="1" ht="29.25" thickBot="1">
      <c r="A54" s="1933"/>
      <c r="I54" s="2724" t="s">
        <v>2675</v>
      </c>
      <c r="J54" s="2777">
        <f ca="1">IF(M48="住宅",MAX(J52,L49-'数据-取费表'!B20),MIN(J52,L49-'数据-取费表'!B20))</f>
        <v>-2</v>
      </c>
      <c r="K54" s="3752"/>
      <c r="L54" s="3753"/>
      <c r="O54" s="2211" t="s">
        <v>2175</v>
      </c>
      <c r="P54" s="2209" t="s">
        <v>2176</v>
      </c>
      <c r="Q54" s="2210">
        <f ca="1">J54</f>
        <v>-2</v>
      </c>
      <c r="R54" s="2209" t="s">
        <v>2177</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2178</v>
      </c>
      <c r="P55" s="2209" t="s">
        <v>2195</v>
      </c>
      <c r="Q55" s="2210">
        <f ca="1">Q49+Q50</f>
        <v>0</v>
      </c>
      <c r="R55" s="2213" t="s">
        <v>2179</v>
      </c>
    </row>
    <row r="56" spans="1:18" s="1897" customFormat="1" ht="16.5" thickBot="1">
      <c r="A56" s="1933"/>
      <c r="B56" s="1934"/>
      <c r="C56" s="1934"/>
      <c r="I56" s="2735" t="s">
        <v>2142</v>
      </c>
      <c r="J56" s="2707" t="e">
        <f ca="1">ROUND(IF(J48="钢混",J58/J51,1-(1-2%)*(J51-J58)/J51),3)</f>
        <v>#VALUE!</v>
      </c>
      <c r="K56" s="2736" t="s">
        <v>2143</v>
      </c>
      <c r="L56" s="2196"/>
      <c r="O56" s="2214" t="s">
        <v>2198</v>
      </c>
      <c r="P56" s="1483"/>
      <c r="Q56" s="1491"/>
      <c r="R56" s="1483"/>
    </row>
    <row r="57" spans="1:18" s="1897" customFormat="1" ht="43.5" thickBot="1">
      <c r="A57" s="1933"/>
      <c r="B57" s="1934"/>
      <c r="C57" s="1934"/>
      <c r="I57" s="2737" t="s">
        <v>2144</v>
      </c>
      <c r="J57" s="2747" t="s">
        <v>1478</v>
      </c>
      <c r="K57" s="2718" t="s">
        <v>2149</v>
      </c>
      <c r="L57" s="1778">
        <f ca="1">IF(L49&lt;J52,"——",L49-J52)</f>
        <v>0</v>
      </c>
      <c r="O57" s="2205" t="s">
        <v>2162</v>
      </c>
      <c r="P57" s="2206" t="s">
        <v>2163</v>
      </c>
      <c r="Q57" s="2207" t="s">
        <v>2164</v>
      </c>
      <c r="R57" s="2206" t="s">
        <v>2165</v>
      </c>
    </row>
    <row r="58" spans="1:18" s="1897" customFormat="1" ht="29.25" thickBot="1">
      <c r="A58" s="1933"/>
      <c r="B58" s="1934"/>
      <c r="C58" s="1934"/>
      <c r="I58" s="2738" t="s">
        <v>2145</v>
      </c>
      <c r="J58" s="2739" t="str">
        <f ca="1">IF(OR(M48="住宅",J52&lt;L49,J57="是"),"——",J52-L49)</f>
        <v>——</v>
      </c>
      <c r="K58" s="2718"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8" t="s">
        <v>2146</v>
      </c>
      <c r="J59" s="2708" t="e">
        <f ca="1">IF(J56&lt;0.4,0.4,J56)</f>
        <v>#VALUE!</v>
      </c>
      <c r="K59" s="2718"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8" t="s">
        <v>2147</v>
      </c>
      <c r="J60" s="2739" t="str">
        <f ca="1">IF(OR(M48="住宅",J52&lt;L49,J57="是"),"——",ROUND(C30*J59,0))</f>
        <v>——</v>
      </c>
      <c r="K60" s="2718"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40" t="s">
        <v>2148</v>
      </c>
      <c r="J61" s="2741" t="str">
        <f ca="1">IF(OR(M48="住宅",J52&lt;L49,J57="是"),"0",ROUND(J60/(1+J53)^J54,0))</f>
        <v>0</v>
      </c>
      <c r="K61" s="2742" t="s">
        <v>2153</v>
      </c>
      <c r="L61" s="2741"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3" t="s">
        <v>2154</v>
      </c>
      <c r="J63" s="2744" t="s">
        <v>2155</v>
      </c>
      <c r="K63" s="2744" t="s">
        <v>2156</v>
      </c>
      <c r="L63" s="2744" t="s">
        <v>2137</v>
      </c>
      <c r="M63" s="2745" t="s">
        <v>2644</v>
      </c>
      <c r="O63" s="2211" t="s">
        <v>2175</v>
      </c>
      <c r="P63" s="2209" t="s">
        <v>2183</v>
      </c>
      <c r="Q63" s="2210">
        <f ca="1">L60</f>
        <v>0</v>
      </c>
      <c r="R63" s="2213" t="s">
        <v>2184</v>
      </c>
    </row>
    <row r="64" spans="1:18" s="1897" customFormat="1" ht="15.75" thickBot="1">
      <c r="A64" s="1933"/>
      <c r="B64" s="1934"/>
      <c r="C64" s="1934"/>
      <c r="I64" s="2743" t="s">
        <v>2157</v>
      </c>
      <c r="J64" s="2744">
        <v>70</v>
      </c>
      <c r="K64" s="2744">
        <v>50</v>
      </c>
      <c r="L64" s="2744">
        <v>80</v>
      </c>
      <c r="M64" s="2746">
        <v>0.02</v>
      </c>
      <c r="O64" s="2208" t="s">
        <v>2178</v>
      </c>
      <c r="P64" s="2209" t="s">
        <v>2195</v>
      </c>
      <c r="Q64" s="2210" t="e">
        <f ca="1">Q58+Q59</f>
        <v>#DIV/0!</v>
      </c>
      <c r="R64" s="2213" t="s">
        <v>2179</v>
      </c>
    </row>
    <row r="65" spans="1:18" s="1897" customFormat="1" ht="16.5" thickBot="1">
      <c r="A65" s="1933"/>
      <c r="B65" s="1934"/>
      <c r="C65" s="1934"/>
      <c r="I65" s="2743" t="s">
        <v>2158</v>
      </c>
      <c r="J65" s="2744">
        <v>50</v>
      </c>
      <c r="K65" s="2744">
        <v>35</v>
      </c>
      <c r="L65" s="2744">
        <v>60</v>
      </c>
      <c r="M65" s="818">
        <v>0</v>
      </c>
      <c r="O65" s="2214" t="s">
        <v>2202</v>
      </c>
      <c r="P65" s="1483"/>
      <c r="Q65" s="1491"/>
      <c r="R65" s="1483"/>
    </row>
    <row r="66" spans="1:18" s="1897" customFormat="1" ht="15.75" thickBot="1">
      <c r="A66" s="1933"/>
      <c r="B66" s="1934"/>
      <c r="C66" s="1934"/>
      <c r="I66" s="2743" t="s">
        <v>2159</v>
      </c>
      <c r="J66" s="2744">
        <v>40</v>
      </c>
      <c r="K66" s="2744">
        <v>30</v>
      </c>
      <c r="L66" s="2744">
        <v>50</v>
      </c>
      <c r="M66" s="2746">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K1" workbookViewId="0">
      <selection activeCell="T17" sqref="T17"/>
    </sheetView>
  </sheetViews>
  <sheetFormatPr defaultRowHeight="13.5"/>
  <cols>
    <col min="1" max="1" width="18.875" customWidth="1"/>
    <col min="6" max="6" width="26.75" customWidth="1"/>
  </cols>
  <sheetData>
    <row r="1" spans="1:18">
      <c r="A1" s="3448" t="s">
        <v>3118</v>
      </c>
      <c r="B1" s="3448" t="s">
        <v>3119</v>
      </c>
      <c r="C1" s="3448" t="s">
        <v>3120</v>
      </c>
      <c r="D1" s="3448" t="s">
        <v>3121</v>
      </c>
      <c r="E1" s="3448" t="s">
        <v>3122</v>
      </c>
      <c r="F1" s="3448" t="s">
        <v>1824</v>
      </c>
      <c r="G1" s="3448" t="s">
        <v>3123</v>
      </c>
      <c r="H1" s="3448" t="s">
        <v>3124</v>
      </c>
      <c r="I1" s="3448" t="s">
        <v>3125</v>
      </c>
      <c r="J1" s="3448" t="s">
        <v>3126</v>
      </c>
      <c r="K1" s="3448" t="s">
        <v>3127</v>
      </c>
      <c r="L1" s="3448" t="s">
        <v>3128</v>
      </c>
      <c r="M1" s="3448" t="s">
        <v>3129</v>
      </c>
      <c r="N1" s="3448" t="s">
        <v>3130</v>
      </c>
      <c r="O1" s="3448" t="s">
        <v>3131</v>
      </c>
      <c r="P1" s="3448" t="s">
        <v>3132</v>
      </c>
      <c r="Q1" s="3448" t="s">
        <v>3133</v>
      </c>
    </row>
    <row r="2" spans="1:18">
      <c r="A2" s="3448" t="s">
        <v>3134</v>
      </c>
      <c r="B2" s="3448" t="s">
        <v>3135</v>
      </c>
      <c r="C2" s="3448" t="s">
        <v>3136</v>
      </c>
      <c r="D2" s="3448">
        <v>3476</v>
      </c>
      <c r="E2" s="3448">
        <v>5214</v>
      </c>
      <c r="F2" s="3448" t="s">
        <v>3137</v>
      </c>
      <c r="G2" s="3448" t="s">
        <v>3138</v>
      </c>
      <c r="H2" s="3448" t="s">
        <v>3139</v>
      </c>
      <c r="I2" s="3448">
        <v>0</v>
      </c>
      <c r="J2" s="3448" t="s">
        <v>3140</v>
      </c>
      <c r="K2" s="3448" t="s">
        <v>3140</v>
      </c>
      <c r="L2" s="3448">
        <v>373</v>
      </c>
      <c r="M2" s="3448">
        <v>373</v>
      </c>
      <c r="N2" s="3448">
        <v>715.38</v>
      </c>
      <c r="O2" s="3448">
        <v>0</v>
      </c>
      <c r="P2" s="3448" t="s">
        <v>3141</v>
      </c>
      <c r="Q2" s="3448" t="s">
        <v>3142</v>
      </c>
      <c r="R2" s="3450">
        <f t="shared" ref="R2:R4" si="0">ROUND(M2/D2*10000,0)</f>
        <v>1073</v>
      </c>
    </row>
    <row r="3" spans="1:18">
      <c r="A3" s="3448" t="s">
        <v>3143</v>
      </c>
      <c r="B3" s="3448" t="s">
        <v>3135</v>
      </c>
      <c r="C3" s="3448" t="s">
        <v>3136</v>
      </c>
      <c r="D3" s="3448">
        <v>4957</v>
      </c>
      <c r="E3" s="3448">
        <v>9914</v>
      </c>
      <c r="F3" s="3448" t="s">
        <v>3144</v>
      </c>
      <c r="G3" s="3448" t="s">
        <v>3138</v>
      </c>
      <c r="H3" s="3448" t="s">
        <v>3139</v>
      </c>
      <c r="I3" s="3448">
        <v>0</v>
      </c>
      <c r="J3" s="3448" t="s">
        <v>3140</v>
      </c>
      <c r="K3" s="3448" t="s">
        <v>3140</v>
      </c>
      <c r="L3" s="3448">
        <v>610</v>
      </c>
      <c r="M3" s="3448">
        <v>610</v>
      </c>
      <c r="N3" s="3448">
        <v>615.29</v>
      </c>
      <c r="O3" s="3448">
        <v>0</v>
      </c>
      <c r="P3" s="3448" t="s">
        <v>3141</v>
      </c>
      <c r="Q3" s="3448" t="s">
        <v>3142</v>
      </c>
      <c r="R3" s="3450">
        <f t="shared" si="0"/>
        <v>1231</v>
      </c>
    </row>
    <row r="4" spans="1:18">
      <c r="A4" s="3448" t="s">
        <v>3145</v>
      </c>
      <c r="B4" s="3448" t="s">
        <v>3135</v>
      </c>
      <c r="C4" s="3448" t="s">
        <v>3136</v>
      </c>
      <c r="D4" s="3448">
        <v>7522</v>
      </c>
      <c r="E4" s="3448">
        <v>15044</v>
      </c>
      <c r="F4" s="3448" t="s">
        <v>3146</v>
      </c>
      <c r="G4" s="3448" t="s">
        <v>3138</v>
      </c>
      <c r="H4" s="3448" t="s">
        <v>2905</v>
      </c>
      <c r="I4" s="3448">
        <v>0</v>
      </c>
      <c r="J4" s="3448" t="s">
        <v>3140</v>
      </c>
      <c r="K4" s="3448" t="s">
        <v>3140</v>
      </c>
      <c r="L4" s="3448">
        <v>996</v>
      </c>
      <c r="M4" s="3448">
        <v>996</v>
      </c>
      <c r="N4" s="3448">
        <v>662.06</v>
      </c>
      <c r="O4" s="3448">
        <v>0</v>
      </c>
      <c r="P4" s="3448" t="s">
        <v>3147</v>
      </c>
      <c r="Q4" s="3448" t="s">
        <v>3142</v>
      </c>
      <c r="R4" s="3450">
        <f t="shared" si="0"/>
        <v>1324</v>
      </c>
    </row>
    <row r="5" spans="1:18" s="3452" customFormat="1">
      <c r="A5" s="3451" t="s">
        <v>3148</v>
      </c>
      <c r="B5" s="3451" t="s">
        <v>3135</v>
      </c>
      <c r="C5" s="3451" t="s">
        <v>3136</v>
      </c>
      <c r="D5" s="3451">
        <v>3546.74</v>
      </c>
      <c r="E5" s="3451">
        <v>4965.4399999999996</v>
      </c>
      <c r="F5" s="3451" t="s">
        <v>3149</v>
      </c>
      <c r="G5" s="3451" t="s">
        <v>3138</v>
      </c>
      <c r="H5" s="3451" t="s">
        <v>3139</v>
      </c>
      <c r="I5" s="3451">
        <v>0</v>
      </c>
      <c r="J5" s="3451" t="s">
        <v>3140</v>
      </c>
      <c r="K5" s="3451" t="s">
        <v>3140</v>
      </c>
      <c r="L5" s="3451">
        <v>597</v>
      </c>
      <c r="M5" s="3451">
        <v>597</v>
      </c>
      <c r="N5" s="3451">
        <v>1202.31</v>
      </c>
      <c r="O5" s="3451">
        <v>0</v>
      </c>
      <c r="P5" s="3451" t="s">
        <v>3150</v>
      </c>
      <c r="Q5" s="3451" t="s">
        <v>3142</v>
      </c>
      <c r="R5" s="3452">
        <f>ROUND(M5/D5*10000,0)</f>
        <v>1683</v>
      </c>
    </row>
    <row r="6" spans="1:18">
      <c r="A6" s="3448" t="s">
        <v>3151</v>
      </c>
      <c r="B6" s="3448" t="s">
        <v>3135</v>
      </c>
      <c r="C6" s="3448" t="s">
        <v>3136</v>
      </c>
      <c r="D6" s="3448">
        <v>37944</v>
      </c>
      <c r="E6" s="3448">
        <v>75888</v>
      </c>
      <c r="F6" s="3448" t="s">
        <v>3152</v>
      </c>
      <c r="G6" s="3448" t="s">
        <v>3138</v>
      </c>
      <c r="H6" s="3448" t="s">
        <v>3139</v>
      </c>
      <c r="I6" s="3448">
        <v>0</v>
      </c>
      <c r="J6" s="3448" t="s">
        <v>3153</v>
      </c>
      <c r="K6" s="3448" t="s">
        <v>3153</v>
      </c>
      <c r="L6" s="3448">
        <v>11385</v>
      </c>
      <c r="M6" s="3448">
        <v>11385</v>
      </c>
      <c r="N6" s="3448">
        <v>1500.24</v>
      </c>
      <c r="O6" s="3448">
        <v>0</v>
      </c>
      <c r="P6" s="3448" t="s">
        <v>3154</v>
      </c>
      <c r="Q6" s="3448" t="s">
        <v>3155</v>
      </c>
      <c r="R6" s="3450">
        <f t="shared" ref="R6:R48" si="1">ROUND(M6/D6*10000,0)</f>
        <v>3000</v>
      </c>
    </row>
    <row r="7" spans="1:18">
      <c r="A7" s="3448" t="s">
        <v>3156</v>
      </c>
      <c r="B7" s="3448" t="s">
        <v>3135</v>
      </c>
      <c r="C7" s="3448" t="s">
        <v>3136</v>
      </c>
      <c r="D7" s="3448">
        <v>9780</v>
      </c>
      <c r="E7" s="3448">
        <v>25428</v>
      </c>
      <c r="F7" s="3448" t="s">
        <v>3157</v>
      </c>
      <c r="G7" s="3448" t="s">
        <v>3138</v>
      </c>
      <c r="H7" s="3448" t="s">
        <v>2905</v>
      </c>
      <c r="I7" s="3448">
        <v>0</v>
      </c>
      <c r="J7" s="3448" t="s">
        <v>3158</v>
      </c>
      <c r="K7" s="3448" t="s">
        <v>3158</v>
      </c>
      <c r="L7" s="3448">
        <v>1533</v>
      </c>
      <c r="M7" s="3448">
        <v>1533</v>
      </c>
      <c r="N7" s="3448">
        <v>602.88</v>
      </c>
      <c r="O7" s="3448">
        <v>0</v>
      </c>
      <c r="P7" s="3448" t="s">
        <v>3159</v>
      </c>
      <c r="Q7" s="3448" t="s">
        <v>3142</v>
      </c>
      <c r="R7" s="3450">
        <f t="shared" si="1"/>
        <v>1567</v>
      </c>
    </row>
    <row r="8" spans="1:18">
      <c r="A8" s="3448" t="s">
        <v>3160</v>
      </c>
      <c r="B8" s="3448" t="s">
        <v>3135</v>
      </c>
      <c r="C8" s="3448" t="s">
        <v>3136</v>
      </c>
      <c r="D8" s="3448">
        <v>2251</v>
      </c>
      <c r="E8" s="3448">
        <v>3601.6</v>
      </c>
      <c r="F8" s="3448" t="s">
        <v>3161</v>
      </c>
      <c r="G8" s="3448" t="s">
        <v>3138</v>
      </c>
      <c r="H8" s="3448" t="s">
        <v>2905</v>
      </c>
      <c r="I8" s="3448">
        <v>0</v>
      </c>
      <c r="J8" s="3448" t="s">
        <v>3162</v>
      </c>
      <c r="K8" s="3448" t="s">
        <v>3162</v>
      </c>
      <c r="L8" s="3448">
        <v>663</v>
      </c>
      <c r="M8" s="3448">
        <v>1313</v>
      </c>
      <c r="N8" s="3448">
        <v>3645.6</v>
      </c>
      <c r="O8" s="3448">
        <v>98.04</v>
      </c>
      <c r="P8" s="3448" t="s">
        <v>3163</v>
      </c>
      <c r="Q8" s="3448" t="s">
        <v>3155</v>
      </c>
      <c r="R8" s="3450">
        <f t="shared" si="1"/>
        <v>5833</v>
      </c>
    </row>
    <row r="9" spans="1:18" s="3450" customFormat="1">
      <c r="A9" s="3449" t="s">
        <v>3164</v>
      </c>
      <c r="B9" s="3449" t="s">
        <v>3135</v>
      </c>
      <c r="C9" s="3449" t="s">
        <v>3136</v>
      </c>
      <c r="D9" s="3449">
        <v>2388</v>
      </c>
      <c r="E9" s="3449">
        <v>5731.2</v>
      </c>
      <c r="F9" s="3449" t="s">
        <v>3165</v>
      </c>
      <c r="G9" s="3449" t="s">
        <v>3138</v>
      </c>
      <c r="H9" s="3449" t="s">
        <v>2911</v>
      </c>
      <c r="I9" s="3449">
        <v>0</v>
      </c>
      <c r="J9" s="3449" t="s">
        <v>3162</v>
      </c>
      <c r="K9" s="3449" t="s">
        <v>3162</v>
      </c>
      <c r="L9" s="3449">
        <v>855</v>
      </c>
      <c r="M9" s="3449">
        <v>855</v>
      </c>
      <c r="N9" s="3449">
        <v>1491.83</v>
      </c>
      <c r="O9" s="3449">
        <v>0</v>
      </c>
      <c r="P9" s="3449" t="s">
        <v>3166</v>
      </c>
      <c r="Q9" s="3449" t="s">
        <v>3142</v>
      </c>
      <c r="R9" s="3450">
        <f t="shared" si="1"/>
        <v>3580</v>
      </c>
    </row>
    <row r="10" spans="1:18">
      <c r="A10" s="3448" t="s">
        <v>3167</v>
      </c>
      <c r="B10" s="3448" t="s">
        <v>3135</v>
      </c>
      <c r="C10" s="3448" t="s">
        <v>3136</v>
      </c>
      <c r="D10" s="3448">
        <v>13250</v>
      </c>
      <c r="E10" s="3448">
        <v>19875</v>
      </c>
      <c r="F10" s="3448" t="s">
        <v>3168</v>
      </c>
      <c r="G10" s="3448" t="s">
        <v>3138</v>
      </c>
      <c r="H10" s="3448" t="s">
        <v>3139</v>
      </c>
      <c r="I10" s="3448" t="s">
        <v>3169</v>
      </c>
      <c r="J10" s="3448" t="s">
        <v>3170</v>
      </c>
      <c r="K10" s="3448" t="s">
        <v>3170</v>
      </c>
      <c r="L10" s="3448">
        <v>1590</v>
      </c>
      <c r="M10" s="3448">
        <v>1590</v>
      </c>
      <c r="N10" s="3448">
        <v>800</v>
      </c>
      <c r="O10" s="3448">
        <v>0</v>
      </c>
      <c r="P10" s="3448" t="s">
        <v>3171</v>
      </c>
      <c r="Q10" s="3448" t="s">
        <v>3142</v>
      </c>
      <c r="R10" s="3450">
        <f t="shared" si="1"/>
        <v>1200</v>
      </c>
    </row>
    <row r="11" spans="1:18">
      <c r="A11" s="3448" t="s">
        <v>3167</v>
      </c>
      <c r="B11" s="3448" t="s">
        <v>3135</v>
      </c>
      <c r="C11" s="3448" t="s">
        <v>3136</v>
      </c>
      <c r="D11" s="3448">
        <v>19094</v>
      </c>
      <c r="E11" s="3448">
        <v>28641</v>
      </c>
      <c r="F11" s="3448" t="s">
        <v>3168</v>
      </c>
      <c r="G11" s="3448" t="s">
        <v>3138</v>
      </c>
      <c r="H11" s="3448" t="s">
        <v>3139</v>
      </c>
      <c r="I11" s="3448" t="s">
        <v>3169</v>
      </c>
      <c r="J11" s="3448" t="s">
        <v>3170</v>
      </c>
      <c r="K11" s="3448" t="s">
        <v>3170</v>
      </c>
      <c r="L11" s="3448">
        <v>2292</v>
      </c>
      <c r="M11" s="3448">
        <v>2292</v>
      </c>
      <c r="N11" s="3448">
        <v>800.25</v>
      </c>
      <c r="O11" s="3448">
        <v>0</v>
      </c>
      <c r="P11" s="3448" t="s">
        <v>3171</v>
      </c>
      <c r="Q11" s="3448" t="s">
        <v>3142</v>
      </c>
      <c r="R11" s="3450">
        <f t="shared" si="1"/>
        <v>1200</v>
      </c>
    </row>
    <row r="12" spans="1:18">
      <c r="A12" s="3448" t="s">
        <v>3172</v>
      </c>
      <c r="B12" s="3448" t="s">
        <v>3135</v>
      </c>
      <c r="C12" s="3448" t="s">
        <v>3136</v>
      </c>
      <c r="D12" s="3448">
        <v>324.61</v>
      </c>
      <c r="E12" s="3448">
        <v>973.83</v>
      </c>
      <c r="F12" s="3448" t="s">
        <v>3173</v>
      </c>
      <c r="G12" s="3448" t="s">
        <v>3138</v>
      </c>
      <c r="H12" s="3448" t="s">
        <v>3139</v>
      </c>
      <c r="I12" s="3448">
        <v>0</v>
      </c>
      <c r="J12" s="3448" t="s">
        <v>3174</v>
      </c>
      <c r="K12" s="3448" t="s">
        <v>3174</v>
      </c>
      <c r="L12" s="3448">
        <v>86</v>
      </c>
      <c r="M12" s="3448">
        <v>86</v>
      </c>
      <c r="N12" s="3448">
        <v>883.11</v>
      </c>
      <c r="O12" s="3448">
        <v>0</v>
      </c>
      <c r="P12" s="3448" t="s">
        <v>3175</v>
      </c>
      <c r="Q12" s="3448" t="s">
        <v>3142</v>
      </c>
      <c r="R12" s="3450">
        <f t="shared" si="1"/>
        <v>2649</v>
      </c>
    </row>
    <row r="13" spans="1:18">
      <c r="A13" s="3448" t="s">
        <v>3176</v>
      </c>
      <c r="B13" s="3448" t="s">
        <v>3135</v>
      </c>
      <c r="C13" s="3448" t="s">
        <v>3136</v>
      </c>
      <c r="D13" s="3448">
        <v>18284</v>
      </c>
      <c r="E13" s="3448">
        <v>47538.400000000001</v>
      </c>
      <c r="F13" s="3448" t="s">
        <v>3177</v>
      </c>
      <c r="G13" s="3448" t="s">
        <v>3138</v>
      </c>
      <c r="H13" s="3448" t="s">
        <v>3139</v>
      </c>
      <c r="I13" s="3448">
        <v>0</v>
      </c>
      <c r="J13" s="3448" t="s">
        <v>3178</v>
      </c>
      <c r="K13" s="3448" t="s">
        <v>3178</v>
      </c>
      <c r="L13" s="3448">
        <v>3182</v>
      </c>
      <c r="M13" s="3448">
        <v>4982</v>
      </c>
      <c r="N13" s="3448">
        <v>1047.99</v>
      </c>
      <c r="O13" s="3448">
        <v>56.57</v>
      </c>
      <c r="P13" s="3448" t="s">
        <v>3179</v>
      </c>
      <c r="Q13" s="3448" t="s">
        <v>3142</v>
      </c>
      <c r="R13" s="3450">
        <f t="shared" si="1"/>
        <v>2725</v>
      </c>
    </row>
    <row r="14" spans="1:18">
      <c r="A14" s="3448" t="s">
        <v>3180</v>
      </c>
      <c r="B14" s="3448" t="s">
        <v>3135</v>
      </c>
      <c r="C14" s="3448" t="s">
        <v>3136</v>
      </c>
      <c r="D14" s="3448">
        <v>19729</v>
      </c>
      <c r="E14" s="3448">
        <v>35512.199999999997</v>
      </c>
      <c r="F14" s="3448" t="s">
        <v>3181</v>
      </c>
      <c r="G14" s="3448" t="s">
        <v>3138</v>
      </c>
      <c r="H14" s="3448" t="s">
        <v>3139</v>
      </c>
      <c r="I14" s="3448">
        <v>0</v>
      </c>
      <c r="J14" s="3448" t="s">
        <v>3182</v>
      </c>
      <c r="K14" s="3448" t="s">
        <v>3182</v>
      </c>
      <c r="L14" s="3448">
        <v>5920</v>
      </c>
      <c r="M14" s="3448">
        <v>5920</v>
      </c>
      <c r="N14" s="3448">
        <v>1667.03</v>
      </c>
      <c r="O14" s="3448">
        <v>0</v>
      </c>
      <c r="P14" s="3448" t="s">
        <v>3154</v>
      </c>
      <c r="Q14" s="3448" t="s">
        <v>3155</v>
      </c>
      <c r="R14" s="3450">
        <f t="shared" si="1"/>
        <v>3001</v>
      </c>
    </row>
    <row r="15" spans="1:18">
      <c r="A15" s="3448" t="s">
        <v>3183</v>
      </c>
      <c r="B15" s="3448" t="s">
        <v>3135</v>
      </c>
      <c r="C15" s="3448" t="s">
        <v>3136</v>
      </c>
      <c r="D15" s="3448">
        <v>16054</v>
      </c>
      <c r="E15" s="3448">
        <v>28897.200000000001</v>
      </c>
      <c r="F15" s="3448" t="s">
        <v>3184</v>
      </c>
      <c r="G15" s="3448" t="s">
        <v>3138</v>
      </c>
      <c r="H15" s="3448" t="s">
        <v>3139</v>
      </c>
      <c r="I15" s="3448">
        <v>0</v>
      </c>
      <c r="J15" s="3448" t="s">
        <v>3182</v>
      </c>
      <c r="K15" s="3448" t="s">
        <v>3182</v>
      </c>
      <c r="L15" s="3448">
        <v>4820</v>
      </c>
      <c r="M15" s="3448">
        <v>4820</v>
      </c>
      <c r="N15" s="3448">
        <v>1667.98</v>
      </c>
      <c r="O15" s="3448">
        <v>0</v>
      </c>
      <c r="P15" s="3448" t="s">
        <v>3154</v>
      </c>
      <c r="Q15" s="3448" t="s">
        <v>3155</v>
      </c>
      <c r="R15" s="3450">
        <f t="shared" si="1"/>
        <v>3002</v>
      </c>
    </row>
    <row r="16" spans="1:18">
      <c r="A16" s="3448" t="s">
        <v>3185</v>
      </c>
      <c r="B16" s="3448" t="s">
        <v>3135</v>
      </c>
      <c r="C16" s="3448" t="s">
        <v>3136</v>
      </c>
      <c r="D16" s="3448">
        <v>32171.67</v>
      </c>
      <c r="E16" s="3448">
        <v>51474.67</v>
      </c>
      <c r="F16" s="3448" t="s">
        <v>3161</v>
      </c>
      <c r="G16" s="3448" t="s">
        <v>3138</v>
      </c>
      <c r="H16" s="3448" t="s">
        <v>3139</v>
      </c>
      <c r="I16" s="3448">
        <v>0</v>
      </c>
      <c r="J16" s="3448" t="s">
        <v>3186</v>
      </c>
      <c r="K16" s="3448" t="s">
        <v>3186</v>
      </c>
      <c r="L16" s="3448">
        <v>4765</v>
      </c>
      <c r="M16" s="3448">
        <v>4765</v>
      </c>
      <c r="N16" s="3448">
        <v>925.7</v>
      </c>
      <c r="O16" s="3448">
        <v>0</v>
      </c>
      <c r="P16" s="3448" t="s">
        <v>3187</v>
      </c>
      <c r="Q16" s="3448" t="s">
        <v>3142</v>
      </c>
      <c r="R16" s="3450">
        <f t="shared" si="1"/>
        <v>1481</v>
      </c>
    </row>
    <row r="17" spans="1:18">
      <c r="A17" s="3448" t="s">
        <v>3188</v>
      </c>
      <c r="B17" s="3448" t="s">
        <v>3135</v>
      </c>
      <c r="C17" s="3448" t="s">
        <v>3136</v>
      </c>
      <c r="D17" s="3448">
        <v>1685.6</v>
      </c>
      <c r="E17" s="3448">
        <v>3371.2</v>
      </c>
      <c r="F17" s="3448" t="s">
        <v>3146</v>
      </c>
      <c r="G17" s="3448" t="s">
        <v>3138</v>
      </c>
      <c r="H17" s="3448" t="s">
        <v>2905</v>
      </c>
      <c r="I17" s="3448">
        <v>0</v>
      </c>
      <c r="J17" s="3448" t="s">
        <v>3189</v>
      </c>
      <c r="K17" s="3448" t="s">
        <v>3189</v>
      </c>
      <c r="L17" s="3448">
        <v>317</v>
      </c>
      <c r="M17" s="3448">
        <v>317</v>
      </c>
      <c r="N17" s="3448">
        <v>940.32</v>
      </c>
      <c r="O17" s="3448">
        <v>0</v>
      </c>
      <c r="P17" s="3448" t="s">
        <v>3190</v>
      </c>
      <c r="Q17" s="3448" t="s">
        <v>3142</v>
      </c>
      <c r="R17" s="3450">
        <f t="shared" si="1"/>
        <v>1881</v>
      </c>
    </row>
    <row r="18" spans="1:18">
      <c r="A18" s="3448" t="s">
        <v>3191</v>
      </c>
      <c r="B18" s="3448" t="s">
        <v>3135</v>
      </c>
      <c r="C18" s="3448" t="s">
        <v>3136</v>
      </c>
      <c r="D18" s="3448">
        <v>881</v>
      </c>
      <c r="E18" s="3448">
        <v>881</v>
      </c>
      <c r="F18" s="3448" t="s">
        <v>3192</v>
      </c>
      <c r="G18" s="3448" t="s">
        <v>3138</v>
      </c>
      <c r="H18" s="3448" t="s">
        <v>2905</v>
      </c>
      <c r="I18" s="3448">
        <v>0</v>
      </c>
      <c r="J18" s="3448" t="s">
        <v>3193</v>
      </c>
      <c r="K18" s="3448" t="s">
        <v>3193</v>
      </c>
      <c r="L18" s="3448">
        <v>176</v>
      </c>
      <c r="M18" s="3448">
        <v>176</v>
      </c>
      <c r="N18" s="3448">
        <v>1997.73</v>
      </c>
      <c r="O18" s="3448">
        <v>0</v>
      </c>
      <c r="P18" s="3448" t="s">
        <v>3194</v>
      </c>
      <c r="Q18" s="3448" t="s">
        <v>3142</v>
      </c>
      <c r="R18" s="3450">
        <f t="shared" si="1"/>
        <v>1998</v>
      </c>
    </row>
    <row r="19" spans="1:18">
      <c r="A19" s="3448" t="s">
        <v>3195</v>
      </c>
      <c r="B19" s="3448" t="s">
        <v>3135</v>
      </c>
      <c r="C19" s="3448" t="s">
        <v>3136</v>
      </c>
      <c r="D19" s="3448">
        <v>3364</v>
      </c>
      <c r="E19" s="3448">
        <v>5046</v>
      </c>
      <c r="F19" s="3448" t="s">
        <v>3137</v>
      </c>
      <c r="G19" s="3448" t="s">
        <v>3138</v>
      </c>
      <c r="H19" s="3448" t="s">
        <v>2905</v>
      </c>
      <c r="I19" s="3448">
        <v>0</v>
      </c>
      <c r="J19" s="3448" t="s">
        <v>3196</v>
      </c>
      <c r="K19" s="3448" t="s">
        <v>3196</v>
      </c>
      <c r="L19" s="3448">
        <v>203</v>
      </c>
      <c r="M19" s="3448">
        <v>203</v>
      </c>
      <c r="N19" s="3448">
        <v>402.3</v>
      </c>
      <c r="O19" s="3448">
        <v>0</v>
      </c>
      <c r="P19" s="3448" t="s">
        <v>3197</v>
      </c>
      <c r="Q19" s="3448" t="s">
        <v>3155</v>
      </c>
      <c r="R19" s="3450">
        <f t="shared" si="1"/>
        <v>603</v>
      </c>
    </row>
    <row r="20" spans="1:18">
      <c r="A20" s="3448" t="s">
        <v>3198</v>
      </c>
      <c r="B20" s="3448" t="s">
        <v>3135</v>
      </c>
      <c r="C20" s="3448" t="s">
        <v>3136</v>
      </c>
      <c r="D20" s="3448">
        <v>51360</v>
      </c>
      <c r="E20" s="3448">
        <v>179760</v>
      </c>
      <c r="F20" s="3448" t="s">
        <v>3199</v>
      </c>
      <c r="G20" s="3448" t="s">
        <v>3138</v>
      </c>
      <c r="H20" s="3448" t="s">
        <v>3139</v>
      </c>
      <c r="I20" s="3448">
        <v>0</v>
      </c>
      <c r="J20" s="3448" t="s">
        <v>3200</v>
      </c>
      <c r="K20" s="3448" t="s">
        <v>3200</v>
      </c>
      <c r="L20" s="3448">
        <v>13868</v>
      </c>
      <c r="M20" s="3448">
        <v>13868</v>
      </c>
      <c r="N20" s="3448">
        <v>771.47</v>
      </c>
      <c r="O20" s="3448">
        <v>0</v>
      </c>
      <c r="P20" s="3448" t="s">
        <v>3201</v>
      </c>
      <c r="Q20" s="3448" t="s">
        <v>3142</v>
      </c>
      <c r="R20" s="3450">
        <f t="shared" si="1"/>
        <v>2700</v>
      </c>
    </row>
    <row r="21" spans="1:18">
      <c r="A21" s="3448" t="s">
        <v>3202</v>
      </c>
      <c r="B21" s="3448" t="s">
        <v>3135</v>
      </c>
      <c r="C21" s="3448" t="s">
        <v>3136</v>
      </c>
      <c r="D21" s="3448">
        <v>10734</v>
      </c>
      <c r="E21" s="3448">
        <v>37569</v>
      </c>
      <c r="F21" s="3448" t="s">
        <v>3199</v>
      </c>
      <c r="G21" s="3448" t="s">
        <v>3138</v>
      </c>
      <c r="H21" s="3448" t="s">
        <v>2911</v>
      </c>
      <c r="I21" s="3448">
        <v>0</v>
      </c>
      <c r="J21" s="3448" t="s">
        <v>3203</v>
      </c>
      <c r="K21" s="3448" t="s">
        <v>3203</v>
      </c>
      <c r="L21" s="3448">
        <v>2026</v>
      </c>
      <c r="M21" s="3448">
        <v>2026</v>
      </c>
      <c r="N21" s="3448">
        <v>539.27</v>
      </c>
      <c r="O21" s="3448">
        <v>0</v>
      </c>
      <c r="P21" s="3448" t="s">
        <v>3204</v>
      </c>
      <c r="Q21" s="3448" t="s">
        <v>3142</v>
      </c>
      <c r="R21" s="3450">
        <f t="shared" si="1"/>
        <v>1887</v>
      </c>
    </row>
    <row r="22" spans="1:18" s="3452" customFormat="1">
      <c r="A22" s="3451" t="s">
        <v>3205</v>
      </c>
      <c r="B22" s="3451" t="s">
        <v>3135</v>
      </c>
      <c r="C22" s="3451" t="s">
        <v>3136</v>
      </c>
      <c r="D22" s="3451">
        <v>6639</v>
      </c>
      <c r="E22" s="3451">
        <v>11286.3</v>
      </c>
      <c r="F22" s="3451" t="s">
        <v>3206</v>
      </c>
      <c r="G22" s="3451" t="s">
        <v>3138</v>
      </c>
      <c r="H22" s="3451" t="s">
        <v>3139</v>
      </c>
      <c r="I22" s="3451">
        <v>0</v>
      </c>
      <c r="J22" s="3451" t="s">
        <v>3207</v>
      </c>
      <c r="K22" s="3451" t="s">
        <v>3207</v>
      </c>
      <c r="L22" s="3451">
        <v>1175.2</v>
      </c>
      <c r="M22" s="3451">
        <v>1175.2</v>
      </c>
      <c r="N22" s="3451">
        <v>1041.26</v>
      </c>
      <c r="O22" s="3451">
        <v>0</v>
      </c>
      <c r="P22" s="3451" t="s">
        <v>3208</v>
      </c>
      <c r="Q22" s="3451" t="s">
        <v>3142</v>
      </c>
      <c r="R22" s="3452">
        <f t="shared" si="1"/>
        <v>1770</v>
      </c>
    </row>
    <row r="23" spans="1:18">
      <c r="A23" s="3448" t="s">
        <v>3209</v>
      </c>
      <c r="B23" s="3448" t="s">
        <v>3135</v>
      </c>
      <c r="C23" s="3448" t="s">
        <v>3136</v>
      </c>
      <c r="D23" s="3448">
        <v>31659</v>
      </c>
      <c r="E23" s="3448">
        <v>110806.5</v>
      </c>
      <c r="F23" s="3448" t="s">
        <v>3210</v>
      </c>
      <c r="G23" s="3448" t="s">
        <v>3138</v>
      </c>
      <c r="H23" s="3448" t="s">
        <v>3139</v>
      </c>
      <c r="I23" s="3448">
        <v>0</v>
      </c>
      <c r="J23" s="3448" t="s">
        <v>3211</v>
      </c>
      <c r="K23" s="3448" t="s">
        <v>3211</v>
      </c>
      <c r="L23" s="3448">
        <v>9500</v>
      </c>
      <c r="M23" s="3448">
        <v>9500</v>
      </c>
      <c r="N23" s="3448">
        <v>857.35</v>
      </c>
      <c r="O23" s="3448">
        <v>0</v>
      </c>
      <c r="P23" s="3448" t="s">
        <v>3212</v>
      </c>
      <c r="Q23" s="3448" t="s">
        <v>3155</v>
      </c>
      <c r="R23" s="3450">
        <f t="shared" si="1"/>
        <v>3001</v>
      </c>
    </row>
    <row r="24" spans="1:18">
      <c r="A24" s="3448" t="s">
        <v>3213</v>
      </c>
      <c r="B24" s="3448" t="s">
        <v>3135</v>
      </c>
      <c r="C24" s="3448" t="s">
        <v>3136</v>
      </c>
      <c r="D24" s="3448">
        <v>102</v>
      </c>
      <c r="E24" s="3448">
        <v>204</v>
      </c>
      <c r="F24" s="3448" t="s">
        <v>3144</v>
      </c>
      <c r="G24" s="3448" t="s">
        <v>3138</v>
      </c>
      <c r="H24" s="3448" t="s">
        <v>2905</v>
      </c>
      <c r="I24" s="3448">
        <v>0</v>
      </c>
      <c r="J24" s="3448" t="s">
        <v>3214</v>
      </c>
      <c r="K24" s="3448" t="s">
        <v>3214</v>
      </c>
      <c r="L24" s="3448">
        <v>5.6</v>
      </c>
      <c r="M24" s="3448">
        <v>5.6</v>
      </c>
      <c r="N24" s="3448">
        <v>274.51</v>
      </c>
      <c r="O24" s="3448">
        <v>0</v>
      </c>
      <c r="P24" s="3448" t="s">
        <v>3215</v>
      </c>
      <c r="Q24" s="3448" t="s">
        <v>3216</v>
      </c>
      <c r="R24" s="3450">
        <f t="shared" si="1"/>
        <v>549</v>
      </c>
    </row>
    <row r="25" spans="1:18">
      <c r="A25" s="3448" t="s">
        <v>3217</v>
      </c>
      <c r="B25" s="3448" t="s">
        <v>3135</v>
      </c>
      <c r="C25" s="3448" t="s">
        <v>3136</v>
      </c>
      <c r="D25" s="3448">
        <v>6178</v>
      </c>
      <c r="E25" s="3448">
        <v>9267</v>
      </c>
      <c r="F25" s="3448" t="s">
        <v>3218</v>
      </c>
      <c r="G25" s="3448" t="s">
        <v>3138</v>
      </c>
      <c r="H25" s="3448" t="s">
        <v>2915</v>
      </c>
      <c r="I25" s="3448">
        <v>0</v>
      </c>
      <c r="J25" s="3448" t="s">
        <v>3219</v>
      </c>
      <c r="K25" s="3448" t="s">
        <v>3219</v>
      </c>
      <c r="L25" s="3448">
        <v>881</v>
      </c>
      <c r="M25" s="3448">
        <v>881</v>
      </c>
      <c r="N25" s="3448">
        <v>950.69</v>
      </c>
      <c r="O25" s="3448">
        <v>0</v>
      </c>
      <c r="P25" s="3448" t="s">
        <v>3220</v>
      </c>
      <c r="Q25" s="3448" t="s">
        <v>3155</v>
      </c>
      <c r="R25" s="3450">
        <f t="shared" si="1"/>
        <v>1426</v>
      </c>
    </row>
    <row r="26" spans="1:18">
      <c r="A26" s="3448" t="s">
        <v>3221</v>
      </c>
      <c r="B26" s="3448" t="s">
        <v>3135</v>
      </c>
      <c r="C26" s="3448" t="s">
        <v>3136</v>
      </c>
      <c r="D26" s="3448">
        <v>28485</v>
      </c>
      <c r="E26" s="3448">
        <v>42727.5</v>
      </c>
      <c r="F26" s="3448" t="s">
        <v>3137</v>
      </c>
      <c r="G26" s="3448" t="s">
        <v>3138</v>
      </c>
      <c r="H26" s="3448" t="s">
        <v>2915</v>
      </c>
      <c r="I26" s="3448">
        <v>0</v>
      </c>
      <c r="J26" s="3448" t="s">
        <v>3222</v>
      </c>
      <c r="K26" s="3448" t="s">
        <v>3222</v>
      </c>
      <c r="L26" s="3448">
        <v>1795</v>
      </c>
      <c r="M26" s="3448">
        <v>1795</v>
      </c>
      <c r="N26" s="3448">
        <v>420.1</v>
      </c>
      <c r="O26" s="3448">
        <v>0</v>
      </c>
      <c r="P26" s="3448" t="s">
        <v>3223</v>
      </c>
      <c r="Q26" s="3448" t="s">
        <v>3155</v>
      </c>
      <c r="R26" s="3450">
        <f t="shared" si="1"/>
        <v>630</v>
      </c>
    </row>
    <row r="27" spans="1:18">
      <c r="A27" s="3448" t="s">
        <v>3224</v>
      </c>
      <c r="B27" s="3448" t="s">
        <v>3135</v>
      </c>
      <c r="C27" s="3448" t="s">
        <v>3136</v>
      </c>
      <c r="D27" s="3448">
        <v>8658</v>
      </c>
      <c r="E27" s="3448">
        <v>13852.8</v>
      </c>
      <c r="F27" s="3448" t="s">
        <v>3225</v>
      </c>
      <c r="G27" s="3448" t="s">
        <v>3138</v>
      </c>
      <c r="H27" s="3448" t="s">
        <v>2915</v>
      </c>
      <c r="I27" s="3448">
        <v>0</v>
      </c>
      <c r="J27" s="3448" t="s">
        <v>3226</v>
      </c>
      <c r="K27" s="3448" t="s">
        <v>3226</v>
      </c>
      <c r="L27" s="3448">
        <v>1294</v>
      </c>
      <c r="M27" s="3448">
        <v>1294</v>
      </c>
      <c r="N27" s="3448">
        <v>934.11</v>
      </c>
      <c r="O27" s="3448">
        <v>0</v>
      </c>
      <c r="P27" s="3448" t="s">
        <v>3227</v>
      </c>
      <c r="Q27" s="3448" t="s">
        <v>3142</v>
      </c>
      <c r="R27" s="3450">
        <f t="shared" si="1"/>
        <v>1495</v>
      </c>
    </row>
    <row r="28" spans="1:18">
      <c r="A28" s="3448" t="s">
        <v>3228</v>
      </c>
      <c r="B28" s="3448" t="s">
        <v>3135</v>
      </c>
      <c r="C28" s="3448" t="s">
        <v>3136</v>
      </c>
      <c r="D28" s="3448">
        <v>49592</v>
      </c>
      <c r="E28" s="3448">
        <v>59510.400000000001</v>
      </c>
      <c r="F28" s="3448" t="s">
        <v>3229</v>
      </c>
      <c r="G28" s="3448" t="s">
        <v>3138</v>
      </c>
      <c r="H28" s="3448" t="s">
        <v>2913</v>
      </c>
      <c r="I28" s="3448">
        <v>0</v>
      </c>
      <c r="J28" s="3448" t="s">
        <v>3226</v>
      </c>
      <c r="K28" s="3448" t="s">
        <v>3226</v>
      </c>
      <c r="L28" s="3448">
        <v>5852</v>
      </c>
      <c r="M28" s="3448">
        <v>5852</v>
      </c>
      <c r="N28" s="3448">
        <v>983.36</v>
      </c>
      <c r="O28" s="3448">
        <v>0</v>
      </c>
      <c r="P28" s="3448" t="s">
        <v>3227</v>
      </c>
      <c r="Q28" s="3448" t="s">
        <v>3142</v>
      </c>
      <c r="R28" s="3450">
        <f t="shared" si="1"/>
        <v>1180</v>
      </c>
    </row>
    <row r="29" spans="1:18">
      <c r="A29" s="3448" t="s">
        <v>3230</v>
      </c>
      <c r="B29" s="3448" t="s">
        <v>3135</v>
      </c>
      <c r="C29" s="3448" t="s">
        <v>3136</v>
      </c>
      <c r="D29" s="3448">
        <v>34</v>
      </c>
      <c r="E29" s="3448">
        <v>40.799999999999997</v>
      </c>
      <c r="F29" s="3448" t="s">
        <v>3231</v>
      </c>
      <c r="G29" s="3448" t="s">
        <v>3138</v>
      </c>
      <c r="H29" s="3448" t="s">
        <v>2915</v>
      </c>
      <c r="I29" s="3448">
        <v>0</v>
      </c>
      <c r="J29" s="3448" t="s">
        <v>3232</v>
      </c>
      <c r="K29" s="3448" t="s">
        <v>3232</v>
      </c>
      <c r="L29" s="3448">
        <v>7.5</v>
      </c>
      <c r="M29" s="3448">
        <v>7.5</v>
      </c>
      <c r="N29" s="3448">
        <v>1838.24</v>
      </c>
      <c r="O29" s="3448">
        <v>0</v>
      </c>
      <c r="P29" s="3448" t="s">
        <v>3233</v>
      </c>
      <c r="Q29" s="3448" t="s">
        <v>3142</v>
      </c>
      <c r="R29" s="3450">
        <f t="shared" si="1"/>
        <v>2206</v>
      </c>
    </row>
    <row r="30" spans="1:18">
      <c r="A30" s="3448" t="s">
        <v>3234</v>
      </c>
      <c r="B30" s="3448" t="s">
        <v>3135</v>
      </c>
      <c r="C30" s="3448" t="s">
        <v>3136</v>
      </c>
      <c r="D30" s="3448">
        <v>57.79</v>
      </c>
      <c r="E30" s="3448">
        <v>69.3</v>
      </c>
      <c r="F30" s="3448">
        <v>1.2</v>
      </c>
      <c r="G30" s="3448" t="s">
        <v>3138</v>
      </c>
      <c r="H30" s="3448" t="s">
        <v>3235</v>
      </c>
      <c r="I30" s="3448">
        <v>0</v>
      </c>
      <c r="J30" s="3448" t="s">
        <v>3236</v>
      </c>
      <c r="K30" s="3448" t="s">
        <v>3236</v>
      </c>
      <c r="L30" s="3448">
        <v>2.98</v>
      </c>
      <c r="M30" s="3448">
        <v>2.98</v>
      </c>
      <c r="N30" s="3448">
        <v>430.01</v>
      </c>
      <c r="O30" s="3448">
        <v>0</v>
      </c>
      <c r="P30" s="3448" t="s">
        <v>3237</v>
      </c>
      <c r="Q30" s="3448" t="s">
        <v>3142</v>
      </c>
      <c r="R30" s="3450">
        <f t="shared" si="1"/>
        <v>516</v>
      </c>
    </row>
    <row r="31" spans="1:18">
      <c r="A31" s="3448" t="s">
        <v>3238</v>
      </c>
      <c r="B31" s="3448" t="s">
        <v>3135</v>
      </c>
      <c r="C31" s="3448" t="s">
        <v>3136</v>
      </c>
      <c r="D31" s="3448">
        <v>13971</v>
      </c>
      <c r="E31" s="3448">
        <v>27942</v>
      </c>
      <c r="F31" s="3448" t="s">
        <v>3239</v>
      </c>
      <c r="G31" s="3448" t="s">
        <v>3138</v>
      </c>
      <c r="H31" s="3448" t="s">
        <v>2915</v>
      </c>
      <c r="I31" s="3448">
        <v>0</v>
      </c>
      <c r="J31" s="3448" t="s">
        <v>3240</v>
      </c>
      <c r="K31" s="3448" t="s">
        <v>3240</v>
      </c>
      <c r="L31" s="3448">
        <v>1891</v>
      </c>
      <c r="M31" s="3448">
        <v>1891</v>
      </c>
      <c r="N31" s="3448">
        <v>676.76</v>
      </c>
      <c r="O31" s="3448">
        <v>0</v>
      </c>
      <c r="P31" s="3448" t="s">
        <v>3241</v>
      </c>
      <c r="Q31" s="3448" t="s">
        <v>3155</v>
      </c>
      <c r="R31" s="3450">
        <f t="shared" si="1"/>
        <v>1354</v>
      </c>
    </row>
    <row r="32" spans="1:18">
      <c r="A32" s="3448" t="s">
        <v>3188</v>
      </c>
      <c r="B32" s="3448" t="s">
        <v>3135</v>
      </c>
      <c r="C32" s="3448" t="s">
        <v>3136</v>
      </c>
      <c r="D32" s="3448">
        <v>736.25</v>
      </c>
      <c r="E32" s="3448">
        <v>1472.5</v>
      </c>
      <c r="F32" s="3448" t="s">
        <v>3242</v>
      </c>
      <c r="G32" s="3448" t="s">
        <v>3138</v>
      </c>
      <c r="H32" s="3448" t="s">
        <v>2915</v>
      </c>
      <c r="I32" s="3448">
        <v>0</v>
      </c>
      <c r="J32" s="3448" t="s">
        <v>3243</v>
      </c>
      <c r="K32" s="3448" t="s">
        <v>3243</v>
      </c>
      <c r="L32" s="3448">
        <v>140.5</v>
      </c>
      <c r="M32" s="3448">
        <v>140.5</v>
      </c>
      <c r="N32" s="3448">
        <v>954.16</v>
      </c>
      <c r="O32" s="3448">
        <v>0</v>
      </c>
      <c r="P32" s="3448" t="s">
        <v>3190</v>
      </c>
      <c r="Q32" s="3448" t="s">
        <v>3142</v>
      </c>
      <c r="R32" s="3450">
        <f t="shared" si="1"/>
        <v>1908</v>
      </c>
    </row>
    <row r="33" spans="1:18">
      <c r="A33" s="3448" t="s">
        <v>3188</v>
      </c>
      <c r="B33" s="3448" t="s">
        <v>3135</v>
      </c>
      <c r="C33" s="3448" t="s">
        <v>3136</v>
      </c>
      <c r="D33" s="3448">
        <v>517.9</v>
      </c>
      <c r="E33" s="3448">
        <v>1035.8</v>
      </c>
      <c r="F33" s="3448" t="s">
        <v>3242</v>
      </c>
      <c r="G33" s="3448" t="s">
        <v>3138</v>
      </c>
      <c r="H33" s="3448" t="s">
        <v>2915</v>
      </c>
      <c r="I33" s="3448">
        <v>0</v>
      </c>
      <c r="J33" s="3448" t="s">
        <v>3243</v>
      </c>
      <c r="K33" s="3448" t="s">
        <v>3243</v>
      </c>
      <c r="L33" s="3448">
        <v>99</v>
      </c>
      <c r="M33" s="3448">
        <v>99</v>
      </c>
      <c r="N33" s="3448">
        <v>955.78</v>
      </c>
      <c r="O33" s="3448">
        <v>0</v>
      </c>
      <c r="P33" s="3448" t="s">
        <v>3190</v>
      </c>
      <c r="Q33" s="3448" t="s">
        <v>3142</v>
      </c>
      <c r="R33" s="3450">
        <f t="shared" si="1"/>
        <v>1912</v>
      </c>
    </row>
    <row r="34" spans="1:18">
      <c r="A34" s="3448" t="s">
        <v>3244</v>
      </c>
      <c r="B34" s="3448" t="s">
        <v>3135</v>
      </c>
      <c r="C34" s="3448" t="s">
        <v>3136</v>
      </c>
      <c r="D34" s="3448">
        <v>36878.400000000001</v>
      </c>
      <c r="E34" s="3448">
        <v>55317.599999999999</v>
      </c>
      <c r="F34" s="3448" t="s">
        <v>3245</v>
      </c>
      <c r="G34" s="3448" t="s">
        <v>3138</v>
      </c>
      <c r="H34" s="3448" t="s">
        <v>2915</v>
      </c>
      <c r="I34" s="3448">
        <v>0</v>
      </c>
      <c r="J34" s="3448" t="s">
        <v>3243</v>
      </c>
      <c r="K34" s="3448" t="s">
        <v>3243</v>
      </c>
      <c r="L34" s="3448">
        <v>4437</v>
      </c>
      <c r="M34" s="3448">
        <v>4437</v>
      </c>
      <c r="N34" s="3448">
        <v>802.1</v>
      </c>
      <c r="O34" s="3448">
        <v>0</v>
      </c>
      <c r="P34" s="3448" t="s">
        <v>3246</v>
      </c>
      <c r="Q34" s="3448" t="s">
        <v>3142</v>
      </c>
      <c r="R34" s="3450">
        <f t="shared" si="1"/>
        <v>1203</v>
      </c>
    </row>
    <row r="35" spans="1:18">
      <c r="A35" s="3448" t="s">
        <v>3188</v>
      </c>
      <c r="B35" s="3448" t="s">
        <v>3135</v>
      </c>
      <c r="C35" s="3448" t="s">
        <v>3136</v>
      </c>
      <c r="D35" s="3448">
        <v>78.959999999999994</v>
      </c>
      <c r="E35" s="3448">
        <v>157.9</v>
      </c>
      <c r="F35" s="3448" t="s">
        <v>3242</v>
      </c>
      <c r="G35" s="3448" t="s">
        <v>3138</v>
      </c>
      <c r="H35" s="3448" t="s">
        <v>2915</v>
      </c>
      <c r="I35" s="3448">
        <v>0</v>
      </c>
      <c r="J35" s="3448" t="s">
        <v>3243</v>
      </c>
      <c r="K35" s="3448" t="s">
        <v>3243</v>
      </c>
      <c r="L35" s="3448">
        <v>15.07</v>
      </c>
      <c r="M35" s="3448">
        <v>15.07</v>
      </c>
      <c r="N35" s="3448">
        <v>954.4</v>
      </c>
      <c r="O35" s="3448">
        <v>0</v>
      </c>
      <c r="P35" s="3448" t="s">
        <v>3190</v>
      </c>
      <c r="Q35" s="3448" t="s">
        <v>3142</v>
      </c>
      <c r="R35" s="3450">
        <f t="shared" si="1"/>
        <v>1909</v>
      </c>
    </row>
    <row r="36" spans="1:18">
      <c r="A36" s="3448" t="s">
        <v>3188</v>
      </c>
      <c r="B36" s="3448" t="s">
        <v>3135</v>
      </c>
      <c r="C36" s="3448" t="s">
        <v>3136</v>
      </c>
      <c r="D36" s="3448">
        <v>76.239999999999995</v>
      </c>
      <c r="E36" s="3448">
        <v>152.5</v>
      </c>
      <c r="F36" s="3448" t="s">
        <v>3242</v>
      </c>
      <c r="G36" s="3448" t="s">
        <v>3138</v>
      </c>
      <c r="H36" s="3448" t="s">
        <v>2915</v>
      </c>
      <c r="I36" s="3448">
        <v>0</v>
      </c>
      <c r="J36" s="3448" t="s">
        <v>3243</v>
      </c>
      <c r="K36" s="3448" t="s">
        <v>3243</v>
      </c>
      <c r="L36" s="3448">
        <v>14.6</v>
      </c>
      <c r="M36" s="3448">
        <v>14.6</v>
      </c>
      <c r="N36" s="3448">
        <v>957.38</v>
      </c>
      <c r="O36" s="3448">
        <v>0</v>
      </c>
      <c r="P36" s="3448" t="s">
        <v>3190</v>
      </c>
      <c r="Q36" s="3448" t="s">
        <v>3142</v>
      </c>
      <c r="R36" s="3450">
        <f t="shared" si="1"/>
        <v>1915</v>
      </c>
    </row>
    <row r="37" spans="1:18" s="3452" customFormat="1">
      <c r="A37" s="3451" t="s">
        <v>3247</v>
      </c>
      <c r="B37" s="3451" t="s">
        <v>3135</v>
      </c>
      <c r="C37" s="3451" t="s">
        <v>3136</v>
      </c>
      <c r="D37" s="3451">
        <v>39247.699999999997</v>
      </c>
      <c r="E37" s="3451">
        <v>86344.9</v>
      </c>
      <c r="F37" s="3451" t="s">
        <v>3248</v>
      </c>
      <c r="G37" s="3451" t="s">
        <v>3138</v>
      </c>
      <c r="H37" s="3451" t="s">
        <v>3235</v>
      </c>
      <c r="I37" s="3451">
        <v>0</v>
      </c>
      <c r="J37" s="3451" t="s">
        <v>3249</v>
      </c>
      <c r="K37" s="3451" t="s">
        <v>3249</v>
      </c>
      <c r="L37" s="3451">
        <v>7654</v>
      </c>
      <c r="M37" s="3451">
        <v>7654</v>
      </c>
      <c r="N37" s="3451">
        <v>886.44</v>
      </c>
      <c r="O37" s="3451">
        <v>0</v>
      </c>
      <c r="P37" s="3451" t="s">
        <v>3250</v>
      </c>
      <c r="Q37" s="3451" t="s">
        <v>3142</v>
      </c>
      <c r="R37" s="3452">
        <f t="shared" si="1"/>
        <v>1950</v>
      </c>
    </row>
    <row r="38" spans="1:18">
      <c r="A38" s="3448" t="s">
        <v>3251</v>
      </c>
      <c r="B38" s="3448" t="s">
        <v>3135</v>
      </c>
      <c r="C38" s="3448" t="s">
        <v>3136</v>
      </c>
      <c r="D38" s="3448">
        <v>60.5</v>
      </c>
      <c r="E38" s="3448">
        <v>133.1</v>
      </c>
      <c r="F38" s="3448" t="s">
        <v>3252</v>
      </c>
      <c r="G38" s="3448" t="s">
        <v>3138</v>
      </c>
      <c r="H38" s="3448" t="s">
        <v>3139</v>
      </c>
      <c r="I38" s="3448">
        <v>0</v>
      </c>
      <c r="J38" s="3448" t="s">
        <v>3253</v>
      </c>
      <c r="K38" s="3448" t="s">
        <v>3253</v>
      </c>
      <c r="L38" s="3448">
        <v>12</v>
      </c>
      <c r="M38" s="3448">
        <v>12</v>
      </c>
      <c r="N38" s="3448">
        <v>901.58</v>
      </c>
      <c r="O38" s="3448">
        <v>0</v>
      </c>
      <c r="P38" s="3448" t="s">
        <v>3254</v>
      </c>
      <c r="Q38" s="3448" t="s">
        <v>3142</v>
      </c>
      <c r="R38" s="3450">
        <f t="shared" si="1"/>
        <v>1983</v>
      </c>
    </row>
    <row r="39" spans="1:18">
      <c r="A39" s="3448" t="s">
        <v>3251</v>
      </c>
      <c r="B39" s="3448" t="s">
        <v>3135</v>
      </c>
      <c r="C39" s="3448" t="s">
        <v>3136</v>
      </c>
      <c r="D39" s="3448">
        <v>1217.56</v>
      </c>
      <c r="E39" s="3448">
        <v>2678.6</v>
      </c>
      <c r="F39" s="3448" t="s">
        <v>3252</v>
      </c>
      <c r="G39" s="3448" t="s">
        <v>3138</v>
      </c>
      <c r="H39" s="3448" t="s">
        <v>3139</v>
      </c>
      <c r="I39" s="3448">
        <v>0</v>
      </c>
      <c r="J39" s="3448" t="s">
        <v>3253</v>
      </c>
      <c r="K39" s="3448" t="s">
        <v>3253</v>
      </c>
      <c r="L39" s="3448">
        <v>238</v>
      </c>
      <c r="M39" s="3448">
        <v>238</v>
      </c>
      <c r="N39" s="3448">
        <v>888.52</v>
      </c>
      <c r="O39" s="3448">
        <v>0</v>
      </c>
      <c r="P39" s="3448" t="s">
        <v>3254</v>
      </c>
      <c r="Q39" s="3448" t="s">
        <v>3142</v>
      </c>
      <c r="R39" s="3450">
        <f t="shared" si="1"/>
        <v>1955</v>
      </c>
    </row>
    <row r="40" spans="1:18">
      <c r="A40" s="3448" t="s">
        <v>3255</v>
      </c>
      <c r="B40" s="3448" t="s">
        <v>3135</v>
      </c>
      <c r="C40" s="3448" t="s">
        <v>3136</v>
      </c>
      <c r="D40" s="3448">
        <v>1258.25</v>
      </c>
      <c r="E40" s="3448">
        <v>2768.15</v>
      </c>
      <c r="F40" s="3448" t="s">
        <v>3256</v>
      </c>
      <c r="G40" s="3448" t="s">
        <v>3138</v>
      </c>
      <c r="H40" s="3448" t="s">
        <v>2905</v>
      </c>
      <c r="I40" s="3448">
        <v>0</v>
      </c>
      <c r="J40" s="3448" t="s">
        <v>3253</v>
      </c>
      <c r="K40" s="3448" t="s">
        <v>3253</v>
      </c>
      <c r="L40" s="3448">
        <v>297</v>
      </c>
      <c r="M40" s="3448">
        <v>297</v>
      </c>
      <c r="N40" s="3448">
        <v>1072.92</v>
      </c>
      <c r="O40" s="3448">
        <v>0</v>
      </c>
      <c r="P40" s="3448" t="s">
        <v>3257</v>
      </c>
      <c r="Q40" s="3448" t="s">
        <v>3142</v>
      </c>
      <c r="R40" s="3450">
        <f t="shared" si="1"/>
        <v>2360</v>
      </c>
    </row>
    <row r="41" spans="1:18">
      <c r="A41" s="3448" t="s">
        <v>3251</v>
      </c>
      <c r="B41" s="3448" t="s">
        <v>3135</v>
      </c>
      <c r="C41" s="3448" t="s">
        <v>3136</v>
      </c>
      <c r="D41" s="3448">
        <v>209.73</v>
      </c>
      <c r="E41" s="3448">
        <v>461.4</v>
      </c>
      <c r="F41" s="3448" t="s">
        <v>3252</v>
      </c>
      <c r="G41" s="3448" t="s">
        <v>3138</v>
      </c>
      <c r="H41" s="3448" t="s">
        <v>3139</v>
      </c>
      <c r="I41" s="3448">
        <v>0</v>
      </c>
      <c r="J41" s="3448" t="s">
        <v>3253</v>
      </c>
      <c r="K41" s="3448" t="s">
        <v>3253</v>
      </c>
      <c r="L41" s="3448">
        <v>41</v>
      </c>
      <c r="M41" s="3448">
        <v>41</v>
      </c>
      <c r="N41" s="3448">
        <v>888.6</v>
      </c>
      <c r="O41" s="3448">
        <v>0</v>
      </c>
      <c r="P41" s="3448" t="s">
        <v>3254</v>
      </c>
      <c r="Q41" s="3448" t="s">
        <v>3142</v>
      </c>
      <c r="R41" s="3450">
        <f t="shared" si="1"/>
        <v>1955</v>
      </c>
    </row>
    <row r="42" spans="1:18">
      <c r="A42" s="3448" t="s">
        <v>3255</v>
      </c>
      <c r="B42" s="3448" t="s">
        <v>3135</v>
      </c>
      <c r="C42" s="3448" t="s">
        <v>3136</v>
      </c>
      <c r="D42" s="3448">
        <v>85.11</v>
      </c>
      <c r="E42" s="3448">
        <v>187.24</v>
      </c>
      <c r="F42" s="3448" t="s">
        <v>3256</v>
      </c>
      <c r="G42" s="3448" t="s">
        <v>3138</v>
      </c>
      <c r="H42" s="3448" t="s">
        <v>2905</v>
      </c>
      <c r="I42" s="3448">
        <v>0</v>
      </c>
      <c r="J42" s="3448" t="s">
        <v>3253</v>
      </c>
      <c r="K42" s="3448" t="s">
        <v>3253</v>
      </c>
      <c r="L42" s="3448">
        <v>21</v>
      </c>
      <c r="M42" s="3448">
        <v>21</v>
      </c>
      <c r="N42" s="3448">
        <v>1121.56</v>
      </c>
      <c r="O42" s="3448">
        <v>0</v>
      </c>
      <c r="P42" s="3448" t="s">
        <v>3257</v>
      </c>
      <c r="Q42" s="3448" t="s">
        <v>3142</v>
      </c>
      <c r="R42" s="3450">
        <f t="shared" si="1"/>
        <v>2467</v>
      </c>
    </row>
    <row r="43" spans="1:18">
      <c r="A43" s="3448" t="s">
        <v>3251</v>
      </c>
      <c r="B43" s="3448" t="s">
        <v>3135</v>
      </c>
      <c r="C43" s="3448" t="s">
        <v>3136</v>
      </c>
      <c r="D43" s="3448">
        <v>140.12</v>
      </c>
      <c r="E43" s="3448">
        <v>308.3</v>
      </c>
      <c r="F43" s="3448" t="s">
        <v>3252</v>
      </c>
      <c r="G43" s="3448" t="s">
        <v>3138</v>
      </c>
      <c r="H43" s="3448" t="s">
        <v>3139</v>
      </c>
      <c r="I43" s="3448">
        <v>0</v>
      </c>
      <c r="J43" s="3448" t="s">
        <v>3253</v>
      </c>
      <c r="K43" s="3448" t="s">
        <v>3253</v>
      </c>
      <c r="L43" s="3448">
        <v>28</v>
      </c>
      <c r="M43" s="3448">
        <v>28</v>
      </c>
      <c r="N43" s="3448">
        <v>908.21</v>
      </c>
      <c r="O43" s="3448">
        <v>0</v>
      </c>
      <c r="P43" s="3448" t="s">
        <v>3254</v>
      </c>
      <c r="Q43" s="3448" t="s">
        <v>3142</v>
      </c>
      <c r="R43" s="3450">
        <f t="shared" si="1"/>
        <v>1998</v>
      </c>
    </row>
    <row r="44" spans="1:18">
      <c r="A44" s="3448" t="s">
        <v>3258</v>
      </c>
      <c r="B44" s="3448" t="s">
        <v>3135</v>
      </c>
      <c r="C44" s="3448" t="s">
        <v>3136</v>
      </c>
      <c r="D44" s="3448">
        <v>9808.86</v>
      </c>
      <c r="E44" s="3448">
        <v>24522.2</v>
      </c>
      <c r="F44" s="3448" t="s">
        <v>3259</v>
      </c>
      <c r="G44" s="3448" t="s">
        <v>3138</v>
      </c>
      <c r="H44" s="3448" t="s">
        <v>3235</v>
      </c>
      <c r="I44" s="3448">
        <v>0</v>
      </c>
      <c r="J44" s="3448" t="s">
        <v>3260</v>
      </c>
      <c r="K44" s="3448" t="s">
        <v>3260</v>
      </c>
      <c r="L44" s="3448">
        <v>3164</v>
      </c>
      <c r="M44" s="3448">
        <v>3164</v>
      </c>
      <c r="N44" s="3448">
        <v>1290.26</v>
      </c>
      <c r="O44" s="3448">
        <v>0</v>
      </c>
      <c r="P44" s="3448" t="s">
        <v>3261</v>
      </c>
      <c r="Q44" s="3448" t="s">
        <v>3142</v>
      </c>
      <c r="R44" s="3450">
        <f t="shared" si="1"/>
        <v>3226</v>
      </c>
    </row>
    <row r="45" spans="1:18">
      <c r="A45" s="3448" t="s">
        <v>3262</v>
      </c>
      <c r="B45" s="3448" t="s">
        <v>3135</v>
      </c>
      <c r="C45" s="3448" t="s">
        <v>3136</v>
      </c>
      <c r="D45" s="3448">
        <v>10572.03</v>
      </c>
      <c r="E45" s="3448">
        <v>26430.080000000002</v>
      </c>
      <c r="F45" s="3448" t="s">
        <v>3263</v>
      </c>
      <c r="G45" s="3448" t="s">
        <v>3138</v>
      </c>
      <c r="H45" s="3448" t="s">
        <v>2915</v>
      </c>
      <c r="I45" s="3448">
        <v>0</v>
      </c>
      <c r="J45" s="3448" t="s">
        <v>3260</v>
      </c>
      <c r="K45" s="3448" t="s">
        <v>3260</v>
      </c>
      <c r="L45" s="3448">
        <v>3331</v>
      </c>
      <c r="M45" s="3448">
        <v>3331</v>
      </c>
      <c r="N45" s="3448">
        <v>1260.31</v>
      </c>
      <c r="O45" s="3448">
        <v>0</v>
      </c>
      <c r="P45" s="3448" t="s">
        <v>3241</v>
      </c>
      <c r="Q45" s="3448" t="s">
        <v>3142</v>
      </c>
      <c r="R45" s="3450">
        <f t="shared" si="1"/>
        <v>3151</v>
      </c>
    </row>
    <row r="46" spans="1:18">
      <c r="A46" s="3448" t="s">
        <v>3264</v>
      </c>
      <c r="B46" s="3448" t="s">
        <v>3135</v>
      </c>
      <c r="C46" s="3448" t="s">
        <v>3136</v>
      </c>
      <c r="D46" s="3448">
        <v>4544.3999999999996</v>
      </c>
      <c r="E46" s="3448">
        <v>6816.6</v>
      </c>
      <c r="F46" s="3448" t="s">
        <v>3265</v>
      </c>
      <c r="G46" s="3448" t="s">
        <v>3138</v>
      </c>
      <c r="H46" s="3448" t="s">
        <v>2915</v>
      </c>
      <c r="I46" s="3448">
        <v>0</v>
      </c>
      <c r="J46" s="3448" t="s">
        <v>3266</v>
      </c>
      <c r="K46" s="3448" t="s">
        <v>3266</v>
      </c>
      <c r="L46" s="3448">
        <v>1091</v>
      </c>
      <c r="M46" s="3448">
        <v>1091</v>
      </c>
      <c r="N46" s="3448">
        <v>1600.5</v>
      </c>
      <c r="O46" s="3448">
        <v>0</v>
      </c>
      <c r="P46" s="3448" t="s">
        <v>3267</v>
      </c>
      <c r="Q46" s="3448" t="s">
        <v>3142</v>
      </c>
      <c r="R46" s="3450">
        <f t="shared" si="1"/>
        <v>2401</v>
      </c>
    </row>
    <row r="47" spans="1:18">
      <c r="A47" s="3448" t="s">
        <v>3268</v>
      </c>
      <c r="B47" s="3448" t="s">
        <v>3135</v>
      </c>
      <c r="C47" s="3448" t="s">
        <v>3136</v>
      </c>
      <c r="D47" s="3448">
        <v>1379</v>
      </c>
      <c r="E47" s="3448">
        <v>2482.1999999999998</v>
      </c>
      <c r="F47" s="3448" t="s">
        <v>3269</v>
      </c>
      <c r="G47" s="3448" t="s">
        <v>3138</v>
      </c>
      <c r="H47" s="3448" t="s">
        <v>3139</v>
      </c>
      <c r="I47" s="3448">
        <v>0</v>
      </c>
      <c r="J47" s="3448" t="s">
        <v>3270</v>
      </c>
      <c r="K47" s="3448" t="s">
        <v>3270</v>
      </c>
      <c r="L47" s="3448">
        <v>67</v>
      </c>
      <c r="M47" s="3448">
        <v>67</v>
      </c>
      <c r="N47" s="3448">
        <v>269.92</v>
      </c>
      <c r="O47" s="3448">
        <v>0</v>
      </c>
      <c r="P47" s="3448" t="s">
        <v>3271</v>
      </c>
      <c r="Q47" s="3448" t="s">
        <v>3216</v>
      </c>
      <c r="R47" s="3450">
        <f t="shared" si="1"/>
        <v>486</v>
      </c>
    </row>
    <row r="48" spans="1:18">
      <c r="A48" s="3448" t="s">
        <v>3272</v>
      </c>
      <c r="B48" s="3448" t="s">
        <v>3135</v>
      </c>
      <c r="C48" s="3448" t="s">
        <v>3136</v>
      </c>
      <c r="D48" s="3448">
        <v>2719</v>
      </c>
      <c r="E48" s="3448">
        <v>4894.2</v>
      </c>
      <c r="F48" s="3448" t="s">
        <v>3269</v>
      </c>
      <c r="G48" s="3448" t="s">
        <v>3138</v>
      </c>
      <c r="H48" s="3448" t="s">
        <v>3139</v>
      </c>
      <c r="I48" s="3448">
        <v>0</v>
      </c>
      <c r="J48" s="3448" t="s">
        <v>3270</v>
      </c>
      <c r="K48" s="3448" t="s">
        <v>3270</v>
      </c>
      <c r="L48" s="3448">
        <v>104</v>
      </c>
      <c r="M48" s="3448">
        <v>104</v>
      </c>
      <c r="N48" s="3448">
        <v>212.5</v>
      </c>
      <c r="O48" s="3448">
        <v>0</v>
      </c>
      <c r="P48" s="3448" t="s">
        <v>3271</v>
      </c>
      <c r="Q48" s="3448" t="s">
        <v>3216</v>
      </c>
      <c r="R48" s="3450">
        <f t="shared" si="1"/>
        <v>382</v>
      </c>
    </row>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56.25">
      <c r="A7" s="1666" t="s">
        <v>2464</v>
      </c>
    </row>
    <row r="8" spans="1:4" ht="18.75">
      <c r="A8" s="1665" t="s">
        <v>1702</v>
      </c>
    </row>
    <row r="9" spans="1:4" ht="75">
      <c r="A9" s="166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2022年9月15日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18.75">
      <c r="A21" s="1662" t="s">
        <v>1866</v>
      </c>
    </row>
    <row r="22" spans="1:1" ht="56.2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本次估价对象为出让国有建设用地使用权，《国有土地使用证》[]证载土地终止日期为商业2054年4月17日。截至估价期日，出让国有建设用地使用权剩余土地使用年限为。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36" sqref="N36"/>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31" s="1879" customFormat="1" ht="18" customHeight="1">
      <c r="A2" s="1938" t="s">
        <v>461</v>
      </c>
      <c r="B2" s="1942">
        <f ca="1">C36</f>
        <v>1757</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9812</v>
      </c>
      <c r="C3" s="1941"/>
      <c r="D3" s="1941"/>
      <c r="E3" s="1941"/>
      <c r="F3" s="1941"/>
      <c r="G3" s="1941"/>
      <c r="H3" s="1941"/>
      <c r="I3" s="1941"/>
      <c r="J3" s="1941"/>
      <c r="K3" s="1941"/>
      <c r="L3" s="290">
        <f>Sheet2!L12</f>
        <v>1757</v>
      </c>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1068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71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SUM(C10:K10)</f>
        <v>3530</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t="s">
        <v>3280</v>
      </c>
      <c r="D7" s="430"/>
      <c r="E7" s="430"/>
      <c r="F7" s="430"/>
      <c r="G7" s="430"/>
      <c r="H7" s="430"/>
      <c r="I7" s="430"/>
      <c r="J7" s="430"/>
      <c r="K7" s="431"/>
      <c r="AA7" s="1949"/>
      <c r="AB7" s="1949"/>
      <c r="AC7" s="1949"/>
      <c r="AD7" s="1949"/>
      <c r="AE7" s="1949"/>
    </row>
    <row r="8" spans="1:31" s="1952" customFormat="1" ht="13.5" customHeight="1">
      <c r="A8" s="776" t="s">
        <v>1645</v>
      </c>
      <c r="B8" s="259" t="s">
        <v>466</v>
      </c>
      <c r="C8" s="2474"/>
      <c r="D8" s="2474"/>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1790.62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4">
        <v>3530</v>
      </c>
      <c r="D10" s="2664"/>
      <c r="E10" s="2664"/>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1648</v>
      </c>
      <c r="B13" s="2483" t="s">
        <v>473</v>
      </c>
      <c r="C13" s="443">
        <f ca="1">IF(B1="",'数据-取费表'!P16,INDIRECT("'数据-取费表'!p"&amp;$K$1)+INDIRECT("'数据-取费表'!t"&amp;$K$1))</f>
        <v>895</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27</v>
      </c>
      <c r="D14" s="2484"/>
      <c r="E14" s="2485"/>
      <c r="F14" s="2487">
        <f>'数据-取费表'!B33</f>
        <v>0.03</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0</v>
      </c>
      <c r="D15" s="2484"/>
      <c r="E15" s="2485"/>
      <c r="F15" s="2487">
        <f>'数据-取费表'!B34</f>
        <v>0.05</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36</v>
      </c>
      <c r="D16" s="2484">
        <f ca="1">IF(B1="",'数据-汇总表'!E3,INDIRECT("'数据-取费表'!K"&amp;$K$1)+INDIRECT("'数据-取费表'!S"&amp;$K$1))</f>
        <v>1790.62</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13</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971</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0</v>
      </c>
      <c r="D19" s="2494">
        <f ca="1">D16</f>
        <v>1790.62</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36</v>
      </c>
      <c r="D20" s="2494"/>
      <c r="E20" s="2448"/>
      <c r="F20" s="2495"/>
      <c r="G20" s="2695"/>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0</v>
      </c>
      <c r="D21" s="2484">
        <f ca="1">IF(B1="",'数据-汇总表'!E5,IF(INDIRECT("'数据-取费表'!c"&amp;$K$1)="住宅",INDIRECT("'数据-取费表'!k"&amp;$K$1),0))</f>
        <v>0</v>
      </c>
      <c r="E21" s="53">
        <f>'数据-取费表'!B27</f>
        <v>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36</v>
      </c>
      <c r="D22" s="2484">
        <f ca="1">IF(B1="",'数据-汇总表'!E6,IF(INDIRECT("'数据-取费表'!c"&amp;$K$1)="住宅",INDIRECT("'数据-取费表'!s"&amp;$K$1),INDIRECT("'数据-取费表'!k"&amp;$K$1)+INDIRECT("'数据-取费表'!s"&amp;$K$1)))</f>
        <v>1790.62</v>
      </c>
      <c r="E22" s="53">
        <f>'数据-取费表'!B28</f>
        <v>200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8" t="s">
        <v>2548</v>
      </c>
      <c r="C23" s="2492">
        <f ca="1">ROUND((C18+C19+C20)*F23,0)</f>
        <v>20</v>
      </c>
      <c r="D23" s="461"/>
      <c r="E23" s="461"/>
      <c r="F23" s="2496">
        <f>'数据-取费表'!B37</f>
        <v>0.02</v>
      </c>
      <c r="G23" s="2452" t="s">
        <v>2217</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1659</v>
      </c>
      <c r="B24" s="2668" t="s">
        <v>2551</v>
      </c>
      <c r="C24" s="2492">
        <f>ROUND(C6*F24,0)</f>
        <v>71</v>
      </c>
      <c r="D24" s="468"/>
      <c r="E24" s="466"/>
      <c r="F24" s="2496">
        <f>'数据-取费表'!B38</f>
        <v>0.02</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1660</v>
      </c>
      <c r="B25" s="2668" t="s">
        <v>2549</v>
      </c>
      <c r="C25" s="460">
        <f>ROUND(F25/(1+'数据-取费表'!C42),4)</f>
        <v>2.9000000000000001E-2</v>
      </c>
      <c r="D25" s="455" t="s">
        <v>2544</v>
      </c>
      <c r="E25" s="462"/>
      <c r="F25" s="2496">
        <f>IF(项目基本情况!B8="出让",0,'数据-取费表'!B48+'数据-取费表'!B49)</f>
        <v>3.0499999999999999E-2</v>
      </c>
      <c r="G25" s="2460" t="s">
        <v>2080</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1661</v>
      </c>
      <c r="B26" s="2669" t="s">
        <v>2550</v>
      </c>
      <c r="C26" s="2497">
        <f ca="1">C28</f>
        <v>0</v>
      </c>
      <c r="D26" s="460">
        <f ca="1">C27</f>
        <v>0</v>
      </c>
      <c r="E26" s="462" t="s">
        <v>489</v>
      </c>
      <c r="F26" s="464">
        <f ca="1">'数据-取费表'!B40</f>
        <v>4.1499999999999995E-2</v>
      </c>
      <c r="G26" s="2347" t="str">
        <f>IF('数据-取费表'!B22&lt;=1,"单利计息。","复利计息。")&amp;"后续开发成本、管理费用及销售费用产生的利息。"</f>
        <v>复利计息。后续开发成本、管理费用及销售费用产生的利息。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1656</v>
      </c>
      <c r="B27" s="2498" t="s">
        <v>490</v>
      </c>
      <c r="C27" s="2499">
        <f ca="1">ROUND(IF('数据-取费表'!B22&lt;=1,(1+C25)*F26*'数据-取费表'!B24,(1+C25)*(POWER((1+F26),'数据-取费表'!B24)-1)),4)</f>
        <v>0</v>
      </c>
      <c r="D27" s="465"/>
      <c r="E27" s="466"/>
      <c r="F27" s="467"/>
      <c r="G27" s="2347" t="str">
        <f>IF('数据-取费表'!B22&lt;=1,"（1+取得税费率/(1+5%)）×年利率×建设期","（1+取得税费率）/(1+5%)×((1+年利率)^建设期-1)")</f>
        <v>（1+取得税费率）/(1+5%)×((1+年利率)^建设期-1)</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1657</v>
      </c>
      <c r="B28" s="2498" t="s">
        <v>2552</v>
      </c>
      <c r="C28" s="2500">
        <f ca="1">ROUND(IF('数据-取费表'!B22&lt;=1,(C18+C19+C20+C23+C24)*F26*'数据-取费表'!B24/2,(C18+C19+C20+C23+C24)*(POWER((1+F26),'数据-取费表'!B24/2)-1)),0)</f>
        <v>0</v>
      </c>
      <c r="D28" s="465"/>
      <c r="E28" s="466"/>
      <c r="F28" s="467"/>
      <c r="G28" s="2347" t="str">
        <f>IF('数据-取费表'!B22&lt;=1,"（1）-（4）项×年利率×建设期÷2","（1）-（4）项×((1+年利率)^(建设期÷2)-1)")</f>
        <v>（1）-（4）项×((1+年利率)^(建设期÷2)-1)</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1662</v>
      </c>
      <c r="B29" s="2491" t="s">
        <v>491</v>
      </c>
      <c r="C29" s="2492">
        <f>ROUND(C6*F29/(1+'数据-取费表'!C42),0)</f>
        <v>188</v>
      </c>
      <c r="D29" s="461"/>
      <c r="E29" s="461"/>
      <c r="F29" s="2670">
        <f>'数据-取费表'!B41</f>
        <v>5.6000000000000001E-2</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1663</v>
      </c>
      <c r="B30" s="2502" t="s">
        <v>494</v>
      </c>
      <c r="C30" s="2497">
        <f ca="1">C31</f>
        <v>1286</v>
      </c>
      <c r="D30" s="470">
        <f ca="1">C32</f>
        <v>2.9000000000000001E-2</v>
      </c>
      <c r="E30" s="462" t="s">
        <v>489</v>
      </c>
      <c r="F30" s="464"/>
      <c r="G30" s="2460" t="s">
        <v>2669</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1656</v>
      </c>
      <c r="B31" s="2498"/>
      <c r="C31" s="443">
        <f ca="1">C18+C19+C20+C23+C24+C26+C29</f>
        <v>1286</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1657</v>
      </c>
      <c r="B32" s="2498"/>
      <c r="C32" s="53">
        <f ca="1">ROUND(C25+D26,4)</f>
        <v>2.9000000000000001E-2</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2547</v>
      </c>
      <c r="B33" s="2665" t="s">
        <v>2545</v>
      </c>
      <c r="C33" s="471">
        <f ca="1">C35</f>
        <v>165</v>
      </c>
      <c r="D33" s="460">
        <f ca="1">C34</f>
        <v>0.15440000000000001</v>
      </c>
      <c r="E33" s="462" t="s">
        <v>489</v>
      </c>
      <c r="F33" s="472">
        <f ca="1">IF(B1="",'数据-取费表'!Q16,INDIRECT("'数据-取费表'!q"&amp;$K$1))</f>
        <v>0.15</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1656</v>
      </c>
      <c r="B34" s="2503" t="s">
        <v>495</v>
      </c>
      <c r="C34" s="465">
        <f ca="1">ROUND((1+C25)*F33,4)</f>
        <v>0.15440000000000001</v>
      </c>
      <c r="D34" s="465"/>
      <c r="E34" s="466"/>
      <c r="F34" s="473"/>
      <c r="G34" s="259" t="s">
        <v>2081</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1657</v>
      </c>
      <c r="B35" s="2666" t="s">
        <v>2553</v>
      </c>
      <c r="C35" s="1513">
        <f ca="1">ROUND((C18+C19+C20+C23+C24)*F33,0)</f>
        <v>165</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1644</v>
      </c>
      <c r="B36" s="2466"/>
      <c r="C36" s="2505">
        <f ca="1">ROUND((C6-C30-C33)/(1+D30+D33),0)</f>
        <v>1757</v>
      </c>
      <c r="D36" s="2466"/>
      <c r="E36" s="2466"/>
      <c r="F36" s="2466"/>
      <c r="G36" s="2465" t="s">
        <v>2554</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t="s">
        <v>3280</v>
      </c>
      <c r="D1" s="2717" t="s">
        <v>931</v>
      </c>
      <c r="E1" s="2197" t="s">
        <v>2161</v>
      </c>
      <c r="F1" s="2198">
        <f ca="1">J53</f>
        <v>31.6</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f ca="1">C40+J29+L46</f>
        <v>1695</v>
      </c>
      <c r="C2" s="3173"/>
      <c r="D2" s="3174"/>
      <c r="E2" s="3175"/>
      <c r="F2" s="3175"/>
      <c r="G2" s="3169"/>
      <c r="H2" s="1895"/>
      <c r="I2" s="1895"/>
      <c r="J2" s="1895"/>
      <c r="K2" s="1896"/>
      <c r="L2" s="1895"/>
      <c r="M2" s="1895"/>
    </row>
    <row r="3" spans="1:33" ht="18" customHeight="1" thickBot="1">
      <c r="A3" s="805" t="s">
        <v>1527</v>
      </c>
      <c r="B3" s="806">
        <f ca="1">IF(ISERROR(B2*10000/F43),0,ROUND(B2*10000/F43,0))</f>
        <v>9466</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180</v>
      </c>
      <c r="D5" s="2302" t="s">
        <v>2240</v>
      </c>
      <c r="E5" s="2296"/>
      <c r="F5" s="2297"/>
      <c r="G5" s="1900"/>
      <c r="H5" s="754">
        <v>1</v>
      </c>
      <c r="I5" s="755" t="s">
        <v>2237</v>
      </c>
      <c r="J5" s="55">
        <f ca="1">J6+J10+J12</f>
        <v>0</v>
      </c>
      <c r="K5" s="2302" t="s">
        <v>2240</v>
      </c>
      <c r="L5" s="2296"/>
      <c r="M5" s="2297"/>
    </row>
    <row r="6" spans="1:33" ht="18" customHeight="1">
      <c r="A6" s="1701" t="s">
        <v>1624</v>
      </c>
      <c r="B6" s="3748" t="s">
        <v>2242</v>
      </c>
      <c r="C6" s="756">
        <f ca="1">ROUND(F6*F8*F7*(1-F9)/10000,0)</f>
        <v>180</v>
      </c>
      <c r="D6" s="2303" t="s">
        <v>2241</v>
      </c>
      <c r="E6" s="757" t="s">
        <v>1538</v>
      </c>
      <c r="F6" s="758">
        <f ca="1">INDIRECT("'数据-取费表'!u"&amp;$G$1)</f>
        <v>2000000</v>
      </c>
      <c r="G6" s="1900"/>
      <c r="H6" s="2310" t="s">
        <v>2247</v>
      </c>
      <c r="I6" s="3748" t="s">
        <v>2242</v>
      </c>
      <c r="J6" s="756">
        <f ca="1">ROUND(M6*M8*M7*(1-M9)/10000,0)</f>
        <v>0</v>
      </c>
      <c r="K6" s="339" t="s">
        <v>1537</v>
      </c>
      <c r="L6" s="757" t="s">
        <v>1538</v>
      </c>
      <c r="M6" s="758">
        <f ca="1">INDIRECT("'数据-取费表'!z"&amp;$G$1)</f>
        <v>0</v>
      </c>
    </row>
    <row r="7" spans="1:33" ht="18" customHeight="1">
      <c r="A7" s="2306"/>
      <c r="B7" s="3749"/>
      <c r="C7" s="761"/>
      <c r="D7" s="762"/>
      <c r="E7" s="757" t="s">
        <v>1539</v>
      </c>
      <c r="F7" s="758">
        <f ca="1">IF(INDIRECT("'数据-取费表'!ah"&amp;$G$1)="",INDIRECT("'数据-取费表'!k"&amp;$G$1),INDIRECT("'数据-取费表'!ah"&amp;$G$1))</f>
        <v>1</v>
      </c>
      <c r="G7" s="1900"/>
      <c r="H7" s="2295"/>
      <c r="I7" s="3749"/>
      <c r="J7" s="761"/>
      <c r="K7" s="762"/>
      <c r="L7" s="757" t="s">
        <v>1539</v>
      </c>
      <c r="M7" s="758">
        <f ca="1">F7</f>
        <v>1</v>
      </c>
    </row>
    <row r="8" spans="1:33" ht="18" customHeight="1">
      <c r="A8" s="2299"/>
      <c r="B8" s="3750"/>
      <c r="C8" s="761"/>
      <c r="D8" s="762"/>
      <c r="E8" s="757" t="s">
        <v>1540</v>
      </c>
      <c r="F8" s="758">
        <f ca="1">INDIRECT("'数据-取费表'!ai"&amp;$G$1)</f>
        <v>1</v>
      </c>
      <c r="G8" s="1900"/>
      <c r="H8" s="2295"/>
      <c r="I8" s="3750"/>
      <c r="J8" s="761"/>
      <c r="K8" s="762"/>
      <c r="L8" s="757" t="s">
        <v>1540</v>
      </c>
      <c r="M8" s="758">
        <f ca="1">INDIRECT("'数据-取费表'!ai"&amp;$G$1)</f>
        <v>1</v>
      </c>
    </row>
    <row r="9" spans="1:33" ht="18" customHeight="1">
      <c r="A9" s="759"/>
      <c r="B9" s="3751"/>
      <c r="C9" s="761"/>
      <c r="D9" s="762"/>
      <c r="E9" s="757" t="s">
        <v>1541</v>
      </c>
      <c r="F9" s="767">
        <f ca="1">INDIRECT("'数据-取费表'!w"&amp;$G$1)</f>
        <v>0.1</v>
      </c>
      <c r="G9" s="1900"/>
      <c r="H9" s="2311"/>
      <c r="I9" s="3750"/>
      <c r="J9" s="761"/>
      <c r="K9" s="762"/>
      <c r="L9" s="768" t="s">
        <v>1541</v>
      </c>
      <c r="M9" s="769">
        <f ca="1">INDIRECT("'数据-取费表'!ab"&amp;$G$1)</f>
        <v>0</v>
      </c>
    </row>
    <row r="10" spans="1:33" ht="18" customHeight="1">
      <c r="A10" s="1701" t="s">
        <v>2245</v>
      </c>
      <c r="B10" s="2300" t="s">
        <v>2238</v>
      </c>
      <c r="C10" s="772">
        <f ca="1">ROUND(IF(F10="押一",C6/12*F11,IF(F10="押二",C6/12*2*F11,IF(F10="押三",C6/12*3*F11,C11*F11))),0)</f>
        <v>0</v>
      </c>
      <c r="D10" s="2307" t="s">
        <v>2671</v>
      </c>
      <c r="E10" s="2304" t="s">
        <v>2243</v>
      </c>
      <c r="F10" s="2388" t="s">
        <v>3291</v>
      </c>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1279</v>
      </c>
      <c r="D13" s="1705" t="s">
        <v>2087</v>
      </c>
      <c r="E13" s="1705" t="s">
        <v>1544</v>
      </c>
      <c r="F13" s="2313">
        <f ca="1">INDIRECT("'数据-取费表'!y"&amp;$G$1)</f>
        <v>1</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895</v>
      </c>
      <c r="D14" s="1848" t="s">
        <v>1545</v>
      </c>
      <c r="E14" s="1849"/>
      <c r="F14" s="778"/>
      <c r="G14" s="1900"/>
      <c r="H14" s="1533" t="s">
        <v>1630</v>
      </c>
      <c r="I14" s="2066" t="s">
        <v>2542</v>
      </c>
      <c r="J14" s="53">
        <f ca="1">C29</f>
        <v>1279</v>
      </c>
      <c r="K14" s="26"/>
      <c r="L14" s="774"/>
      <c r="M14" s="775"/>
    </row>
    <row r="15" spans="1:33" s="1902" customFormat="1" ht="18" customHeight="1" thickBot="1">
      <c r="A15" s="1532" t="s">
        <v>1681</v>
      </c>
      <c r="B15" s="757" t="s">
        <v>629</v>
      </c>
      <c r="C15" s="53">
        <f ca="1">ROUND(C14*F15,0)</f>
        <v>27</v>
      </c>
      <c r="D15" s="779" t="s">
        <v>1546</v>
      </c>
      <c r="E15" s="779" t="s">
        <v>1547</v>
      </c>
      <c r="F15" s="780">
        <f>'数据-取费表'!B33</f>
        <v>0.03</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165</v>
      </c>
      <c r="K16" s="1692" t="s">
        <v>1550</v>
      </c>
      <c r="L16" s="2292"/>
      <c r="M16" s="2297"/>
    </row>
    <row r="17" spans="1:33" s="1902" customFormat="1" ht="18" customHeight="1">
      <c r="A17" s="1532" t="s">
        <v>1683</v>
      </c>
      <c r="B17" s="757" t="s">
        <v>635</v>
      </c>
      <c r="C17" s="53">
        <f ca="1">ROUND(F17*(F43+INDIRECT("'数据-取费表'!S"&amp;$G$1))/10000,0)</f>
        <v>36</v>
      </c>
      <c r="D17" s="757" t="s">
        <v>1551</v>
      </c>
      <c r="E17" s="757" t="s">
        <v>1552</v>
      </c>
      <c r="F17" s="56">
        <f>'数据-取费表'!B35</f>
        <v>200</v>
      </c>
      <c r="G17" s="3170"/>
      <c r="H17" s="1533" t="s">
        <v>1630</v>
      </c>
      <c r="I17" s="757" t="s">
        <v>638</v>
      </c>
      <c r="J17" s="2928">
        <f ca="1">ROUND(IF(AND(项目基本情况!B11="自然人",项目基本情况!B10="北京市"),J6*M17/(1+'数据-取费表'!C42),J18+J19+J20),0)</f>
        <v>146</v>
      </c>
      <c r="K17" s="2291" t="s">
        <v>1553</v>
      </c>
      <c r="L17" s="2290" t="s">
        <v>1554</v>
      </c>
      <c r="M17" s="2927"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13</v>
      </c>
      <c r="D18" s="757" t="s">
        <v>1546</v>
      </c>
      <c r="E18" s="757" t="s">
        <v>1547</v>
      </c>
      <c r="F18" s="782">
        <f>'数据-取费表'!B36</f>
        <v>1.4999999999999999E-2</v>
      </c>
      <c r="G18" s="3170"/>
      <c r="H18" s="1532" t="s">
        <v>1680</v>
      </c>
      <c r="I18" s="757" t="s">
        <v>1555</v>
      </c>
      <c r="J18" s="53">
        <f ca="1">ROUND(J6*M18/(1+'数据-取费表'!C42),1)</f>
        <v>0</v>
      </c>
      <c r="K18" s="2290" t="s">
        <v>1556</v>
      </c>
      <c r="L18" s="757" t="s">
        <v>1547</v>
      </c>
      <c r="M18" s="782">
        <f>'数据-取费表'!B41</f>
        <v>5.6000000000000001E-2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971</v>
      </c>
      <c r="D19" s="259" t="s">
        <v>1557</v>
      </c>
      <c r="E19" s="1851"/>
      <c r="F19" s="56"/>
      <c r="G19" s="1900"/>
      <c r="H19" s="1532" t="s">
        <v>1681</v>
      </c>
      <c r="I19" s="757" t="s">
        <v>1558</v>
      </c>
      <c r="J19" s="53">
        <f ca="1">IF(K19="按租金收入计税",ROUND(J6*M19/(1+'数据-取费表'!C42),1),ROUND(C29*F33*0.7,1))</f>
        <v>107.4</v>
      </c>
      <c r="K19" s="783" t="s">
        <v>647</v>
      </c>
      <c r="L19" s="757" t="s">
        <v>1547</v>
      </c>
      <c r="M19" s="782">
        <f>IF(K19="按租金收入计税",'数据-取费表'!B51,'数据-取费表'!B50)</f>
        <v>1.2E-2</v>
      </c>
    </row>
    <row r="20" spans="1:33" s="1902" customFormat="1" ht="18" customHeight="1">
      <c r="A20" s="1533" t="s">
        <v>1685</v>
      </c>
      <c r="B20" s="757" t="s">
        <v>648</v>
      </c>
      <c r="C20" s="53">
        <f ca="1">ROUND(C19*F20,0)</f>
        <v>19</v>
      </c>
      <c r="D20" s="784" t="s">
        <v>1559</v>
      </c>
      <c r="E20" s="757" t="s">
        <v>1547</v>
      </c>
      <c r="F20" s="782">
        <f>'数据-取费表'!B37</f>
        <v>0.02</v>
      </c>
      <c r="G20" s="3170"/>
      <c r="H20" s="1535" t="s">
        <v>1676</v>
      </c>
      <c r="I20" s="339" t="s">
        <v>1560</v>
      </c>
      <c r="J20" s="54">
        <f ca="1">ROUND(M20*M21/10000,0)</f>
        <v>39</v>
      </c>
      <c r="K20" s="786" t="s">
        <v>1561</v>
      </c>
      <c r="L20" s="757" t="s">
        <v>1562</v>
      </c>
      <c r="M20" s="615">
        <f>'数据-取费表'!B52</f>
        <v>24</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70"/>
      <c r="H21" s="2312"/>
      <c r="I21" s="766"/>
      <c r="J21" s="69"/>
      <c r="K21" s="788"/>
      <c r="L21" s="757" t="s">
        <v>1566</v>
      </c>
      <c r="M21" s="758">
        <f ca="1">INDIRECT("'数据-取费表'!r"&amp;$G$1)</f>
        <v>16450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1851"/>
      <c r="F22" s="56"/>
      <c r="G22" s="1900"/>
      <c r="H22" s="1533" t="s">
        <v>1685</v>
      </c>
      <c r="I22" s="757" t="s">
        <v>1568</v>
      </c>
      <c r="J22" s="53">
        <f ca="1">ROUND(J14*M22,0)</f>
        <v>19</v>
      </c>
      <c r="K22" s="2290" t="s">
        <v>1569</v>
      </c>
      <c r="L22" s="757" t="s">
        <v>1547</v>
      </c>
      <c r="M22" s="789">
        <f ca="1">INDIRECT("'数据-取费表'!Ak"&amp;$G$1)</f>
        <v>1.4999999999999999E-2</v>
      </c>
    </row>
    <row r="23" spans="1:33" s="1902" customFormat="1" ht="18" customHeight="1">
      <c r="A23" s="1532" t="s">
        <v>1631</v>
      </c>
      <c r="B23" s="757" t="s">
        <v>2253</v>
      </c>
      <c r="C23" s="53">
        <f ca="1">ROUND(IF('数据-取费表'!B22&lt;=1,(C19+C20)*F24*F23/2,(C19+C20)*(POWER((1+F24),F23/2)-1)),0)</f>
        <v>41</v>
      </c>
      <c r="D23" s="2346" t="str">
        <f>IF(F23&lt;=1,"(建造成本+管理费用)×利率×(建设周期÷2)","(建造成本+管理费用)×((1+利率)^(建设周期÷2)-1)")</f>
        <v>(建造成本+管理费用)×((1+利率)^(建设周期÷2)-1)</v>
      </c>
      <c r="E23" s="757" t="s">
        <v>1570</v>
      </c>
      <c r="F23" s="615">
        <f>'数据-取费表'!B20</f>
        <v>2</v>
      </c>
      <c r="G23" s="3170"/>
      <c r="H23" s="1533" t="s">
        <v>1686</v>
      </c>
      <c r="I23" s="757" t="s">
        <v>661</v>
      </c>
      <c r="J23" s="53">
        <f ca="1">ROUND(J13*M23,0)</f>
        <v>0</v>
      </c>
      <c r="K23" s="2290" t="s">
        <v>1571</v>
      </c>
      <c r="L23" s="757" t="s">
        <v>1547</v>
      </c>
      <c r="M23" s="790">
        <f ca="1">INDIRECT("'数据-取费表'!Al"&amp;$G$1)</f>
        <v>1.5E-3</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8.0000000000000004E-4</v>
      </c>
      <c r="D24" s="2346" t="str">
        <f>IF(F23&lt;=1,"销售费用×利率×(建设周期÷2)","销售费用×((1+利率)^(建设周期÷2)-1)")</f>
        <v>销售费用×((1+利率)^(建设周期÷2)-1)</v>
      </c>
      <c r="E24" s="757" t="s">
        <v>1573</v>
      </c>
      <c r="F24" s="791">
        <f ca="1">'数据-取费表'!B40</f>
        <v>4.1499999999999995E-2</v>
      </c>
      <c r="G24" s="3170"/>
      <c r="H24" s="2328" t="s">
        <v>1687</v>
      </c>
      <c r="I24" s="2323" t="s">
        <v>648</v>
      </c>
      <c r="J24" s="2321">
        <f ca="1">ROUND(J5*M24,0)</f>
        <v>0</v>
      </c>
      <c r="K24" s="2322" t="s">
        <v>1574</v>
      </c>
      <c r="L24" s="2323" t="s">
        <v>1547</v>
      </c>
      <c r="M24" s="2319">
        <f ca="1">INDIRECT("'数据-取费表'!Am"&amp;$G$1)</f>
        <v>0.02</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f ca="1">J5-J16</f>
        <v>-165</v>
      </c>
      <c r="K25" s="2325" t="s">
        <v>1577</v>
      </c>
      <c r="L25" s="2326"/>
      <c r="M25" s="2327"/>
    </row>
    <row r="26" spans="1:33" ht="18" customHeight="1">
      <c r="A26" s="1532" t="s">
        <v>1631</v>
      </c>
      <c r="B26" s="757" t="s">
        <v>2220</v>
      </c>
      <c r="C26" s="53">
        <f ca="1">ROUND((C19+C20)*F26,0)</f>
        <v>149</v>
      </c>
      <c r="D26" s="784" t="s">
        <v>1578</v>
      </c>
      <c r="E26" s="768" t="s">
        <v>1579</v>
      </c>
      <c r="F26" s="767">
        <f ca="1">INDIRECT("'数据-取费表'!q"&amp;$G$1)</f>
        <v>0.15</v>
      </c>
      <c r="G26" s="1900"/>
      <c r="H26" s="2308" t="s">
        <v>1580</v>
      </c>
      <c r="I26" s="2067" t="s">
        <v>2543</v>
      </c>
      <c r="J26" s="756">
        <f ca="1">IF(J5&lt;&gt;0,ROUND(J25*(1-((1+M28)/(1+M26))^M27)/(M26-M28),0),0)</f>
        <v>0</v>
      </c>
      <c r="K26" s="786" t="s">
        <v>1581</v>
      </c>
      <c r="L26" s="757" t="s">
        <v>2206</v>
      </c>
      <c r="M26" s="767">
        <f ca="1">INDIRECT("'数据-取费表'!I"&amp;$G$1)</f>
        <v>5.5E-2</v>
      </c>
    </row>
    <row r="27" spans="1:33" ht="18" customHeight="1">
      <c r="A27" s="1532" t="s">
        <v>1632</v>
      </c>
      <c r="B27" s="757" t="s">
        <v>668</v>
      </c>
      <c r="C27" s="53">
        <f ca="1">ROUND(F21*F26,4)</f>
        <v>3.0000000000000001E-3</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5.33E-2</v>
      </c>
      <c r="D28" s="784" t="s">
        <v>2089</v>
      </c>
      <c r="E28" s="757" t="s">
        <v>1585</v>
      </c>
      <c r="F28" s="782">
        <f>'数据-取费表'!B41</f>
        <v>5.6000000000000001E-2</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1279</v>
      </c>
      <c r="D29" s="2322"/>
      <c r="E29" s="2323"/>
      <c r="F29" s="2324"/>
      <c r="G29" s="3170"/>
      <c r="H29" s="795" t="s">
        <v>1587</v>
      </c>
      <c r="I29" s="796" t="s">
        <v>1588</v>
      </c>
      <c r="J29" s="797">
        <f ca="1">ROUND(J26/(1+F40)^F41,0)</f>
        <v>0</v>
      </c>
      <c r="K29" s="798" t="s">
        <v>1589</v>
      </c>
      <c r="L29" s="799"/>
      <c r="M29" s="800">
        <f ca="1">INDIRECT("'数据-取费表'!k"&amp;$G$1)</f>
        <v>1790.62</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95</v>
      </c>
      <c r="D30" s="1692" t="s">
        <v>1591</v>
      </c>
      <c r="E30" s="2292"/>
      <c r="F30" s="2297"/>
      <c r="G30" s="1900"/>
      <c r="H30" s="1903"/>
      <c r="I30" s="1904"/>
      <c r="J30" s="1905"/>
      <c r="K30" s="1906"/>
      <c r="L30" s="1907"/>
      <c r="M30" s="1908"/>
    </row>
    <row r="31" spans="1:33" ht="18" customHeight="1">
      <c r="A31" s="1533" t="s">
        <v>1630</v>
      </c>
      <c r="B31" s="757" t="s">
        <v>638</v>
      </c>
      <c r="C31" s="2928">
        <f ca="1">ROUND(IF(AND(项目基本情况!B11="自然人",项目基本情况!B10="北京市"),C6*F31/(1+'数据-取费表'!C42),C32+C33+C34),0)</f>
        <v>70</v>
      </c>
      <c r="D31" s="1848" t="s">
        <v>1592</v>
      </c>
      <c r="E31" s="1846" t="s">
        <v>1593</v>
      </c>
      <c r="F31" s="2927" t="str">
        <f>IF(项目基本情况!B11="企业","——",IF('数据-取费表'!B10="住宅",IF(F6*F7*F8/12/(1+'数据-取费表'!F30)&gt;100000,4%,2.5%),IF(F6*F7*F8/12/(1+'数据-取费表'!F30)&gt;100000,12%,7%)))</f>
        <v>——</v>
      </c>
      <c r="G31" s="1900"/>
      <c r="H31" s="3167" t="s">
        <v>2726</v>
      </c>
      <c r="I31" s="1904"/>
      <c r="J31" s="1905"/>
      <c r="K31" s="1906"/>
      <c r="L31" s="1907"/>
      <c r="M31" s="1908"/>
    </row>
    <row r="32" spans="1:33" ht="18" customHeight="1">
      <c r="A32" s="1532" t="s">
        <v>1631</v>
      </c>
      <c r="B32" s="757" t="s">
        <v>1594</v>
      </c>
      <c r="C32" s="53">
        <f ca="1">ROUND(C6*F32/(1+'数据-取费表'!C42),1)</f>
        <v>9.6</v>
      </c>
      <c r="D32" s="1846" t="s">
        <v>1595</v>
      </c>
      <c r="E32" s="757" t="s">
        <v>1596</v>
      </c>
      <c r="F32" s="782">
        <f>'数据-取费表'!B41</f>
        <v>5.6000000000000001E-2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20.6</v>
      </c>
      <c r="D33" s="783" t="s">
        <v>3292</v>
      </c>
      <c r="E33" s="757" t="s">
        <v>1596</v>
      </c>
      <c r="F33" s="782">
        <f>IF(D33="按租金收入计税",'数据-取费表'!B51,'数据-取费表'!B50)</f>
        <v>0.12</v>
      </c>
      <c r="G33" s="1900"/>
      <c r="H33" s="1915"/>
      <c r="I33" s="1915"/>
      <c r="J33" s="1915"/>
      <c r="K33" s="1916"/>
      <c r="L33" s="1915"/>
      <c r="M33" s="1915"/>
    </row>
    <row r="34" spans="1:18" ht="18" customHeight="1">
      <c r="A34" s="1535" t="s">
        <v>1633</v>
      </c>
      <c r="B34" s="339" t="s">
        <v>1598</v>
      </c>
      <c r="C34" s="54">
        <f ca="1">ROUND(F34*F35/10000,1)</f>
        <v>39.5</v>
      </c>
      <c r="D34" s="786" t="s">
        <v>1599</v>
      </c>
      <c r="E34" s="757" t="s">
        <v>1600</v>
      </c>
      <c r="F34" s="615">
        <f>'数据-取费表'!B52</f>
        <v>24</v>
      </c>
      <c r="G34" s="1900"/>
      <c r="H34" s="1903"/>
      <c r="I34" s="807" t="s">
        <v>1613</v>
      </c>
      <c r="J34" s="808"/>
      <c r="K34" s="1918"/>
      <c r="L34" s="1917"/>
      <c r="M34" s="1917"/>
    </row>
    <row r="35" spans="1:18" ht="18" customHeight="1">
      <c r="A35" s="787"/>
      <c r="B35" s="766"/>
      <c r="C35" s="69"/>
      <c r="D35" s="788"/>
      <c r="E35" s="757" t="s">
        <v>1601</v>
      </c>
      <c r="F35" s="758">
        <f ca="1">INDIRECT("'数据-取费表'!r"&amp;$G$1)</f>
        <v>16450</v>
      </c>
      <c r="G35" s="1900"/>
      <c r="H35" s="1903"/>
      <c r="I35" s="809" t="s">
        <v>1614</v>
      </c>
      <c r="J35" s="810">
        <f ca="1">ROUND(C13*J36,0)</f>
        <v>90</v>
      </c>
      <c r="K35" s="1916"/>
      <c r="L35" s="1915"/>
      <c r="M35" s="1915"/>
    </row>
    <row r="36" spans="1:18" ht="18" customHeight="1">
      <c r="A36" s="1533" t="s">
        <v>1685</v>
      </c>
      <c r="B36" s="757" t="s">
        <v>1602</v>
      </c>
      <c r="C36" s="53">
        <f ca="1">ROUND(C29*F36,1)</f>
        <v>19.2</v>
      </c>
      <c r="D36" s="1846" t="s">
        <v>1603</v>
      </c>
      <c r="E36" s="757" t="s">
        <v>1596</v>
      </c>
      <c r="F36" s="789">
        <f ca="1">INDIRECT("'数据-取费表'!Ak"&amp;$G$1)</f>
        <v>1.4999999999999999E-2</v>
      </c>
      <c r="G36" s="1900"/>
      <c r="H36" s="1915"/>
      <c r="I36" s="811" t="s">
        <v>1615</v>
      </c>
      <c r="J36" s="812">
        <f ca="1">INDIRECT("'数据-取费表'!j"&amp;$G$1)</f>
        <v>7.0000000000000007E-2</v>
      </c>
      <c r="K36" s="1919"/>
      <c r="L36" s="1915"/>
      <c r="M36" s="1915"/>
    </row>
    <row r="37" spans="1:18" ht="18" customHeight="1">
      <c r="A37" s="1533" t="s">
        <v>1686</v>
      </c>
      <c r="B37" s="757" t="s">
        <v>661</v>
      </c>
      <c r="C37" s="53">
        <f ca="1">ROUND(C13*F37,1)</f>
        <v>1.9</v>
      </c>
      <c r="D37" s="1846" t="s">
        <v>1604</v>
      </c>
      <c r="E37" s="757" t="s">
        <v>1596</v>
      </c>
      <c r="F37" s="790">
        <f ca="1">INDIRECT("'数据-取费表'!Al"&amp;$G$1)</f>
        <v>1.5E-3</v>
      </c>
      <c r="G37" s="1900"/>
      <c r="H37" s="1915"/>
      <c r="I37" s="813" t="s">
        <v>1616</v>
      </c>
      <c r="J37" s="814"/>
      <c r="K37" s="1919"/>
      <c r="L37" s="1915"/>
      <c r="M37" s="1915"/>
    </row>
    <row r="38" spans="1:18" ht="18" customHeight="1" thickBot="1">
      <c r="A38" s="2328" t="s">
        <v>1687</v>
      </c>
      <c r="B38" s="2323" t="s">
        <v>648</v>
      </c>
      <c r="C38" s="2321">
        <f ca="1">ROUND(C5*F38,1)</f>
        <v>3.6</v>
      </c>
      <c r="D38" s="2322" t="s">
        <v>1605</v>
      </c>
      <c r="E38" s="2323" t="s">
        <v>1596</v>
      </c>
      <c r="F38" s="2319">
        <f ca="1">INDIRECT("'数据-取费表'!Am"&amp;$G$1)</f>
        <v>0.02</v>
      </c>
      <c r="G38" s="1900"/>
      <c r="H38" s="1915"/>
      <c r="I38" s="815" t="s">
        <v>1617</v>
      </c>
      <c r="J38" s="816"/>
      <c r="K38" s="1920"/>
      <c r="L38" s="1915"/>
      <c r="M38" s="1915"/>
    </row>
    <row r="39" spans="1:18" ht="24.6" customHeight="1" thickTop="1">
      <c r="A39" s="1700" t="s">
        <v>1690</v>
      </c>
      <c r="B39" s="2645" t="s">
        <v>2538</v>
      </c>
      <c r="C39" s="765">
        <f ca="1">C5-C30</f>
        <v>85</v>
      </c>
      <c r="D39" s="2325" t="s">
        <v>1606</v>
      </c>
      <c r="E39" s="2326"/>
      <c r="F39" s="2327"/>
      <c r="G39" s="1900"/>
      <c r="H39" s="1915"/>
      <c r="I39" s="809" t="s">
        <v>1618</v>
      </c>
      <c r="J39" s="817">
        <f ca="1">ROUND(J35/C39,3)</f>
        <v>1.0589999999999999</v>
      </c>
      <c r="K39" s="1920"/>
      <c r="L39" s="1915"/>
      <c r="M39" s="1915"/>
    </row>
    <row r="40" spans="1:18" ht="18" customHeight="1">
      <c r="A40" s="754" t="s">
        <v>1691</v>
      </c>
      <c r="B40" s="2067" t="s">
        <v>2091</v>
      </c>
      <c r="C40" s="756">
        <f ca="1">ROUND(C39*(1-((1+F42)/(1+F40))^F41)/(F40-F42),0)</f>
        <v>1695</v>
      </c>
      <c r="D40" s="786" t="s">
        <v>1607</v>
      </c>
      <c r="E40" s="757" t="s">
        <v>2206</v>
      </c>
      <c r="F40" s="767">
        <f ca="1">INDIRECT("'数据-取费表'!I"&amp;$G$1)</f>
        <v>5.5E-2</v>
      </c>
      <c r="G40" s="1900"/>
      <c r="H40" s="1900"/>
      <c r="I40" s="809" t="s">
        <v>1619</v>
      </c>
      <c r="J40" s="817">
        <f ca="1">1-J39</f>
        <v>-5.8999999999999941E-2</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31.6</v>
      </c>
      <c r="G41" s="1900"/>
      <c r="H41" s="1855"/>
      <c r="I41" s="815" t="s">
        <v>1620</v>
      </c>
      <c r="J41" s="818"/>
      <c r="K41" s="1919"/>
      <c r="L41" s="1855"/>
      <c r="M41" s="1855"/>
    </row>
    <row r="42" spans="1:18" ht="18" customHeight="1">
      <c r="A42" s="763"/>
      <c r="B42" s="764"/>
      <c r="C42" s="765"/>
      <c r="D42" s="788"/>
      <c r="E42" s="757" t="s">
        <v>1609</v>
      </c>
      <c r="F42" s="767">
        <f ca="1">INDIRECT("'数据-取费表'!v"&amp;$G$1)</f>
        <v>2.5000000000000001E-2</v>
      </c>
      <c r="G42" s="1900"/>
      <c r="H42" s="1855"/>
      <c r="I42" s="819" t="s">
        <v>1621</v>
      </c>
      <c r="J42" s="817">
        <f ca="1">ROUND(C13/C40,3)</f>
        <v>0.755</v>
      </c>
      <c r="K42" s="1919"/>
      <c r="L42" s="1855"/>
      <c r="M42" s="1855"/>
    </row>
    <row r="43" spans="1:18" ht="18" customHeight="1" thickBot="1">
      <c r="A43" s="795" t="s">
        <v>1587</v>
      </c>
      <c r="B43" s="796" t="s">
        <v>1610</v>
      </c>
      <c r="C43" s="797">
        <f ca="1">ROUND(C40*10000/F43,0)</f>
        <v>9466</v>
      </c>
      <c r="D43" s="798" t="s">
        <v>1611</v>
      </c>
      <c r="E43" s="799" t="s">
        <v>1612</v>
      </c>
      <c r="F43" s="800">
        <f ca="1">INDIRECT("'数据-取费表'!k"&amp;$G$1)</f>
        <v>1790.62</v>
      </c>
      <c r="G43" s="1900"/>
      <c r="H43" s="1855"/>
      <c r="I43" s="819" t="s">
        <v>1622</v>
      </c>
      <c r="J43" s="820">
        <f ca="1">1-J42</f>
        <v>0.245</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f ca="1">C67-C40</f>
        <v>-2600</v>
      </c>
      <c r="D46" s="3171"/>
      <c r="E46" s="3171"/>
      <c r="F46" s="3171"/>
      <c r="I46" s="2188" t="s">
        <v>2130</v>
      </c>
      <c r="J46" s="2189"/>
      <c r="K46" s="2190"/>
      <c r="L46" s="2730" t="str">
        <f ca="1">IF(OR(M47="住宅",D1="土地（套用方法）"),0,IF(L48&gt;J51,L60,J60))</f>
        <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t="s">
        <v>3293</v>
      </c>
      <c r="K47" s="2727" t="s">
        <v>2136</v>
      </c>
      <c r="L47" s="2731">
        <f ca="1">INDIRECT("'数据-取费表'!d"&amp;$G$1)</f>
        <v>40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8" t="s">
        <v>2132</v>
      </c>
      <c r="J48" s="2192" t="s">
        <v>2137</v>
      </c>
      <c r="K48" s="2728" t="s">
        <v>2138</v>
      </c>
      <c r="L48" s="1778">
        <f ca="1">INDIRECT("'数据-取费表'!f"&amp;$G$1)</f>
        <v>31.6</v>
      </c>
      <c r="M48" s="3172"/>
      <c r="O48" s="2208" t="s">
        <v>2166</v>
      </c>
      <c r="P48" s="2209" t="s">
        <v>2192</v>
      </c>
      <c r="Q48" s="2210">
        <f ca="1">C40+J29</f>
        <v>1695</v>
      </c>
      <c r="R48" s="2209" t="s">
        <v>2167</v>
      </c>
    </row>
    <row r="49" spans="1:18" s="1897" customFormat="1" ht="18" customHeight="1" thickBot="1">
      <c r="A49" s="759"/>
      <c r="B49" s="760"/>
      <c r="C49" s="761"/>
      <c r="D49" s="762"/>
      <c r="E49" s="757" t="s">
        <v>1539</v>
      </c>
      <c r="F49" s="758">
        <f ca="1">F7</f>
        <v>1</v>
      </c>
      <c r="G49" s="1927"/>
      <c r="H49" s="1930"/>
      <c r="I49" s="2718" t="s">
        <v>2133</v>
      </c>
      <c r="J49" s="2193">
        <v>2023</v>
      </c>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1</v>
      </c>
      <c r="G50" s="1932"/>
      <c r="H50" s="1930"/>
      <c r="I50" s="2718" t="s">
        <v>2134</v>
      </c>
      <c r="J50" s="2725">
        <f>SUMPRODUCT((I63:I65=J47)*(J62:L62=J48)*(J63:L65))</f>
        <v>80</v>
      </c>
      <c r="K50" s="2729" t="s">
        <v>2140</v>
      </c>
      <c r="L50" s="2194"/>
      <c r="M50" s="3172"/>
      <c r="O50" s="2211" t="s">
        <v>2170</v>
      </c>
      <c r="P50" s="2209" t="s">
        <v>2194</v>
      </c>
      <c r="Q50" s="2210">
        <f ca="1">C29</f>
        <v>1279</v>
      </c>
      <c r="R50" s="2209" t="s">
        <v>2167</v>
      </c>
    </row>
    <row r="51" spans="1:18" s="1897" customFormat="1" ht="18" customHeight="1" thickBot="1">
      <c r="A51" s="759"/>
      <c r="B51" s="760"/>
      <c r="C51" s="761"/>
      <c r="D51" s="762"/>
      <c r="E51" s="757" t="s">
        <v>622</v>
      </c>
      <c r="F51" s="2181"/>
      <c r="H51" s="1930"/>
      <c r="I51" s="2722" t="s">
        <v>2135</v>
      </c>
      <c r="J51" s="2726">
        <f>IF(J49="",J50,J49+J50-YEAR('数据-取费表'!B2))</f>
        <v>81</v>
      </c>
      <c r="K51" s="2718" t="s">
        <v>2141</v>
      </c>
      <c r="L51" s="2732">
        <f ca="1">ROUND(-PV(INDIRECT("'数据-取费表'!h"&amp;$G$1),J51,(C39-C13*J36),0),0)</f>
        <v>-89</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3" t="s">
        <v>2208</v>
      </c>
      <c r="J52" s="2195">
        <v>7.4999999999999997E-2</v>
      </c>
      <c r="K52" s="2723" t="s">
        <v>2207</v>
      </c>
      <c r="L52" s="2195"/>
      <c r="M52" s="3172"/>
      <c r="O52" s="2211" t="s">
        <v>2173</v>
      </c>
      <c r="P52" s="2209" t="s">
        <v>2174</v>
      </c>
      <c r="Q52" s="2212">
        <f>J52</f>
        <v>7.4999999999999997E-2</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31.6</v>
      </c>
      <c r="K53" s="3754" t="s">
        <v>2665</v>
      </c>
      <c r="L53" s="3755"/>
      <c r="M53" s="3172"/>
      <c r="O53" s="2211" t="s">
        <v>2175</v>
      </c>
      <c r="P53" s="2209" t="s">
        <v>2176</v>
      </c>
      <c r="Q53" s="2210">
        <f ca="1">J53</f>
        <v>31.6</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3"/>
      <c r="M54" s="3172"/>
      <c r="O54" s="2208" t="s">
        <v>2178</v>
      </c>
      <c r="P54" s="2209" t="s">
        <v>2195</v>
      </c>
      <c r="Q54" s="2210">
        <f ca="1">Q48+Q49</f>
        <v>1695</v>
      </c>
      <c r="R54" s="2213" t="s">
        <v>2179</v>
      </c>
    </row>
    <row r="55" spans="1:18" s="1897" customFormat="1" ht="18" customHeight="1" thickTop="1" thickBot="1">
      <c r="A55" s="770">
        <v>2</v>
      </c>
      <c r="B55" s="771" t="s">
        <v>626</v>
      </c>
      <c r="C55" s="772">
        <f ca="1">C13</f>
        <v>1279</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2092</v>
      </c>
      <c r="C56" s="53">
        <f ca="1">C29</f>
        <v>1279</v>
      </c>
      <c r="D56" s="2404"/>
      <c r="E56" s="757"/>
      <c r="F56" s="782"/>
      <c r="I56" s="2737" t="s">
        <v>2144</v>
      </c>
      <c r="J56" s="2747" t="s">
        <v>1478</v>
      </c>
      <c r="K56" s="2718" t="s">
        <v>2149</v>
      </c>
      <c r="L56" s="1778" t="str">
        <f ca="1">IF(L48&lt;J51,"——",L48-J51)</f>
        <v>——</v>
      </c>
      <c r="M56" s="3172"/>
      <c r="O56" s="2205" t="s">
        <v>2162</v>
      </c>
      <c r="P56" s="2206" t="s">
        <v>2163</v>
      </c>
      <c r="Q56" s="2207" t="s">
        <v>2164</v>
      </c>
      <c r="R56" s="2206" t="s">
        <v>2165</v>
      </c>
    </row>
    <row r="57" spans="1:18" s="1897" customFormat="1" ht="28.5" customHeight="1" thickBot="1">
      <c r="A57" s="770" t="s">
        <v>1548</v>
      </c>
      <c r="B57" s="771" t="s">
        <v>633</v>
      </c>
      <c r="C57" s="772">
        <f ca="1">ROUND(C58+C63+C64+C65,0)</f>
        <v>61</v>
      </c>
      <c r="D57" s="26" t="s">
        <v>1550</v>
      </c>
      <c r="E57" s="2405"/>
      <c r="F57" s="56"/>
      <c r="I57" s="2738" t="s">
        <v>2145</v>
      </c>
      <c r="J57" s="2739" t="str">
        <f ca="1">IF(OR(M47="住宅",J51&lt;L48,J56="是"),"——",J51-L48)</f>
        <v>——</v>
      </c>
      <c r="K57" s="2718" t="s">
        <v>2150</v>
      </c>
      <c r="L57" s="1778" t="str">
        <f ca="1">IF(L48&lt;J51,"——",IF(L55="比较法",L49,IF(L55="基准地价",L50,L51)))</f>
        <v>——</v>
      </c>
      <c r="M57" s="3172"/>
      <c r="O57" s="2208" t="s">
        <v>2166</v>
      </c>
      <c r="P57" s="2209" t="s">
        <v>2196</v>
      </c>
      <c r="Q57" s="2210">
        <f ca="1">C40+J29</f>
        <v>1695</v>
      </c>
      <c r="R57" s="2209" t="s">
        <v>2167</v>
      </c>
    </row>
    <row r="58" spans="1:18" s="1897" customFormat="1" ht="28.5" customHeight="1" thickBot="1">
      <c r="A58" s="1533" t="s">
        <v>1624</v>
      </c>
      <c r="B58" s="757" t="s">
        <v>638</v>
      </c>
      <c r="C58" s="2928">
        <f ca="1">ROUND(IF(AND(项目基本情况!B11="自然人",项目基本情况!B10="北京市"),C48*F58/(1+'数据-取费表'!C42),C59+C60+C61),0)</f>
        <v>40</v>
      </c>
      <c r="D58" s="2403" t="s">
        <v>639</v>
      </c>
      <c r="E58" s="2404" t="s">
        <v>672</v>
      </c>
      <c r="F58" s="2927" t="str">
        <f>IF(项目基本情况!B11="企业","——",IF('数据-取费表'!B10="住宅",IF(F48*F49*F50/12/(1+'数据-取费表'!F30)&gt;100000,4%,2.5%),IF(F48*F49*F50/12/(1+'数据-取费表'!F30)&gt;100000,12%,7%)))</f>
        <v>——</v>
      </c>
      <c r="I58" s="2738" t="s">
        <v>2146</v>
      </c>
      <c r="J58" s="2708" t="e">
        <f ca="1">IF(J55&lt;0.4,0.4,J55)</f>
        <v>#VALUE!</v>
      </c>
      <c r="K58" s="2718" t="s">
        <v>2151</v>
      </c>
      <c r="L58" s="1778" t="e">
        <f ca="1">ROUND(POWER(1+L52,L47-L48)*(POWER(1+L52,L48)-1)/(POWER(1+L52,L47)-1),4)</f>
        <v>#DIV/0!</v>
      </c>
      <c r="M58" s="3172"/>
      <c r="O58" s="2208" t="s">
        <v>2168</v>
      </c>
      <c r="P58" s="2209" t="s">
        <v>2199</v>
      </c>
      <c r="Q58" s="2210">
        <f ca="1">L60</f>
        <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5.6000000000000001E-2</v>
      </c>
      <c r="I59" s="2738" t="s">
        <v>2147</v>
      </c>
      <c r="J59" s="2739" t="str">
        <f ca="1">IF(OR(M47="住宅",J51&lt;L48,J56="是"),"——",ROUND(C29*J58,0))</f>
        <v>——</v>
      </c>
      <c r="K59" s="2718"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按租金收入计税</v>
      </c>
      <c r="E60" s="757" t="s">
        <v>1547</v>
      </c>
      <c r="F60" s="782">
        <f t="shared" si="0"/>
        <v>0.12</v>
      </c>
      <c r="I60" s="2740" t="s">
        <v>2148</v>
      </c>
      <c r="J60" s="2741" t="str">
        <f ca="1">IF(OR(M47="住宅",J51&lt;L48,J56="是"),"0",ROUND(J59/(1+J52)^J53,0))</f>
        <v>0</v>
      </c>
      <c r="K60" s="2742" t="s">
        <v>2153</v>
      </c>
      <c r="L60" s="2741">
        <f ca="1">IF(OR(M47="住宅",L48&lt;J51),0,ROUND(L57*(L58/L59-1),0))</f>
        <v>0</v>
      </c>
      <c r="M60" s="3172"/>
      <c r="O60" s="2211" t="s">
        <v>2171</v>
      </c>
      <c r="P60" s="2209" t="s">
        <v>2180</v>
      </c>
      <c r="Q60" s="2212">
        <f>L52</f>
        <v>0</v>
      </c>
      <c r="R60" s="2213"/>
    </row>
    <row r="61" spans="1:18" s="1897" customFormat="1" ht="18" customHeight="1" thickBot="1">
      <c r="A61" s="1535" t="s">
        <v>1633</v>
      </c>
      <c r="B61" s="339" t="s">
        <v>650</v>
      </c>
      <c r="C61" s="54">
        <f ca="1">ROUND(F61*F62/10000,1)</f>
        <v>39.5</v>
      </c>
      <c r="D61" s="786" t="s">
        <v>651</v>
      </c>
      <c r="E61" s="757" t="s">
        <v>652</v>
      </c>
      <c r="F61" s="615">
        <f t="shared" si="0"/>
        <v>24</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16450</v>
      </c>
      <c r="I62" s="2743" t="s">
        <v>2154</v>
      </c>
      <c r="J62" s="2744" t="s">
        <v>2155</v>
      </c>
      <c r="K62" s="2744" t="s">
        <v>2156</v>
      </c>
      <c r="L62" s="2744" t="s">
        <v>2137</v>
      </c>
      <c r="M62" s="2745" t="s">
        <v>2644</v>
      </c>
      <c r="O62" s="2211" t="s">
        <v>2175</v>
      </c>
      <c r="P62" s="2209" t="str">
        <f>K59</f>
        <v>建筑物剩余耐用年限下的土地年期修正系数Kn</v>
      </c>
      <c r="Q62" s="2210" t="e">
        <f ca="1">L59</f>
        <v>#DIV/0!</v>
      </c>
      <c r="R62" s="2213" t="s">
        <v>2184</v>
      </c>
    </row>
    <row r="63" spans="1:18" s="1897" customFormat="1" ht="15.75" thickBot="1">
      <c r="A63" s="1533" t="s">
        <v>1685</v>
      </c>
      <c r="B63" s="757" t="s">
        <v>658</v>
      </c>
      <c r="C63" s="53">
        <f ca="1">ROUND(C56*F63,1)</f>
        <v>19.2</v>
      </c>
      <c r="D63" s="2404" t="s">
        <v>1603</v>
      </c>
      <c r="E63" s="757" t="s">
        <v>1547</v>
      </c>
      <c r="F63" s="789">
        <f t="shared" ca="1" si="0"/>
        <v>1.4999999999999999E-2</v>
      </c>
      <c r="I63" s="2743" t="s">
        <v>2157</v>
      </c>
      <c r="J63" s="2744">
        <v>70</v>
      </c>
      <c r="K63" s="2744">
        <v>50</v>
      </c>
      <c r="L63" s="2744">
        <v>80</v>
      </c>
      <c r="M63" s="2746">
        <v>0.02</v>
      </c>
      <c r="O63" s="2208" t="s">
        <v>2178</v>
      </c>
      <c r="P63" s="2209" t="s">
        <v>2195</v>
      </c>
      <c r="Q63" s="2210">
        <f ca="1">Q57+Q58</f>
        <v>1695</v>
      </c>
      <c r="R63" s="2213" t="s">
        <v>2179</v>
      </c>
    </row>
    <row r="64" spans="1:18" s="1897" customFormat="1" ht="16.5" thickBot="1">
      <c r="A64" s="1533" t="s">
        <v>1686</v>
      </c>
      <c r="B64" s="757" t="s">
        <v>661</v>
      </c>
      <c r="C64" s="53">
        <f ca="1">ROUND(C55*F64,1)</f>
        <v>1.9</v>
      </c>
      <c r="D64" s="2404" t="s">
        <v>662</v>
      </c>
      <c r="E64" s="757" t="s">
        <v>1547</v>
      </c>
      <c r="F64" s="790">
        <f t="shared" ca="1" si="0"/>
        <v>1.5E-3</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0.02</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f ca="1">C47-C57</f>
        <v>-61</v>
      </c>
      <c r="D66" s="2403" t="s">
        <v>682</v>
      </c>
      <c r="E66" s="2402"/>
      <c r="F66" s="792"/>
      <c r="K66" s="1923"/>
      <c r="O66" s="2208" t="s">
        <v>2166</v>
      </c>
      <c r="P66" s="2209" t="s">
        <v>2196</v>
      </c>
      <c r="Q66" s="2210">
        <f ca="1">C40+J29</f>
        <v>1695</v>
      </c>
      <c r="R66" s="2209" t="s">
        <v>2167</v>
      </c>
    </row>
    <row r="67" spans="1:18" s="1897" customFormat="1" ht="20.25" thickBot="1">
      <c r="A67" s="754" t="s">
        <v>1580</v>
      </c>
      <c r="B67" s="2067" t="s">
        <v>2091</v>
      </c>
      <c r="C67" s="756">
        <f ca="1">ROUND(C66*(1-((1+F69)/(1+F67))^F68)/(F67-F69),0)</f>
        <v>-905</v>
      </c>
      <c r="D67" s="786" t="s">
        <v>686</v>
      </c>
      <c r="E67" s="757" t="s">
        <v>687</v>
      </c>
      <c r="F67" s="767">
        <f ca="1">F40</f>
        <v>5.5E-2</v>
      </c>
      <c r="K67" s="1923"/>
      <c r="O67" s="2208" t="s">
        <v>2168</v>
      </c>
      <c r="P67" s="2209" t="s">
        <v>2199</v>
      </c>
      <c r="Q67" s="2210">
        <f ca="1">L60</f>
        <v>0</v>
      </c>
      <c r="R67" s="2213" t="s">
        <v>2201</v>
      </c>
    </row>
    <row r="68" spans="1:18" ht="21.75" thickBot="1">
      <c r="A68" s="759"/>
      <c r="B68" s="760"/>
      <c r="C68" s="761"/>
      <c r="D68" s="793" t="s">
        <v>1608</v>
      </c>
      <c r="E68" s="757" t="s">
        <v>1584</v>
      </c>
      <c r="F68" s="794">
        <f ca="1">F41</f>
        <v>31.6</v>
      </c>
      <c r="O68" s="2211" t="s">
        <v>2170</v>
      </c>
      <c r="P68" s="2209" t="s">
        <v>2200</v>
      </c>
      <c r="Q68" s="2215">
        <f ca="1">L51</f>
        <v>-89</v>
      </c>
      <c r="R68" s="2216" t="s">
        <v>2203</v>
      </c>
    </row>
    <row r="69" spans="1:18" ht="20.25" thickBot="1">
      <c r="A69" s="763"/>
      <c r="B69" s="764"/>
      <c r="C69" s="765"/>
      <c r="D69" s="788"/>
      <c r="E69" s="757" t="s">
        <v>692</v>
      </c>
      <c r="F69" s="2181"/>
      <c r="O69" s="2211" t="s">
        <v>2171</v>
      </c>
      <c r="P69" s="2217" t="s">
        <v>2185</v>
      </c>
      <c r="Q69" s="2210">
        <f ca="1">ROUND(Q70-Q71*Q72,0)</f>
        <v>-5</v>
      </c>
      <c r="R69" s="2213"/>
    </row>
    <row r="70" spans="1:18" ht="15.75" thickBot="1">
      <c r="A70" s="795" t="s">
        <v>1587</v>
      </c>
      <c r="B70" s="796" t="s">
        <v>1610</v>
      </c>
      <c r="C70" s="797">
        <f ca="1">ROUND(C67*10000/F70,0)</f>
        <v>-5054</v>
      </c>
      <c r="D70" s="798" t="s">
        <v>1611</v>
      </c>
      <c r="E70" s="799" t="s">
        <v>1612</v>
      </c>
      <c r="F70" s="800">
        <f ca="1">F43</f>
        <v>1790.62</v>
      </c>
      <c r="O70" s="2211" t="s">
        <v>2186</v>
      </c>
      <c r="P70" s="2217" t="s">
        <v>2187</v>
      </c>
      <c r="Q70" s="2210">
        <f ca="1">C39</f>
        <v>85</v>
      </c>
      <c r="R70" s="2209" t="s">
        <v>2167</v>
      </c>
    </row>
    <row r="71" spans="1:18" ht="15.75" thickBot="1">
      <c r="O71" s="2211" t="s">
        <v>2188</v>
      </c>
      <c r="P71" s="2217" t="s">
        <v>2189</v>
      </c>
      <c r="Q71" s="2210">
        <f ca="1">C13</f>
        <v>1279</v>
      </c>
      <c r="R71" s="2209" t="s">
        <v>2167</v>
      </c>
    </row>
    <row r="72" spans="1:18" ht="15.75" thickBot="1">
      <c r="O72" s="2211" t="s">
        <v>2190</v>
      </c>
      <c r="P72" s="2217" t="s">
        <v>2191</v>
      </c>
      <c r="Q72" s="2212">
        <f ca="1">J36</f>
        <v>7.0000000000000007E-2</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建筑物剩余耐用年限下的土地年期修正系数Kn</v>
      </c>
      <c r="Q75" s="2210" t="e">
        <f ca="1">L59</f>
        <v>#DIV/0!</v>
      </c>
      <c r="R75" s="2213" t="s">
        <v>2184</v>
      </c>
    </row>
    <row r="76" spans="1:18" ht="15.75" thickBot="1">
      <c r="O76" s="2208" t="s">
        <v>2178</v>
      </c>
      <c r="P76" s="2209" t="s">
        <v>2195</v>
      </c>
      <c r="Q76" s="2210">
        <f ca="1">Q66+Q67</f>
        <v>1695</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2885</v>
      </c>
      <c r="B1" s="3226"/>
      <c r="C1" s="3239"/>
      <c r="D1" s="3239"/>
      <c r="E1" s="3227"/>
      <c r="F1" s="3228"/>
      <c r="G1" s="3229"/>
      <c r="J1" s="3232" t="s">
        <v>2742</v>
      </c>
      <c r="K1" s="3233"/>
      <c r="L1" s="3233"/>
      <c r="M1" s="3233"/>
      <c r="N1" s="3233"/>
      <c r="O1" s="3233"/>
      <c r="P1" s="3233"/>
      <c r="Q1" s="3233"/>
      <c r="R1" s="3234"/>
      <c r="S1" s="3235"/>
      <c r="T1" s="3235"/>
      <c r="U1" s="3235"/>
    </row>
    <row r="2" spans="1:22" s="3248" customFormat="1" ht="13.15" customHeight="1">
      <c r="A2" s="3237" t="s">
        <v>2743</v>
      </c>
      <c r="B2" s="3238" t="e">
        <f>C40</f>
        <v>#DIV/0!</v>
      </c>
      <c r="C2" s="3239" t="s">
        <v>2744</v>
      </c>
      <c r="D2" s="3239"/>
      <c r="E2" s="3240"/>
      <c r="F2" s="3241"/>
      <c r="G2" s="3242"/>
      <c r="H2" s="3243"/>
      <c r="I2" s="3244"/>
      <c r="J2" s="3762" t="s">
        <v>2745</v>
      </c>
      <c r="K2" s="3763"/>
      <c r="L2" s="3245" t="s">
        <v>2746</v>
      </c>
      <c r="M2" s="3245" t="s">
        <v>2747</v>
      </c>
      <c r="N2" s="3245" t="s">
        <v>2748</v>
      </c>
      <c r="O2" s="3245" t="s">
        <v>2749</v>
      </c>
      <c r="P2" s="3245" t="s">
        <v>2750</v>
      </c>
      <c r="Q2" s="3246" t="s">
        <v>2751</v>
      </c>
      <c r="R2" s="3247" t="s">
        <v>2752</v>
      </c>
      <c r="S2" s="3235"/>
      <c r="T2" s="3235"/>
      <c r="U2" s="3235"/>
      <c r="V2" s="3244"/>
    </row>
    <row r="3" spans="1:22" s="3248" customFormat="1" ht="13.15" customHeight="1">
      <c r="A3" s="3249" t="s">
        <v>2753</v>
      </c>
      <c r="B3" s="3250" t="e">
        <f>ROUND(B2*10000/B4,0)</f>
        <v>#DIV/0!</v>
      </c>
      <c r="C3" s="3239" t="s">
        <v>2754</v>
      </c>
      <c r="D3" s="3239"/>
      <c r="E3" s="3240"/>
      <c r="F3" s="3241"/>
      <c r="G3" s="3242"/>
      <c r="H3" s="3243"/>
      <c r="I3" s="3244"/>
      <c r="J3" s="3764" t="s">
        <v>2755</v>
      </c>
      <c r="K3" s="3765"/>
      <c r="L3" s="3251"/>
      <c r="M3" s="3251"/>
      <c r="N3" s="3251"/>
      <c r="O3" s="3251"/>
      <c r="P3" s="3251"/>
      <c r="Q3" s="3252"/>
      <c r="R3" s="3253">
        <f>SUM(L3:Q3)</f>
        <v>0</v>
      </c>
      <c r="S3" s="3235"/>
      <c r="T3" s="3235"/>
      <c r="U3" s="3235"/>
      <c r="V3" s="3244"/>
    </row>
    <row r="4" spans="1:22" s="3248" customFormat="1" ht="13.15" customHeight="1">
      <c r="A4" s="3254" t="s">
        <v>2756</v>
      </c>
      <c r="B4" s="3255"/>
      <c r="C4" s="3239"/>
      <c r="D4" s="3239"/>
      <c r="E4" s="3240"/>
      <c r="F4" s="3241"/>
      <c r="G4" s="3242"/>
      <c r="H4" s="3243"/>
      <c r="I4" s="3244"/>
      <c r="J4" s="3764" t="s">
        <v>2757</v>
      </c>
      <c r="K4" s="3765"/>
      <c r="L4" s="3256"/>
      <c r="M4" s="3256"/>
      <c r="N4" s="3256"/>
      <c r="O4" s="3256"/>
      <c r="P4" s="3256"/>
      <c r="Q4" s="3257"/>
      <c r="R4" s="3258">
        <f>SUM(L4:Q4)</f>
        <v>0</v>
      </c>
      <c r="S4" s="3235"/>
      <c r="T4" s="3235"/>
      <c r="U4" s="3235"/>
      <c r="V4" s="3244"/>
    </row>
    <row r="5" spans="1:22" s="3248" customFormat="1" ht="13.15" customHeight="1" thickBot="1">
      <c r="A5" s="3259" t="s">
        <v>2758</v>
      </c>
      <c r="B5" s="3260"/>
      <c r="C5" s="3239"/>
      <c r="D5" s="3261"/>
      <c r="E5" s="3241"/>
      <c r="F5" s="3241"/>
      <c r="G5" s="3242"/>
      <c r="H5" s="3243"/>
      <c r="I5" s="3244"/>
      <c r="J5" s="3262" t="s">
        <v>2759</v>
      </c>
      <c r="K5" s="3263"/>
      <c r="L5" s="3263"/>
      <c r="M5" s="3264"/>
      <c r="N5" s="3264"/>
      <c r="O5" s="3264"/>
      <c r="P5" s="3264"/>
      <c r="Q5" s="3264"/>
      <c r="R5" s="3247">
        <f>SUM(R14,R19,R24,R25,R27,R28)</f>
        <v>0</v>
      </c>
      <c r="S5" s="3235"/>
      <c r="T5" s="3235" t="s">
        <v>2760</v>
      </c>
      <c r="U5" s="3235" t="e">
        <f>ROUND(R5*10000/365/R3,1)</f>
        <v>#DIV/0!</v>
      </c>
      <c r="V5" s="3244"/>
    </row>
    <row r="6" spans="1:22" s="3248" customFormat="1" ht="13.15" customHeight="1" thickBot="1">
      <c r="A6" s="3770" t="s">
        <v>2761</v>
      </c>
      <c r="B6" s="3771"/>
      <c r="C6" s="3772"/>
      <c r="D6" s="3265"/>
      <c r="E6" s="3266"/>
      <c r="F6" s="3267"/>
      <c r="G6" s="3268"/>
      <c r="H6" s="3243"/>
      <c r="I6" s="3244"/>
      <c r="J6" s="3756">
        <v>1</v>
      </c>
      <c r="K6" s="3757" t="s">
        <v>2762</v>
      </c>
      <c r="L6" s="3269" t="s">
        <v>2763</v>
      </c>
      <c r="M6" s="3270" t="s">
        <v>2764</v>
      </c>
      <c r="N6" s="3270" t="s">
        <v>2765</v>
      </c>
      <c r="O6" s="3270" t="s">
        <v>2766</v>
      </c>
      <c r="P6" s="3270" t="s">
        <v>2767</v>
      </c>
      <c r="Q6" s="3270" t="s">
        <v>2768</v>
      </c>
      <c r="R6" s="3253" t="s">
        <v>2769</v>
      </c>
      <c r="S6" s="3235"/>
      <c r="T6" s="3235" t="s">
        <v>2770</v>
      </c>
      <c r="U6" s="3235"/>
      <c r="V6" s="3244"/>
    </row>
    <row r="7" spans="1:22" s="3248" customFormat="1" ht="13.15" customHeight="1">
      <c r="A7" s="3271" t="s">
        <v>2771</v>
      </c>
      <c r="B7" s="3272"/>
      <c r="C7" s="3273"/>
      <c r="D7" s="3274">
        <f>SUM(D9,D10,D11,D17,0)</f>
        <v>0</v>
      </c>
      <c r="E7" s="3275" t="e">
        <f>E9+E10+E11+E17</f>
        <v>#DIV/0!</v>
      </c>
      <c r="F7" s="3276"/>
      <c r="G7" s="3277"/>
      <c r="H7" s="3243"/>
      <c r="I7" s="3244"/>
      <c r="J7" s="3756"/>
      <c r="K7" s="3758"/>
      <c r="L7" s="3278" t="s">
        <v>2772</v>
      </c>
      <c r="M7" s="3279"/>
      <c r="N7" s="3255"/>
      <c r="O7" s="3280"/>
      <c r="P7" s="3280"/>
      <c r="Q7" s="3281">
        <v>365</v>
      </c>
      <c r="R7" s="3282">
        <f>ROUND(M7*N7*O7*P7*Q7/10000,0)</f>
        <v>0</v>
      </c>
      <c r="S7" s="3235"/>
      <c r="T7" s="3235" t="s">
        <v>2773</v>
      </c>
      <c r="U7" s="3235"/>
      <c r="V7" s="3244"/>
    </row>
    <row r="8" spans="1:22" s="3248" customFormat="1" ht="13.15" customHeight="1">
      <c r="A8" s="3283" t="s">
        <v>2774</v>
      </c>
      <c r="B8" s="3773" t="s">
        <v>2775</v>
      </c>
      <c r="C8" s="3774"/>
      <c r="D8" s="3284" t="s">
        <v>2776</v>
      </c>
      <c r="E8" s="3285" t="s">
        <v>2777</v>
      </c>
      <c r="F8" s="3286" t="s">
        <v>2778</v>
      </c>
      <c r="G8" s="3287"/>
      <c r="H8" s="3243"/>
      <c r="I8" s="3244"/>
      <c r="J8" s="3756"/>
      <c r="K8" s="3758"/>
      <c r="L8" s="3278" t="s">
        <v>2779</v>
      </c>
      <c r="M8" s="3279"/>
      <c r="N8" s="3255"/>
      <c r="O8" s="3280"/>
      <c r="P8" s="3280"/>
      <c r="Q8" s="3281">
        <v>365</v>
      </c>
      <c r="R8" s="3282">
        <f t="shared" ref="R8:R13" si="0">ROUND(M8*N8*O8*P8*Q8/10000,0)</f>
        <v>0</v>
      </c>
      <c r="S8" s="3235"/>
      <c r="T8" s="3235" t="s">
        <v>2780</v>
      </c>
      <c r="U8" s="3235"/>
      <c r="V8" s="3244"/>
    </row>
    <row r="9" spans="1:22" s="3248" customFormat="1" ht="13.15" customHeight="1">
      <c r="A9" s="3283">
        <v>1</v>
      </c>
      <c r="B9" s="3773" t="s">
        <v>2781</v>
      </c>
      <c r="C9" s="3774"/>
      <c r="D9" s="3284">
        <f>ROUND(D6*E9,0)</f>
        <v>0</v>
      </c>
      <c r="E9" s="3288"/>
      <c r="F9" s="3289" t="s">
        <v>2782</v>
      </c>
      <c r="G9" s="3268"/>
      <c r="H9" s="3243"/>
      <c r="I9" s="3244"/>
      <c r="J9" s="3756"/>
      <c r="K9" s="3758"/>
      <c r="L9" s="3278" t="s">
        <v>2783</v>
      </c>
      <c r="M9" s="3279"/>
      <c r="N9" s="3255"/>
      <c r="O9" s="3280"/>
      <c r="P9" s="3280"/>
      <c r="Q9" s="3281">
        <v>365</v>
      </c>
      <c r="R9" s="3282">
        <f t="shared" si="0"/>
        <v>0</v>
      </c>
      <c r="S9" s="3235"/>
      <c r="T9" s="3235"/>
      <c r="U9" s="3235"/>
      <c r="V9" s="3244"/>
    </row>
    <row r="10" spans="1:22" s="3248" customFormat="1" ht="13.15" customHeight="1">
      <c r="A10" s="3283">
        <v>2</v>
      </c>
      <c r="B10" s="3773" t="s">
        <v>2784</v>
      </c>
      <c r="C10" s="3774"/>
      <c r="D10" s="3284">
        <f>ROUND(D6*E10,0)</f>
        <v>0</v>
      </c>
      <c r="E10" s="3288"/>
      <c r="F10" s="3289" t="s">
        <v>2785</v>
      </c>
      <c r="G10" s="3268"/>
      <c r="H10" s="3243"/>
      <c r="I10" s="3244"/>
      <c r="J10" s="3756"/>
      <c r="K10" s="3758"/>
      <c r="L10" s="3278" t="s">
        <v>2786</v>
      </c>
      <c r="M10" s="3279"/>
      <c r="N10" s="3255"/>
      <c r="O10" s="3280"/>
      <c r="P10" s="3280"/>
      <c r="Q10" s="3281">
        <v>365</v>
      </c>
      <c r="R10" s="3282">
        <f t="shared" si="0"/>
        <v>0</v>
      </c>
      <c r="S10" s="3235"/>
      <c r="T10" s="3235"/>
      <c r="U10" s="3235"/>
      <c r="V10" s="3244"/>
    </row>
    <row r="11" spans="1:22" s="3248" customFormat="1" ht="13.15" customHeight="1">
      <c r="A11" s="3283">
        <v>3</v>
      </c>
      <c r="B11" s="3773" t="s">
        <v>2787</v>
      </c>
      <c r="C11" s="3774"/>
      <c r="D11" s="3284">
        <f>D12+D14+D15+D16</f>
        <v>0</v>
      </c>
      <c r="E11" s="3290" t="e">
        <f>D11/D6</f>
        <v>#DIV/0!</v>
      </c>
      <c r="F11" s="3286"/>
      <c r="G11" s="3287"/>
      <c r="H11" s="3243"/>
      <c r="I11" s="3244"/>
      <c r="J11" s="3756"/>
      <c r="K11" s="3758"/>
      <c r="L11" s="3278" t="s">
        <v>2788</v>
      </c>
      <c r="M11" s="3279"/>
      <c r="N11" s="3255"/>
      <c r="O11" s="3280"/>
      <c r="P11" s="3280"/>
      <c r="Q11" s="3281">
        <v>365</v>
      </c>
      <c r="R11" s="3282">
        <f t="shared" si="0"/>
        <v>0</v>
      </c>
      <c r="S11" s="3235"/>
      <c r="T11" s="3235"/>
      <c r="U11" s="3235"/>
      <c r="V11" s="3244"/>
    </row>
    <row r="12" spans="1:22" s="3248" customFormat="1" ht="13.15" customHeight="1">
      <c r="A12" s="3291" t="s">
        <v>2789</v>
      </c>
      <c r="B12" s="3766" t="s">
        <v>2790</v>
      </c>
      <c r="C12" s="3767"/>
      <c r="D12" s="3292">
        <f>ROUND(D13*1.2%*(1-30%),0)</f>
        <v>0</v>
      </c>
      <c r="E12" s="3293">
        <v>1.2E-2</v>
      </c>
      <c r="F12" s="3286" t="s">
        <v>2791</v>
      </c>
      <c r="G12" s="3287"/>
      <c r="H12" s="3243"/>
      <c r="I12" s="3244"/>
      <c r="J12" s="3756"/>
      <c r="K12" s="3758"/>
      <c r="L12" s="3278" t="s">
        <v>2792</v>
      </c>
      <c r="M12" s="3279"/>
      <c r="N12" s="3255"/>
      <c r="O12" s="3280"/>
      <c r="P12" s="3280"/>
      <c r="Q12" s="3281">
        <v>365</v>
      </c>
      <c r="R12" s="3282">
        <f t="shared" si="0"/>
        <v>0</v>
      </c>
      <c r="S12" s="3235"/>
      <c r="T12" s="3235"/>
      <c r="U12" s="3235"/>
      <c r="V12" s="3244"/>
    </row>
    <row r="13" spans="1:22" s="3248" customFormat="1" ht="13.15" customHeight="1">
      <c r="A13" s="3291"/>
      <c r="B13" s="3294"/>
      <c r="C13" s="3295" t="s">
        <v>2793</v>
      </c>
      <c r="D13" s="3296"/>
      <c r="E13" s="3297"/>
      <c r="F13" s="3286"/>
      <c r="G13" s="3287"/>
      <c r="H13" s="3243"/>
      <c r="I13" s="3244"/>
      <c r="J13" s="3756"/>
      <c r="K13" s="3758"/>
      <c r="L13" s="3278" t="s">
        <v>2794</v>
      </c>
      <c r="M13" s="3279"/>
      <c r="N13" s="3255"/>
      <c r="O13" s="3280"/>
      <c r="P13" s="3280"/>
      <c r="Q13" s="3281">
        <v>365</v>
      </c>
      <c r="R13" s="3282">
        <f t="shared" si="0"/>
        <v>0</v>
      </c>
      <c r="S13" s="3235"/>
      <c r="T13" s="3235"/>
      <c r="U13" s="3235"/>
      <c r="V13" s="3244"/>
    </row>
    <row r="14" spans="1:22" s="3248" customFormat="1" ht="13.15" customHeight="1">
      <c r="A14" s="3291" t="s">
        <v>2795</v>
      </c>
      <c r="B14" s="3766" t="s">
        <v>2796</v>
      </c>
      <c r="C14" s="3767"/>
      <c r="D14" s="3292">
        <f>ROUND(E14*B5/10000,0)</f>
        <v>0</v>
      </c>
      <c r="E14" s="3281"/>
      <c r="F14" s="3286" t="s">
        <v>2797</v>
      </c>
      <c r="G14" s="3287"/>
      <c r="H14" s="3243"/>
      <c r="I14" s="3244"/>
      <c r="J14" s="3756"/>
      <c r="K14" s="3759"/>
      <c r="L14" s="3298" t="s">
        <v>2798</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2799</v>
      </c>
      <c r="B15" s="3766" t="s">
        <v>2800</v>
      </c>
      <c r="C15" s="3767"/>
      <c r="D15" s="3292">
        <f>ROUND(D6*E15,0)</f>
        <v>0</v>
      </c>
      <c r="E15" s="3293">
        <v>5.5E-2</v>
      </c>
      <c r="F15" s="3286" t="s">
        <v>2801</v>
      </c>
      <c r="G15" s="3268"/>
      <c r="H15" s="3243"/>
      <c r="I15" s="3244"/>
      <c r="J15" s="3756">
        <v>2</v>
      </c>
      <c r="K15" s="3757" t="s">
        <v>2802</v>
      </c>
      <c r="L15" s="3278" t="s">
        <v>2803</v>
      </c>
      <c r="M15" s="3279" t="s">
        <v>2804</v>
      </c>
      <c r="N15" s="3279" t="s">
        <v>2805</v>
      </c>
      <c r="O15" s="3280" t="s">
        <v>2806</v>
      </c>
      <c r="P15" s="3280" t="s">
        <v>2807</v>
      </c>
      <c r="Q15" s="3255" t="s">
        <v>2808</v>
      </c>
      <c r="R15" s="3302" t="s">
        <v>2809</v>
      </c>
      <c r="S15" s="3235"/>
      <c r="T15" s="3235"/>
      <c r="U15" s="3235"/>
      <c r="V15" s="3244"/>
    </row>
    <row r="16" spans="1:22" s="3248" customFormat="1" ht="13.15" customHeight="1">
      <c r="A16" s="3291" t="s">
        <v>2810</v>
      </c>
      <c r="B16" s="3766" t="s">
        <v>2811</v>
      </c>
      <c r="C16" s="3767"/>
      <c r="D16" s="3303">
        <f>D6*E16</f>
        <v>0</v>
      </c>
      <c r="E16" s="3304"/>
      <c r="F16" s="3289" t="s">
        <v>2812</v>
      </c>
      <c r="G16" s="3268"/>
      <c r="H16" s="3243"/>
      <c r="I16" s="3244"/>
      <c r="J16" s="3756"/>
      <c r="K16" s="3758"/>
      <c r="L16" s="3278" t="s">
        <v>2813</v>
      </c>
      <c r="M16" s="3279"/>
      <c r="N16" s="3279"/>
      <c r="O16" s="3280"/>
      <c r="P16" s="3281">
        <v>365</v>
      </c>
      <c r="Q16" s="3255"/>
      <c r="R16" s="3302">
        <f>ROUND(M16*N16*O16*P16/10000,0)</f>
        <v>0</v>
      </c>
      <c r="S16" s="3235"/>
      <c r="T16" s="3235"/>
      <c r="U16" s="3235"/>
      <c r="V16" s="3244"/>
    </row>
    <row r="17" spans="1:22" s="3248" customFormat="1" ht="13.15" customHeight="1" thickBot="1">
      <c r="A17" s="3305">
        <v>4</v>
      </c>
      <c r="B17" s="3768" t="s">
        <v>2814</v>
      </c>
      <c r="C17" s="3769"/>
      <c r="D17" s="3306">
        <f>ROUND(D6*E17,0)</f>
        <v>0</v>
      </c>
      <c r="E17" s="3307"/>
      <c r="F17" s="3308" t="s">
        <v>2815</v>
      </c>
      <c r="G17" s="3268"/>
      <c r="H17" s="3243"/>
      <c r="I17" s="3244"/>
      <c r="J17" s="3756"/>
      <c r="K17" s="3758"/>
      <c r="L17" s="3278" t="s">
        <v>2816</v>
      </c>
      <c r="M17" s="3279"/>
      <c r="N17" s="3279"/>
      <c r="O17" s="3280"/>
      <c r="P17" s="3281">
        <v>365</v>
      </c>
      <c r="Q17" s="3255"/>
      <c r="R17" s="3302">
        <f>ROUND(M17*N17*O17*P17/10000,0)</f>
        <v>0</v>
      </c>
      <c r="S17" s="3235"/>
      <c r="T17" s="3235"/>
      <c r="U17" s="3235"/>
      <c r="V17" s="3244"/>
    </row>
    <row r="18" spans="1:22" s="3248" customFormat="1" ht="13.15" customHeight="1" thickBot="1">
      <c r="A18" s="3271" t="s">
        <v>2817</v>
      </c>
      <c r="B18" s="3272"/>
      <c r="C18" s="3272"/>
      <c r="D18" s="3309">
        <f>ROUND(D6*E18,0)</f>
        <v>0</v>
      </c>
      <c r="E18" s="3310"/>
      <c r="F18" s="3311" t="s">
        <v>2818</v>
      </c>
      <c r="G18" s="3268"/>
      <c r="H18" s="3243"/>
      <c r="I18" s="3244"/>
      <c r="J18" s="3756"/>
      <c r="K18" s="3758"/>
      <c r="L18" s="3278" t="s">
        <v>2819</v>
      </c>
      <c r="M18" s="3279"/>
      <c r="N18" s="3279"/>
      <c r="O18" s="3280"/>
      <c r="P18" s="3281">
        <v>365</v>
      </c>
      <c r="Q18" s="3255"/>
      <c r="R18" s="3302">
        <f>ROUND(M18*N18*O18*P18/10000,0)</f>
        <v>0</v>
      </c>
      <c r="S18" s="3235"/>
      <c r="T18" s="3235"/>
      <c r="U18" s="3235"/>
      <c r="V18" s="3244"/>
    </row>
    <row r="19" spans="1:22" s="3248" customFormat="1" ht="13.15" customHeight="1" thickBot="1">
      <c r="A19" s="3312" t="s">
        <v>2820</v>
      </c>
      <c r="B19" s="3266"/>
      <c r="C19" s="3266"/>
      <c r="D19" s="3266"/>
      <c r="E19" s="3266"/>
      <c r="F19" s="3267"/>
      <c r="G19" s="3287"/>
      <c r="H19" s="3243"/>
      <c r="I19" s="3244"/>
      <c r="J19" s="3756"/>
      <c r="K19" s="3759"/>
      <c r="L19" s="3298" t="s">
        <v>2798</v>
      </c>
      <c r="M19" s="3299"/>
      <c r="N19" s="3299">
        <f>SUM(N16:N18)</f>
        <v>0</v>
      </c>
      <c r="O19" s="3300"/>
      <c r="P19" s="3313" t="s">
        <v>2886</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56">
        <v>3</v>
      </c>
      <c r="K20" s="3757" t="s">
        <v>2821</v>
      </c>
      <c r="L20" s="3278" t="s">
        <v>2822</v>
      </c>
      <c r="M20" s="3279" t="s">
        <v>2823</v>
      </c>
      <c r="N20" s="3316" t="s">
        <v>2824</v>
      </c>
      <c r="O20" s="3280" t="s">
        <v>2825</v>
      </c>
      <c r="P20" s="3281" t="s">
        <v>2826</v>
      </c>
      <c r="Q20" s="3255" t="s">
        <v>2827</v>
      </c>
      <c r="R20" s="3302" t="s">
        <v>2769</v>
      </c>
      <c r="S20" s="3317"/>
      <c r="T20" s="3317"/>
      <c r="U20" s="3317"/>
      <c r="V20" s="3244"/>
    </row>
    <row r="21" spans="1:22" s="3248" customFormat="1" ht="13.15" customHeight="1">
      <c r="A21" s="3271"/>
      <c r="B21" s="3272"/>
      <c r="C21" s="3318" t="s">
        <v>2828</v>
      </c>
      <c r="D21" s="3319" t="s">
        <v>2829</v>
      </c>
      <c r="E21" s="3320" t="s">
        <v>2830</v>
      </c>
      <c r="F21" s="3315"/>
      <c r="G21" s="3287"/>
      <c r="H21" s="3243"/>
      <c r="I21" s="3244"/>
      <c r="J21" s="3756"/>
      <c r="K21" s="3758"/>
      <c r="L21" s="3278" t="s">
        <v>2831</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2832</v>
      </c>
      <c r="D22" s="3323" t="s">
        <v>2833</v>
      </c>
      <c r="E22" s="3324" t="s">
        <v>2834</v>
      </c>
      <c r="F22" s="3315"/>
      <c r="G22" s="3325"/>
      <c r="H22" s="3243"/>
      <c r="I22" s="3244"/>
      <c r="J22" s="3756"/>
      <c r="K22" s="3758"/>
      <c r="L22" s="3278" t="s">
        <v>2835</v>
      </c>
      <c r="M22" s="3279"/>
      <c r="N22" s="3279"/>
      <c r="O22" s="3280"/>
      <c r="P22" s="3281">
        <v>365</v>
      </c>
      <c r="Q22" s="3255"/>
      <c r="R22" s="3321">
        <f>ROUND(M22*N22*O22*P22/10000,0)</f>
        <v>0</v>
      </c>
      <c r="S22" s="3317"/>
      <c r="T22" s="3317"/>
      <c r="U22" s="3317"/>
      <c r="V22" s="3244"/>
    </row>
    <row r="23" spans="1:22" s="3248" customFormat="1" ht="13.15" customHeight="1">
      <c r="A23" s="3326">
        <v>1</v>
      </c>
      <c r="B23" s="3327" t="s">
        <v>2836</v>
      </c>
      <c r="C23" s="3328">
        <f>D6</f>
        <v>0</v>
      </c>
      <c r="D23" s="3329">
        <f>C23*(1+D24)</f>
        <v>0</v>
      </c>
      <c r="E23" s="3330">
        <f>D23*(1+E24)</f>
        <v>0</v>
      </c>
      <c r="F23" s="3331"/>
      <c r="G23" s="3332"/>
      <c r="H23" s="3243"/>
      <c r="I23" s="3244"/>
      <c r="J23" s="3756"/>
      <c r="K23" s="3758"/>
      <c r="L23" s="3278" t="s">
        <v>2837</v>
      </c>
      <c r="M23" s="3279"/>
      <c r="N23" s="3279"/>
      <c r="O23" s="3280"/>
      <c r="P23" s="3281">
        <v>365</v>
      </c>
      <c r="Q23" s="3255"/>
      <c r="R23" s="3321">
        <f>ROUND(M23*N23*O23*P23/10000,0)</f>
        <v>0</v>
      </c>
      <c r="S23" s="3235"/>
      <c r="T23" s="3235"/>
      <c r="U23" s="3235"/>
      <c r="V23" s="3244"/>
    </row>
    <row r="24" spans="1:22" s="3248" customFormat="1" ht="13.15" customHeight="1">
      <c r="A24" s="3333"/>
      <c r="B24" s="3334" t="s">
        <v>2838</v>
      </c>
      <c r="C24" s="3335"/>
      <c r="D24" s="3336"/>
      <c r="E24" s="3337"/>
      <c r="F24" s="3338"/>
      <c r="G24" s="3332"/>
      <c r="H24" s="3243"/>
      <c r="I24" s="3244"/>
      <c r="J24" s="3756"/>
      <c r="K24" s="3759"/>
      <c r="L24" s="3298" t="s">
        <v>2798</v>
      </c>
      <c r="M24" s="3299">
        <f>SUM(M21:M23)</f>
        <v>0</v>
      </c>
      <c r="N24" s="3299"/>
      <c r="O24" s="3300"/>
      <c r="P24" s="3313" t="s">
        <v>2886</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2839</v>
      </c>
      <c r="L25" s="3341"/>
      <c r="M25" s="3341"/>
      <c r="N25" s="3341"/>
      <c r="O25" s="3341"/>
      <c r="P25" s="3342"/>
      <c r="Q25" s="3343"/>
      <c r="R25" s="3314">
        <f>ROUND(R14*Q25,0)</f>
        <v>0</v>
      </c>
      <c r="S25" s="3235"/>
      <c r="T25" s="3235"/>
      <c r="U25" s="3235"/>
      <c r="V25" s="3344"/>
    </row>
    <row r="26" spans="1:22" s="3345" customFormat="1" ht="13.15" customHeight="1">
      <c r="A26" s="3326">
        <v>2</v>
      </c>
      <c r="B26" s="3327" t="s">
        <v>2840</v>
      </c>
      <c r="C26" s="3328">
        <f>D7</f>
        <v>0</v>
      </c>
      <c r="D26" s="3329">
        <f>D23*D27</f>
        <v>0</v>
      </c>
      <c r="E26" s="3330">
        <f>E23*E27</f>
        <v>0</v>
      </c>
      <c r="F26" s="3331"/>
      <c r="G26" s="3332"/>
      <c r="H26" s="3243"/>
      <c r="I26" s="3244"/>
      <c r="J26" s="3760">
        <v>5</v>
      </c>
      <c r="K26" s="3346" t="s">
        <v>2841</v>
      </c>
      <c r="L26" s="3347"/>
      <c r="M26" s="3348"/>
      <c r="N26" s="3349" t="s">
        <v>2842</v>
      </c>
      <c r="O26" s="3349" t="s">
        <v>2843</v>
      </c>
      <c r="P26" s="3350" t="s">
        <v>2844</v>
      </c>
      <c r="Q26" s="3350" t="s">
        <v>2845</v>
      </c>
      <c r="R26" s="3253" t="s">
        <v>2846</v>
      </c>
      <c r="S26" s="3351"/>
      <c r="T26" s="3351"/>
      <c r="U26" s="3351"/>
      <c r="V26" s="3344"/>
    </row>
    <row r="27" spans="1:22" s="3248" customFormat="1" ht="13.15" customHeight="1">
      <c r="A27" s="3333"/>
      <c r="B27" s="3334" t="s">
        <v>2847</v>
      </c>
      <c r="C27" s="3352" t="e">
        <f>E7</f>
        <v>#DIV/0!</v>
      </c>
      <c r="D27" s="3336"/>
      <c r="E27" s="3337"/>
      <c r="F27" s="3338"/>
      <c r="G27" s="3332"/>
      <c r="H27" s="3353"/>
      <c r="I27" s="3344"/>
      <c r="J27" s="3761"/>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2848</v>
      </c>
      <c r="F28" s="3338"/>
      <c r="G28" s="3325"/>
      <c r="H28" s="3353"/>
      <c r="I28" s="3344"/>
      <c r="J28" s="3359">
        <v>6</v>
      </c>
      <c r="K28" s="3360" t="s">
        <v>2849</v>
      </c>
      <c r="L28" s="3361" t="s">
        <v>2850</v>
      </c>
      <c r="M28" s="3362"/>
      <c r="N28" s="3361" t="s">
        <v>2851</v>
      </c>
      <c r="O28" s="3363"/>
      <c r="P28" s="3361" t="s">
        <v>2852</v>
      </c>
      <c r="Q28" s="3364">
        <v>1.4999999999999999E-2</v>
      </c>
      <c r="R28" s="3365"/>
      <c r="S28" s="3317"/>
      <c r="T28" s="3317"/>
      <c r="U28" s="3317"/>
      <c r="V28" s="3344"/>
    </row>
    <row r="29" spans="1:22" s="3345" customFormat="1" ht="13.15" customHeight="1">
      <c r="A29" s="3326">
        <v>3</v>
      </c>
      <c r="B29" s="3327" t="s">
        <v>2853</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2854</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2855</v>
      </c>
      <c r="K31" s="3233"/>
      <c r="L31" s="3233"/>
      <c r="M31" s="3233"/>
      <c r="N31" s="3233"/>
      <c r="O31" s="3233"/>
      <c r="P31" s="3233"/>
      <c r="Q31" s="3233"/>
      <c r="R31" s="3234"/>
      <c r="S31" s="3317"/>
      <c r="T31" s="3235"/>
      <c r="U31" s="3235"/>
      <c r="V31" s="3344"/>
    </row>
    <row r="32" spans="1:22" s="3345" customFormat="1" ht="13.15" customHeight="1">
      <c r="A32" s="3326">
        <v>4</v>
      </c>
      <c r="B32" s="3327" t="s">
        <v>2856</v>
      </c>
      <c r="C32" s="3328">
        <f>C23-C26-C29</f>
        <v>0</v>
      </c>
      <c r="D32" s="3329">
        <f>D23-D26-D29</f>
        <v>0</v>
      </c>
      <c r="E32" s="3330">
        <f>E23-E26-E29</f>
        <v>0</v>
      </c>
      <c r="F32" s="3331"/>
      <c r="G32" s="3325"/>
      <c r="H32" s="3243"/>
      <c r="I32" s="3244"/>
      <c r="J32" s="3762" t="s">
        <v>2857</v>
      </c>
      <c r="K32" s="3763"/>
      <c r="L32" s="3245" t="s">
        <v>2858</v>
      </c>
      <c r="M32" s="3245" t="s">
        <v>2747</v>
      </c>
      <c r="N32" s="3245" t="s">
        <v>2748</v>
      </c>
      <c r="O32" s="3245" t="s">
        <v>2749</v>
      </c>
      <c r="P32" s="3245" t="s">
        <v>2750</v>
      </c>
      <c r="Q32" s="3246" t="s">
        <v>2859</v>
      </c>
      <c r="R32" s="3368" t="s">
        <v>2860</v>
      </c>
      <c r="S32" s="3317"/>
      <c r="T32" s="3235"/>
      <c r="U32" s="3235"/>
      <c r="V32" s="3344"/>
    </row>
    <row r="33" spans="1:23" s="3248" customFormat="1" ht="13.15" customHeight="1">
      <c r="A33" s="3326"/>
      <c r="B33" s="3327"/>
      <c r="C33" s="3328"/>
      <c r="D33" s="3369"/>
      <c r="E33" s="3370"/>
      <c r="F33" s="3331"/>
      <c r="G33" s="3325"/>
      <c r="H33" s="3353"/>
      <c r="I33" s="3344"/>
      <c r="J33" s="3764" t="s">
        <v>2861</v>
      </c>
      <c r="K33" s="3765"/>
      <c r="L33" s="3251"/>
      <c r="M33" s="3251"/>
      <c r="N33" s="3251"/>
      <c r="O33" s="3251"/>
      <c r="P33" s="3251"/>
      <c r="Q33" s="3252"/>
      <c r="R33" s="3371">
        <f>SUM(L33:Q33)</f>
        <v>0</v>
      </c>
      <c r="S33" s="3317"/>
      <c r="T33" s="3235"/>
      <c r="U33" s="3235"/>
      <c r="V33" s="3244"/>
    </row>
    <row r="34" spans="1:23" s="3248" customFormat="1" ht="13.15" customHeight="1">
      <c r="A34" s="3326">
        <v>5</v>
      </c>
      <c r="B34" s="3327" t="s">
        <v>2862</v>
      </c>
      <c r="C34" s="3372"/>
      <c r="D34" s="3373"/>
      <c r="E34" s="3374"/>
      <c r="F34" s="3331"/>
      <c r="G34" s="3325"/>
      <c r="H34" s="3353"/>
      <c r="I34" s="3344"/>
      <c r="J34" s="3764" t="s">
        <v>2863</v>
      </c>
      <c r="K34" s="3765"/>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2864</v>
      </c>
      <c r="C35" s="3376"/>
      <c r="D35" s="3377"/>
      <c r="E35" s="3378"/>
      <c r="F35" s="3331"/>
      <c r="G35" s="3379"/>
      <c r="H35" s="3243"/>
      <c r="I35" s="3344"/>
      <c r="J35" s="3262" t="s">
        <v>2865</v>
      </c>
      <c r="K35" s="3263"/>
      <c r="L35" s="3263"/>
      <c r="M35" s="3264"/>
      <c r="N35" s="3264"/>
      <c r="O35" s="3264"/>
      <c r="P35" s="3264"/>
      <c r="Q35" s="3264"/>
      <c r="R35" s="3380">
        <f>R40+R41+R43</f>
        <v>0</v>
      </c>
      <c r="S35" s="3317"/>
      <c r="T35" s="3235" t="s">
        <v>2866</v>
      </c>
      <c r="U35" s="3235"/>
      <c r="V35" s="3244"/>
    </row>
    <row r="36" spans="1:23" s="3248" customFormat="1" ht="13.15" customHeight="1" thickBot="1">
      <c r="A36" s="3326">
        <v>7</v>
      </c>
      <c r="B36" s="3381" t="s">
        <v>2867</v>
      </c>
      <c r="C36" s="3382"/>
      <c r="D36" s="3383"/>
      <c r="E36" s="3384"/>
      <c r="F36" s="3385">
        <f>C36+D36+E36</f>
        <v>0</v>
      </c>
      <c r="G36" s="3325"/>
      <c r="H36" s="3243"/>
      <c r="I36" s="3244"/>
      <c r="J36" s="3756">
        <v>1</v>
      </c>
      <c r="K36" s="3757" t="s">
        <v>2868</v>
      </c>
      <c r="L36" s="3269"/>
      <c r="M36" s="3270"/>
      <c r="N36" s="3270"/>
      <c r="O36" s="3270"/>
      <c r="P36" s="3270"/>
      <c r="Q36" s="3270"/>
      <c r="R36" s="3253" t="s">
        <v>2769</v>
      </c>
      <c r="S36" s="3317"/>
      <c r="T36" s="3235" t="s">
        <v>2770</v>
      </c>
      <c r="U36" s="3235"/>
      <c r="V36" s="3244"/>
    </row>
    <row r="37" spans="1:23" s="3248" customFormat="1" ht="13.15" customHeight="1">
      <c r="A37" s="3326"/>
      <c r="B37" s="3327"/>
      <c r="C37" s="3327"/>
      <c r="D37" s="3327"/>
      <c r="E37" s="3327"/>
      <c r="F37" s="3331"/>
      <c r="G37" s="3325"/>
      <c r="H37" s="3243"/>
      <c r="I37" s="3244"/>
      <c r="J37" s="3756"/>
      <c r="K37" s="3758"/>
      <c r="L37" s="3278"/>
      <c r="M37" s="3279"/>
      <c r="N37" s="3255"/>
      <c r="O37" s="3280"/>
      <c r="P37" s="3280"/>
      <c r="Q37" s="3281"/>
      <c r="R37" s="3282"/>
      <c r="S37" s="3317"/>
      <c r="T37" s="3235" t="s">
        <v>2773</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56"/>
      <c r="K38" s="3758"/>
      <c r="L38" s="3278"/>
      <c r="M38" s="3279"/>
      <c r="N38" s="3255"/>
      <c r="O38" s="3280"/>
      <c r="P38" s="3280"/>
      <c r="Q38" s="3281"/>
      <c r="R38" s="3282"/>
      <c r="S38" s="3317"/>
      <c r="T38" s="3235" t="s">
        <v>2780</v>
      </c>
      <c r="U38" s="3235"/>
      <c r="V38" s="3244"/>
    </row>
    <row r="39" spans="1:23" s="3248" customFormat="1" ht="13.15" customHeight="1">
      <c r="A39" s="3326">
        <v>9</v>
      </c>
      <c r="B39" s="3327" t="s">
        <v>2869</v>
      </c>
      <c r="C39" s="3292" t="e">
        <f>C38</f>
        <v>#DIV/0!</v>
      </c>
      <c r="D39" s="3327">
        <f>D38/(1+D34)^C36</f>
        <v>0</v>
      </c>
      <c r="E39" s="3327">
        <f>E38/(1+E34)^(C36+D36)</f>
        <v>0</v>
      </c>
      <c r="F39" s="3331"/>
      <c r="G39" s="3386"/>
      <c r="H39" s="3243"/>
      <c r="I39" s="3244"/>
      <c r="J39" s="3756"/>
      <c r="K39" s="3758"/>
      <c r="L39" s="3278"/>
      <c r="M39" s="3279"/>
      <c r="N39" s="3255"/>
      <c r="O39" s="3280"/>
      <c r="P39" s="3280"/>
      <c r="Q39" s="3281"/>
      <c r="R39" s="3282"/>
      <c r="S39" s="3317"/>
      <c r="T39" s="3235"/>
      <c r="U39" s="3235"/>
      <c r="V39" s="3244"/>
    </row>
    <row r="40" spans="1:23" s="3248" customFormat="1" ht="13.15" customHeight="1">
      <c r="A40" s="3387">
        <v>10</v>
      </c>
      <c r="B40" s="3327" t="s">
        <v>2870</v>
      </c>
      <c r="C40" s="3388" t="e">
        <f>C39+D39+E39</f>
        <v>#DIV/0!</v>
      </c>
      <c r="D40" s="3389"/>
      <c r="E40" s="3389"/>
      <c r="F40" s="3390"/>
      <c r="G40" s="3325"/>
      <c r="H40" s="3243"/>
      <c r="I40" s="3244"/>
      <c r="J40" s="3756"/>
      <c r="K40" s="3759"/>
      <c r="L40" s="3298" t="s">
        <v>2871</v>
      </c>
      <c r="M40" s="3299"/>
      <c r="N40" s="3299"/>
      <c r="O40" s="3300"/>
      <c r="P40" s="3300"/>
      <c r="Q40" s="3301"/>
      <c r="R40" s="3247">
        <f>SUM(R37:R39)</f>
        <v>0</v>
      </c>
      <c r="S40" s="3317"/>
      <c r="T40" s="3235"/>
      <c r="U40" s="3235"/>
      <c r="V40" s="3244"/>
    </row>
    <row r="41" spans="1:23" s="3248" customFormat="1" ht="13.15" customHeight="1" thickBot="1">
      <c r="A41" s="3391">
        <v>11</v>
      </c>
      <c r="B41" s="3392" t="s">
        <v>2872</v>
      </c>
      <c r="C41" s="3392" t="e">
        <f>ROUND(C40*10000/B4,0)</f>
        <v>#DIV/0!</v>
      </c>
      <c r="D41" s="3393"/>
      <c r="E41" s="3393"/>
      <c r="F41" s="3394"/>
      <c r="G41" s="3395"/>
      <c r="H41" s="3243"/>
      <c r="I41" s="3244"/>
      <c r="J41" s="3339">
        <v>2</v>
      </c>
      <c r="K41" s="3340" t="s">
        <v>2873</v>
      </c>
      <c r="L41" s="3341"/>
      <c r="M41" s="3341"/>
      <c r="N41" s="3341"/>
      <c r="O41" s="3341"/>
      <c r="P41" s="3342"/>
      <c r="Q41" s="3343"/>
      <c r="R41" s="3314">
        <f>ROUND(R40*Q41,0)</f>
        <v>0</v>
      </c>
      <c r="S41" s="3317"/>
      <c r="T41" s="3235"/>
      <c r="U41" s="3351"/>
      <c r="V41" s="3244"/>
    </row>
    <row r="42" spans="1:23" s="3248" customFormat="1" ht="13.15" customHeight="1">
      <c r="G42" s="3395"/>
      <c r="H42" s="3243"/>
      <c r="I42" s="3244"/>
      <c r="J42" s="3760">
        <v>3</v>
      </c>
      <c r="K42" s="3346" t="s">
        <v>2874</v>
      </c>
      <c r="L42" s="3347"/>
      <c r="M42" s="3348"/>
      <c r="N42" s="3349" t="s">
        <v>2875</v>
      </c>
      <c r="O42" s="3349" t="s">
        <v>2876</v>
      </c>
      <c r="P42" s="3350" t="s">
        <v>2877</v>
      </c>
      <c r="Q42" s="3350" t="s">
        <v>2878</v>
      </c>
      <c r="R42" s="3253" t="s">
        <v>2879</v>
      </c>
      <c r="S42" s="3351"/>
      <c r="T42" s="3351"/>
      <c r="U42" s="3235"/>
      <c r="V42" s="3244"/>
    </row>
    <row r="43" spans="1:23" ht="13.15" customHeight="1">
      <c r="A43" s="3248"/>
      <c r="B43" s="3248"/>
      <c r="C43" s="3248"/>
      <c r="D43" s="3248"/>
      <c r="E43" s="3248"/>
      <c r="F43" s="3248"/>
      <c r="I43" s="3230"/>
      <c r="J43" s="3761"/>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2880</v>
      </c>
      <c r="L44" s="3399" t="s">
        <v>2881</v>
      </c>
      <c r="M44" s="3362"/>
      <c r="N44" s="3399" t="s">
        <v>2882</v>
      </c>
      <c r="O44" s="3362"/>
      <c r="P44" s="3399" t="s">
        <v>2883</v>
      </c>
      <c r="Q44" s="3364">
        <v>1.4999999999999999E-2</v>
      </c>
      <c r="R44" s="3365"/>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7"/>
      <c r="D2" s="3177"/>
      <c r="E2" s="3177"/>
      <c r="F2" s="3177"/>
      <c r="G2" s="3177"/>
    </row>
    <row r="3" spans="1:25" s="1897" customFormat="1" ht="18" customHeight="1">
      <c r="A3" s="1287" t="s">
        <v>1485</v>
      </c>
      <c r="B3" s="419">
        <f ca="1">ROUND(B2*10000/'数据-汇总表'!E3,0)</f>
        <v>0</v>
      </c>
      <c r="C3" s="3177"/>
      <c r="D3" s="3177"/>
      <c r="E3" s="3177"/>
      <c r="F3" s="3177"/>
      <c r="G3" s="3177"/>
    </row>
    <row r="4" spans="1:25" s="1897" customFormat="1" ht="18" customHeight="1">
      <c r="A4" s="420" t="s">
        <v>462</v>
      </c>
      <c r="B4" s="421">
        <f ca="1">ROUND(B2*10000/'数据-汇总表'!D3,0)</f>
        <v>0</v>
      </c>
      <c r="C4" s="3130"/>
      <c r="D4" s="3177"/>
      <c r="E4" s="3177"/>
      <c r="F4" s="3177"/>
      <c r="G4" s="3177"/>
    </row>
    <row r="5" spans="1:25" s="1897" customFormat="1" ht="18" customHeight="1" thickBot="1">
      <c r="A5" s="423"/>
      <c r="B5" s="424">
        <f ca="1">ROUND(B2/('数据-汇总表'!D3/666.67),0)</f>
        <v>0</v>
      </c>
      <c r="C5" s="425" t="s">
        <v>463</v>
      </c>
      <c r="D5" s="3177"/>
      <c r="E5" s="3177"/>
      <c r="F5" s="3177"/>
      <c r="G5" s="3177"/>
    </row>
    <row r="6" spans="1:25" s="2019" customFormat="1" ht="13.5" customHeight="1">
      <c r="A6" s="718"/>
      <c r="B6" s="719" t="s">
        <v>586</v>
      </c>
      <c r="C6" s="720" t="s">
        <v>587</v>
      </c>
      <c r="D6" s="720" t="s">
        <v>588</v>
      </c>
      <c r="E6" s="721" t="s">
        <v>589</v>
      </c>
      <c r="F6" s="721" t="s">
        <v>590</v>
      </c>
      <c r="G6" s="3176"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80">
        <f t="shared" ref="C8:C9" si="0">ROUND(D8*E8/10000,0)</f>
        <v>0</v>
      </c>
      <c r="D8" s="3180">
        <v>0</v>
      </c>
      <c r="E8" s="3181">
        <v>0</v>
      </c>
      <c r="F8" s="724"/>
      <c r="G8" s="725"/>
    </row>
    <row r="9" spans="1:25" s="2019" customFormat="1" ht="13.5" customHeight="1">
      <c r="A9" s="2278" t="s">
        <v>2222</v>
      </c>
      <c r="B9" s="2281" t="s">
        <v>2224</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0</v>
      </c>
      <c r="D12" s="3180">
        <f>'数据-汇总表'!E5</f>
        <v>0</v>
      </c>
      <c r="E12" s="3180">
        <f>'数据-取费表'!B27</f>
        <v>0</v>
      </c>
      <c r="F12" s="729"/>
      <c r="G12" s="732"/>
    </row>
    <row r="13" spans="1:25" s="2019" customFormat="1" ht="13.5" customHeight="1">
      <c r="A13" s="2284" t="s">
        <v>2228</v>
      </c>
      <c r="B13" s="730" t="s">
        <v>594</v>
      </c>
      <c r="C13" s="731">
        <f>ROUND(D13*E13/10000,0)</f>
        <v>36</v>
      </c>
      <c r="D13" s="3180">
        <f>'数据-汇总表'!E6</f>
        <v>1790.62</v>
      </c>
      <c r="E13" s="3180">
        <f>'数据-取费表'!B28</f>
        <v>200</v>
      </c>
      <c r="F13" s="729"/>
      <c r="G13" s="732"/>
    </row>
    <row r="14" spans="1:25" s="2019" customFormat="1" ht="13.5" customHeight="1">
      <c r="A14" s="2278" t="s">
        <v>2222</v>
      </c>
      <c r="B14" s="2283" t="s">
        <v>2225</v>
      </c>
      <c r="C14" s="3182">
        <f t="shared" ref="C14:C15" si="1">ROUND(D14*E14/10000,0)</f>
        <v>0</v>
      </c>
      <c r="D14" s="3180">
        <v>0</v>
      </c>
      <c r="E14" s="3181">
        <v>0</v>
      </c>
      <c r="F14" s="2282"/>
      <c r="G14" s="2285" t="s">
        <v>2230</v>
      </c>
    </row>
    <row r="15" spans="1:25" s="2019" customFormat="1" ht="13.5" customHeight="1">
      <c r="A15" s="2278" t="s">
        <v>2227</v>
      </c>
      <c r="B15" s="2283" t="s">
        <v>2226</v>
      </c>
      <c r="C15" s="3182">
        <f t="shared" si="1"/>
        <v>0</v>
      </c>
      <c r="D15" s="3180">
        <v>0</v>
      </c>
      <c r="E15" s="3181">
        <v>0</v>
      </c>
      <c r="F15" s="2282"/>
      <c r="G15" s="2285" t="s">
        <v>2231</v>
      </c>
    </row>
    <row r="16" spans="1:25" s="2020" customFormat="1" ht="48">
      <c r="A16" s="2278">
        <v>3</v>
      </c>
      <c r="B16" s="722" t="s">
        <v>597</v>
      </c>
      <c r="C16" s="3182">
        <f t="shared" ref="C16" si="2">ROUND(D16*E16/10000,0)</f>
        <v>0</v>
      </c>
      <c r="D16" s="3180">
        <v>0</v>
      </c>
      <c r="E16" s="3181">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0.78600000000000003</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70" t="s">
        <v>505</v>
      </c>
      <c r="D4" s="3671"/>
      <c r="E4" s="3692" t="s">
        <v>506</v>
      </c>
      <c r="F4" s="3693"/>
      <c r="G4" s="3670" t="s">
        <v>507</v>
      </c>
      <c r="H4" s="3671"/>
      <c r="I4" s="3670" t="s">
        <v>508</v>
      </c>
      <c r="J4" s="3671"/>
      <c r="K4" s="825" t="s">
        <v>509</v>
      </c>
      <c r="L4" s="1970"/>
      <c r="M4" s="1971"/>
      <c r="N4" s="1971"/>
      <c r="O4" s="1971"/>
      <c r="P4" s="3672" t="s">
        <v>510</v>
      </c>
      <c r="Q4" s="3673"/>
      <c r="R4" s="3656" t="s">
        <v>506</v>
      </c>
      <c r="S4" s="3657"/>
      <c r="T4" s="3656" t="s">
        <v>507</v>
      </c>
      <c r="U4" s="3657"/>
      <c r="V4" s="3678" t="s">
        <v>508</v>
      </c>
      <c r="W4" s="3678"/>
      <c r="X4" s="1458"/>
      <c r="Y4" s="3656" t="s">
        <v>510</v>
      </c>
      <c r="Z4" s="3657"/>
      <c r="AA4" s="3651" t="s">
        <v>506</v>
      </c>
      <c r="AB4" s="3651" t="s">
        <v>507</v>
      </c>
      <c r="AC4" s="3651" t="s">
        <v>508</v>
      </c>
    </row>
    <row r="5" spans="1:29" ht="15">
      <c r="A5" s="492"/>
      <c r="B5" s="493"/>
      <c r="C5" s="3681" t="s">
        <v>2631</v>
      </c>
      <c r="D5" s="3682"/>
      <c r="E5" s="3694" t="s">
        <v>2632</v>
      </c>
      <c r="F5" s="3695"/>
      <c r="G5" s="3681" t="s">
        <v>2633</v>
      </c>
      <c r="H5" s="3682"/>
      <c r="I5" s="3681" t="s">
        <v>2634</v>
      </c>
      <c r="J5" s="3682"/>
      <c r="K5" s="826"/>
      <c r="L5" s="1970"/>
      <c r="M5" s="1971"/>
      <c r="N5" s="1971"/>
      <c r="O5" s="1971"/>
      <c r="P5" s="3674"/>
      <c r="Q5" s="3675"/>
      <c r="R5" s="3658"/>
      <c r="S5" s="3659"/>
      <c r="T5" s="3658"/>
      <c r="U5" s="3659"/>
      <c r="V5" s="3678"/>
      <c r="W5" s="3678"/>
      <c r="X5" s="1458"/>
      <c r="Y5" s="3658"/>
      <c r="Z5" s="3659"/>
      <c r="AA5" s="3652"/>
      <c r="AB5" s="3652"/>
      <c r="AC5" s="3652"/>
    </row>
    <row r="6" spans="1:29" ht="15.75" thickBot="1">
      <c r="A6" s="494"/>
      <c r="B6" s="495"/>
      <c r="C6" s="3679" t="s">
        <v>2635</v>
      </c>
      <c r="D6" s="3680"/>
      <c r="E6" s="3696" t="s">
        <v>2635</v>
      </c>
      <c r="F6" s="3697"/>
      <c r="G6" s="3679" t="s">
        <v>2635</v>
      </c>
      <c r="H6" s="3680"/>
      <c r="I6" s="3679" t="s">
        <v>2635</v>
      </c>
      <c r="J6" s="3680"/>
      <c r="K6" s="826" t="s">
        <v>511</v>
      </c>
      <c r="L6" s="1970"/>
      <c r="M6" s="1971"/>
      <c r="N6" s="1971"/>
      <c r="O6" s="1971"/>
      <c r="P6" s="3676"/>
      <c r="Q6" s="3677"/>
      <c r="R6" s="3658"/>
      <c r="S6" s="3659"/>
      <c r="T6" s="3660"/>
      <c r="U6" s="3661"/>
      <c r="V6" s="3678"/>
      <c r="W6" s="3678"/>
      <c r="X6" s="1458"/>
      <c r="Y6" s="3660"/>
      <c r="Z6" s="3661"/>
      <c r="AA6" s="3653"/>
      <c r="AB6" s="3653"/>
      <c r="AC6" s="3653"/>
    </row>
    <row r="7" spans="1:29" s="1167" customFormat="1" ht="15.75" thickBot="1">
      <c r="A7" s="2552"/>
      <c r="B7" s="2559" t="s">
        <v>512</v>
      </c>
      <c r="C7" s="496">
        <f>'数据-取费表'!B2</f>
        <v>44819</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54" t="s">
        <v>513</v>
      </c>
      <c r="Q7" s="3663"/>
      <c r="R7" s="1459" t="s">
        <v>13</v>
      </c>
      <c r="S7" s="1460">
        <f t="shared" ref="S7:S15" si="0">F7</f>
        <v>0</v>
      </c>
      <c r="T7" s="1459" t="s">
        <v>13</v>
      </c>
      <c r="U7" s="1460">
        <f t="shared" ref="U7:U15" si="1">H7</f>
        <v>0</v>
      </c>
      <c r="V7" s="1459" t="s">
        <v>13</v>
      </c>
      <c r="W7" s="1460">
        <f t="shared" ref="W7:W15" si="2">J7</f>
        <v>0</v>
      </c>
      <c r="X7" s="1461"/>
      <c r="Y7" s="3654" t="s">
        <v>513</v>
      </c>
      <c r="Z7" s="3655"/>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54" t="s">
        <v>516</v>
      </c>
      <c r="Q8" s="3655"/>
      <c r="R8" s="1459" t="s">
        <v>13</v>
      </c>
      <c r="S8" s="1460">
        <f t="shared" si="0"/>
        <v>0</v>
      </c>
      <c r="T8" s="1459" t="s">
        <v>13</v>
      </c>
      <c r="U8" s="1460">
        <f t="shared" si="1"/>
        <v>0</v>
      </c>
      <c r="V8" s="1459" t="s">
        <v>13</v>
      </c>
      <c r="W8" s="1460">
        <f t="shared" si="2"/>
        <v>0</v>
      </c>
      <c r="X8" s="1461"/>
      <c r="Y8" s="3654" t="s">
        <v>516</v>
      </c>
      <c r="Z8" s="3655"/>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62" t="s">
        <v>518</v>
      </c>
      <c r="Q9" s="1098" t="str">
        <f t="shared" ref="Q9:Q15" si="6">B9</f>
        <v>用途</v>
      </c>
      <c r="R9" s="1459" t="s">
        <v>8</v>
      </c>
      <c r="S9" s="1460">
        <f t="shared" si="0"/>
        <v>100</v>
      </c>
      <c r="T9" s="1459" t="s">
        <v>8</v>
      </c>
      <c r="U9" s="1460">
        <f t="shared" si="1"/>
        <v>100</v>
      </c>
      <c r="V9" s="1459" t="s">
        <v>8</v>
      </c>
      <c r="W9" s="1460">
        <f t="shared" si="2"/>
        <v>100</v>
      </c>
      <c r="X9" s="1461"/>
      <c r="Y9" s="361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62"/>
      <c r="Q10" s="1098" t="str">
        <f t="shared" si="6"/>
        <v>土地使用年限（年）</v>
      </c>
      <c r="R10" s="1459" t="s">
        <v>8</v>
      </c>
      <c r="S10" s="1460">
        <f t="shared" si="0"/>
        <v>100</v>
      </c>
      <c r="T10" s="1459" t="s">
        <v>8</v>
      </c>
      <c r="U10" s="1460">
        <f t="shared" si="1"/>
        <v>100</v>
      </c>
      <c r="V10" s="1459" t="s">
        <v>8</v>
      </c>
      <c r="W10" s="1460">
        <f t="shared" si="2"/>
        <v>100</v>
      </c>
      <c r="X10" s="1461"/>
      <c r="Y10" s="3610"/>
      <c r="Z10" s="1097" t="str">
        <f t="shared" si="7"/>
        <v>土地使用年限（年）</v>
      </c>
      <c r="AA10" s="1462">
        <f t="shared" si="3"/>
        <v>1</v>
      </c>
      <c r="AB10" s="1462">
        <f t="shared" si="4"/>
        <v>1</v>
      </c>
      <c r="AC10" s="1462">
        <f t="shared" si="5"/>
        <v>1</v>
      </c>
    </row>
    <row r="11" spans="1:29" ht="15">
      <c r="A11" s="2556"/>
      <c r="B11" s="2560"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62"/>
      <c r="Q11" s="1098" t="str">
        <f t="shared" si="6"/>
        <v>容积率</v>
      </c>
      <c r="R11" s="1459" t="s">
        <v>11</v>
      </c>
      <c r="S11" s="1460" t="e">
        <f t="shared" si="0"/>
        <v>#N/A</v>
      </c>
      <c r="T11" s="1459" t="s">
        <v>11</v>
      </c>
      <c r="U11" s="1460" t="e">
        <f t="shared" si="1"/>
        <v>#N/A</v>
      </c>
      <c r="V11" s="1459" t="s">
        <v>11</v>
      </c>
      <c r="W11" s="1460" t="e">
        <f t="shared" si="2"/>
        <v>#N/A</v>
      </c>
      <c r="X11" s="1461"/>
      <c r="Y11" s="361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62"/>
      <c r="Q12" s="1098">
        <f t="shared" si="6"/>
        <v>111</v>
      </c>
      <c r="R12" s="1459" t="s">
        <v>11</v>
      </c>
      <c r="S12" s="1460">
        <f t="shared" si="0"/>
        <v>100</v>
      </c>
      <c r="T12" s="1459" t="s">
        <v>11</v>
      </c>
      <c r="U12" s="1460">
        <f t="shared" si="1"/>
        <v>100</v>
      </c>
      <c r="V12" s="1459" t="s">
        <v>11</v>
      </c>
      <c r="W12" s="1460">
        <f t="shared" si="2"/>
        <v>100</v>
      </c>
      <c r="X12" s="1461"/>
      <c r="Y12" s="3610"/>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62"/>
      <c r="Q13" s="1098">
        <f t="shared" si="6"/>
        <v>111</v>
      </c>
      <c r="R13" s="1459" t="s">
        <v>11</v>
      </c>
      <c r="S13" s="1460">
        <f t="shared" si="0"/>
        <v>100</v>
      </c>
      <c r="T13" s="1459" t="s">
        <v>11</v>
      </c>
      <c r="U13" s="1460">
        <f t="shared" si="1"/>
        <v>100</v>
      </c>
      <c r="V13" s="1459" t="s">
        <v>11</v>
      </c>
      <c r="W13" s="1460">
        <f t="shared" si="2"/>
        <v>100</v>
      </c>
      <c r="X13" s="1461"/>
      <c r="Y13" s="3610"/>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62"/>
      <c r="Q14" s="1098">
        <f t="shared" si="6"/>
        <v>111</v>
      </c>
      <c r="R14" s="1459" t="s">
        <v>11</v>
      </c>
      <c r="S14" s="1460">
        <f t="shared" si="0"/>
        <v>100</v>
      </c>
      <c r="T14" s="1459" t="s">
        <v>11</v>
      </c>
      <c r="U14" s="1460">
        <f t="shared" si="1"/>
        <v>100</v>
      </c>
      <c r="V14" s="1459" t="s">
        <v>11</v>
      </c>
      <c r="W14" s="1460">
        <f t="shared" si="2"/>
        <v>100</v>
      </c>
      <c r="X14" s="1461"/>
      <c r="Y14" s="3610"/>
      <c r="Z14" s="1097">
        <f t="shared" si="7"/>
        <v>111</v>
      </c>
      <c r="AA14" s="1462">
        <f t="shared" si="3"/>
        <v>1</v>
      </c>
      <c r="AB14" s="1462">
        <f t="shared" si="4"/>
        <v>1</v>
      </c>
      <c r="AC14" s="1462">
        <f t="shared" si="5"/>
        <v>1</v>
      </c>
    </row>
    <row r="15" spans="1:29" ht="99.75">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64" t="s">
        <v>523</v>
      </c>
      <c r="Q15" s="1463" t="str">
        <f t="shared" si="6"/>
        <v>居住社区成熟度</v>
      </c>
      <c r="R15" s="1464" t="s">
        <v>11</v>
      </c>
      <c r="S15" s="1465">
        <f t="shared" si="0"/>
        <v>100</v>
      </c>
      <c r="T15" s="1464" t="s">
        <v>11</v>
      </c>
      <c r="U15" s="1465">
        <f t="shared" si="1"/>
        <v>100</v>
      </c>
      <c r="V15" s="1464" t="s">
        <v>11</v>
      </c>
      <c r="W15" s="1465">
        <f t="shared" si="2"/>
        <v>100</v>
      </c>
      <c r="X15" s="1458"/>
      <c r="Y15" s="3664"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65"/>
      <c r="Q16" s="1463"/>
      <c r="R16" s="1464"/>
      <c r="S16" s="1465"/>
      <c r="T16" s="1464"/>
      <c r="U16" s="1465"/>
      <c r="V16" s="1464"/>
      <c r="W16" s="1465"/>
      <c r="X16" s="1458"/>
      <c r="Y16" s="3665"/>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65"/>
      <c r="Q17" s="1463" t="str">
        <f>B17</f>
        <v>交通便捷度</v>
      </c>
      <c r="R17" s="1464" t="s">
        <v>11</v>
      </c>
      <c r="S17" s="1465">
        <f>F17</f>
        <v>100</v>
      </c>
      <c r="T17" s="1464" t="s">
        <v>11</v>
      </c>
      <c r="U17" s="1465">
        <f>H17</f>
        <v>100</v>
      </c>
      <c r="V17" s="1464" t="s">
        <v>11</v>
      </c>
      <c r="W17" s="1465">
        <f>J17</f>
        <v>100</v>
      </c>
      <c r="X17" s="1458"/>
      <c r="Y17" s="366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65"/>
      <c r="Q18" s="1463"/>
      <c r="R18" s="1464"/>
      <c r="S18" s="1465"/>
      <c r="T18" s="1464"/>
      <c r="U18" s="1465"/>
      <c r="V18" s="1464"/>
      <c r="W18" s="1465"/>
      <c r="X18" s="1458"/>
      <c r="Y18" s="3665"/>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65"/>
      <c r="Q19" s="1463" t="str">
        <f>B19</f>
        <v>公共配套设施</v>
      </c>
      <c r="R19" s="1464" t="s">
        <v>11</v>
      </c>
      <c r="S19" s="1465">
        <f>F19</f>
        <v>100</v>
      </c>
      <c r="T19" s="1464" t="s">
        <v>11</v>
      </c>
      <c r="U19" s="1465">
        <f>H19</f>
        <v>100</v>
      </c>
      <c r="V19" s="1464" t="s">
        <v>11</v>
      </c>
      <c r="W19" s="1465">
        <f>J19</f>
        <v>100</v>
      </c>
      <c r="X19" s="1458"/>
      <c r="Y19" s="3665"/>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65"/>
      <c r="Q20" s="1463"/>
      <c r="R20" s="1464"/>
      <c r="S20" s="1465"/>
      <c r="T20" s="1464"/>
      <c r="U20" s="1465"/>
      <c r="V20" s="1464"/>
      <c r="W20" s="1465"/>
      <c r="X20" s="1458"/>
      <c r="Y20" s="3665"/>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65"/>
      <c r="Q21" s="2352" t="str">
        <f>B21</f>
        <v>基础设施水平</v>
      </c>
      <c r="R21" s="1464" t="s">
        <v>11</v>
      </c>
      <c r="S21" s="1465">
        <f>F21</f>
        <v>100</v>
      </c>
      <c r="T21" s="1464" t="s">
        <v>11</v>
      </c>
      <c r="U21" s="1465">
        <f>H21</f>
        <v>100</v>
      </c>
      <c r="V21" s="1464" t="s">
        <v>11</v>
      </c>
      <c r="W21" s="1465">
        <f>J21</f>
        <v>100</v>
      </c>
      <c r="X21" s="2354"/>
      <c r="Y21" s="3665"/>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65"/>
      <c r="Q22" s="2352"/>
      <c r="R22" s="1464"/>
      <c r="S22" s="1465"/>
      <c r="T22" s="1464"/>
      <c r="U22" s="1465"/>
      <c r="V22" s="1464"/>
      <c r="W22" s="1465"/>
      <c r="X22" s="2354"/>
      <c r="Y22" s="3665"/>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65"/>
      <c r="Q23" s="1463" t="str">
        <f>B23</f>
        <v>自然及人文环境</v>
      </c>
      <c r="R23" s="1464" t="s">
        <v>11</v>
      </c>
      <c r="S23" s="1465">
        <f>F23</f>
        <v>100</v>
      </c>
      <c r="T23" s="1464" t="s">
        <v>11</v>
      </c>
      <c r="U23" s="1465">
        <f>H23</f>
        <v>100</v>
      </c>
      <c r="V23" s="1464" t="s">
        <v>11</v>
      </c>
      <c r="W23" s="1465">
        <f>J23</f>
        <v>100</v>
      </c>
      <c r="X23" s="1458"/>
      <c r="Y23" s="3665"/>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65"/>
      <c r="Q24" s="1463"/>
      <c r="R24" s="1464"/>
      <c r="S24" s="1465"/>
      <c r="T24" s="1464"/>
      <c r="U24" s="1465"/>
      <c r="V24" s="1464"/>
      <c r="W24" s="1465"/>
      <c r="X24" s="1458"/>
      <c r="Y24" s="3665"/>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65"/>
      <c r="Q25" s="1463" t="str">
        <f t="shared" ref="Q25:Q46" si="11">B25</f>
        <v>楼层-1</v>
      </c>
      <c r="R25" s="1464" t="s">
        <v>11</v>
      </c>
      <c r="S25" s="1465">
        <f>F25</f>
        <v>100</v>
      </c>
      <c r="T25" s="1464" t="s">
        <v>11</v>
      </c>
      <c r="U25" s="1465">
        <f>H25</f>
        <v>100</v>
      </c>
      <c r="V25" s="1464" t="s">
        <v>11</v>
      </c>
      <c r="W25" s="1465">
        <f>J25</f>
        <v>100</v>
      </c>
      <c r="X25" s="1458"/>
      <c r="Y25" s="3665"/>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65"/>
      <c r="Q26" s="1463" t="str">
        <f t="shared" si="11"/>
        <v>朝向</v>
      </c>
      <c r="R26" s="1464" t="s">
        <v>11</v>
      </c>
      <c r="S26" s="1465">
        <f>F26</f>
        <v>100</v>
      </c>
      <c r="T26" s="1464" t="s">
        <v>11</v>
      </c>
      <c r="U26" s="1465">
        <f>H26</f>
        <v>100</v>
      </c>
      <c r="V26" s="1464" t="s">
        <v>11</v>
      </c>
      <c r="W26" s="1465">
        <f>J26</f>
        <v>100</v>
      </c>
      <c r="X26" s="1458"/>
      <c r="Y26" s="3665"/>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65"/>
      <c r="Q27" s="1098" t="str">
        <f t="shared" si="11"/>
        <v>道路级别</v>
      </c>
      <c r="R27" s="1459" t="s">
        <v>11</v>
      </c>
      <c r="S27" s="1460">
        <f>F27</f>
        <v>100</v>
      </c>
      <c r="T27" s="1459" t="s">
        <v>11</v>
      </c>
      <c r="U27" s="1460">
        <f>H27</f>
        <v>100</v>
      </c>
      <c r="V27" s="1459" t="s">
        <v>11</v>
      </c>
      <c r="W27" s="1460">
        <f>J27</f>
        <v>100</v>
      </c>
      <c r="X27" s="1461"/>
      <c r="Y27" s="3665"/>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65"/>
      <c r="Q28" s="1463">
        <f t="shared" si="11"/>
        <v>111</v>
      </c>
      <c r="R28" s="1464" t="s">
        <v>11</v>
      </c>
      <c r="S28" s="1465">
        <f t="shared" ref="S28:S46" si="12">F28</f>
        <v>100</v>
      </c>
      <c r="T28" s="1464" t="s">
        <v>11</v>
      </c>
      <c r="U28" s="1465">
        <f t="shared" ref="U28:U46" si="13">H28</f>
        <v>100</v>
      </c>
      <c r="V28" s="1464" t="s">
        <v>11</v>
      </c>
      <c r="W28" s="1465">
        <f t="shared" ref="W28:W46" si="14">J28</f>
        <v>100</v>
      </c>
      <c r="X28" s="1458"/>
      <c r="Y28" s="3665"/>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65"/>
      <c r="Q29" s="1463">
        <f t="shared" si="11"/>
        <v>111</v>
      </c>
      <c r="R29" s="1464" t="s">
        <v>11</v>
      </c>
      <c r="S29" s="1465">
        <f t="shared" si="12"/>
        <v>100</v>
      </c>
      <c r="T29" s="1464" t="s">
        <v>11</v>
      </c>
      <c r="U29" s="1465">
        <f t="shared" si="13"/>
        <v>100</v>
      </c>
      <c r="V29" s="1464" t="s">
        <v>11</v>
      </c>
      <c r="W29" s="1465">
        <f t="shared" si="14"/>
        <v>100</v>
      </c>
      <c r="X29" s="1458"/>
      <c r="Y29" s="3665"/>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65"/>
      <c r="Q30" s="1463">
        <f t="shared" si="11"/>
        <v>111</v>
      </c>
      <c r="R30" s="1464" t="s">
        <v>11</v>
      </c>
      <c r="S30" s="1465">
        <f t="shared" si="12"/>
        <v>100</v>
      </c>
      <c r="T30" s="1464" t="s">
        <v>11</v>
      </c>
      <c r="U30" s="1465">
        <f t="shared" si="13"/>
        <v>100</v>
      </c>
      <c r="V30" s="1464" t="s">
        <v>11</v>
      </c>
      <c r="W30" s="1465">
        <f t="shared" si="14"/>
        <v>100</v>
      </c>
      <c r="X30" s="1458"/>
      <c r="Y30" s="3665"/>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65"/>
      <c r="Q31" s="1463">
        <f t="shared" si="11"/>
        <v>111</v>
      </c>
      <c r="R31" s="1464" t="s">
        <v>11</v>
      </c>
      <c r="S31" s="1465">
        <f t="shared" si="12"/>
        <v>100</v>
      </c>
      <c r="T31" s="1464" t="s">
        <v>11</v>
      </c>
      <c r="U31" s="1465">
        <f t="shared" si="13"/>
        <v>100</v>
      </c>
      <c r="V31" s="1464" t="s">
        <v>11</v>
      </c>
      <c r="W31" s="1465">
        <f t="shared" si="14"/>
        <v>100</v>
      </c>
      <c r="X31" s="1458"/>
      <c r="Y31" s="3665"/>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66" t="s">
        <v>533</v>
      </c>
      <c r="Q32" s="1463" t="str">
        <f t="shared" si="11"/>
        <v>建筑类型</v>
      </c>
      <c r="R32" s="1464" t="s">
        <v>11</v>
      </c>
      <c r="S32" s="1465">
        <f t="shared" si="12"/>
        <v>100</v>
      </c>
      <c r="T32" s="1464" t="s">
        <v>11</v>
      </c>
      <c r="U32" s="1465">
        <f t="shared" si="13"/>
        <v>100</v>
      </c>
      <c r="V32" s="1464" t="s">
        <v>11</v>
      </c>
      <c r="W32" s="1465">
        <f t="shared" si="14"/>
        <v>100</v>
      </c>
      <c r="X32" s="1458"/>
      <c r="Y32" s="3667"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67"/>
      <c r="Q33" s="1492" t="str">
        <f t="shared" si="11"/>
        <v>项目建筑规模</v>
      </c>
      <c r="R33" s="1468" t="s">
        <v>11</v>
      </c>
      <c r="S33" s="1469" t="e">
        <f t="shared" si="12"/>
        <v>#N/A</v>
      </c>
      <c r="T33" s="1468" t="s">
        <v>11</v>
      </c>
      <c r="U33" s="1469" t="e">
        <f t="shared" si="13"/>
        <v>#N/A</v>
      </c>
      <c r="V33" s="1468" t="s">
        <v>11</v>
      </c>
      <c r="W33" s="1469" t="e">
        <f t="shared" si="14"/>
        <v>#N/A</v>
      </c>
      <c r="X33" s="1470"/>
      <c r="Y33" s="3667"/>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67"/>
      <c r="Q34" s="1463" t="str">
        <f t="shared" si="11"/>
        <v>建筑结构</v>
      </c>
      <c r="R34" s="1464" t="s">
        <v>11</v>
      </c>
      <c r="S34" s="1465">
        <f t="shared" si="12"/>
        <v>100</v>
      </c>
      <c r="T34" s="1464" t="s">
        <v>11</v>
      </c>
      <c r="U34" s="1465">
        <f t="shared" si="13"/>
        <v>100</v>
      </c>
      <c r="V34" s="1464" t="s">
        <v>11</v>
      </c>
      <c r="W34" s="1465">
        <f t="shared" si="14"/>
        <v>100</v>
      </c>
      <c r="X34" s="1458"/>
      <c r="Y34" s="3667"/>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67"/>
      <c r="Q35" s="1463" t="str">
        <f t="shared" si="11"/>
        <v>建筑品质</v>
      </c>
      <c r="R35" s="1464" t="s">
        <v>11</v>
      </c>
      <c r="S35" s="1465">
        <f t="shared" si="12"/>
        <v>100</v>
      </c>
      <c r="T35" s="1464" t="s">
        <v>11</v>
      </c>
      <c r="U35" s="1465">
        <f t="shared" si="13"/>
        <v>100</v>
      </c>
      <c r="V35" s="1464" t="s">
        <v>11</v>
      </c>
      <c r="W35" s="1465">
        <f t="shared" si="14"/>
        <v>100</v>
      </c>
      <c r="X35" s="1458"/>
      <c r="Y35" s="3667"/>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67"/>
      <c r="Q36" s="1463" t="str">
        <f t="shared" si="11"/>
        <v>公共部分装修</v>
      </c>
      <c r="R36" s="1464" t="s">
        <v>11</v>
      </c>
      <c r="S36" s="1465">
        <f t="shared" si="12"/>
        <v>100</v>
      </c>
      <c r="T36" s="1464" t="s">
        <v>11</v>
      </c>
      <c r="U36" s="1465">
        <f t="shared" si="13"/>
        <v>100</v>
      </c>
      <c r="V36" s="1464" t="s">
        <v>11</v>
      </c>
      <c r="W36" s="1465">
        <f t="shared" si="14"/>
        <v>100</v>
      </c>
      <c r="X36" s="1458"/>
      <c r="Y36" s="3667"/>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67"/>
      <c r="Q37" s="1098" t="str">
        <f t="shared" si="11"/>
        <v>成新度</v>
      </c>
      <c r="R37" s="1459" t="s">
        <v>11</v>
      </c>
      <c r="S37" s="1460" t="e">
        <f t="shared" si="12"/>
        <v>#N/A</v>
      </c>
      <c r="T37" s="1459" t="s">
        <v>11</v>
      </c>
      <c r="U37" s="1460" t="e">
        <f t="shared" si="13"/>
        <v>#N/A</v>
      </c>
      <c r="V37" s="1459" t="s">
        <v>11</v>
      </c>
      <c r="W37" s="1460" t="e">
        <f t="shared" si="14"/>
        <v>#N/A</v>
      </c>
      <c r="X37" s="1461"/>
      <c r="Y37" s="3667"/>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67" t="s">
        <v>533</v>
      </c>
      <c r="Q38" s="1463" t="str">
        <f t="shared" si="11"/>
        <v>物业管理</v>
      </c>
      <c r="R38" s="1464" t="s">
        <v>11</v>
      </c>
      <c r="S38" s="1465">
        <f t="shared" si="12"/>
        <v>100</v>
      </c>
      <c r="T38" s="1464" t="s">
        <v>11</v>
      </c>
      <c r="U38" s="1465">
        <f t="shared" si="13"/>
        <v>100</v>
      </c>
      <c r="V38" s="1464" t="s">
        <v>11</v>
      </c>
      <c r="W38" s="1465">
        <f t="shared" si="14"/>
        <v>100</v>
      </c>
      <c r="X38" s="1458"/>
      <c r="Y38" s="3667"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67"/>
      <c r="Q39" s="1463" t="str">
        <f t="shared" si="11"/>
        <v>市政基础设施</v>
      </c>
      <c r="R39" s="1464" t="s">
        <v>11</v>
      </c>
      <c r="S39" s="1465">
        <f t="shared" si="12"/>
        <v>100</v>
      </c>
      <c r="T39" s="1464" t="s">
        <v>11</v>
      </c>
      <c r="U39" s="1465">
        <f t="shared" si="13"/>
        <v>100</v>
      </c>
      <c r="V39" s="1464" t="s">
        <v>11</v>
      </c>
      <c r="W39" s="1465">
        <f t="shared" si="14"/>
        <v>100</v>
      </c>
      <c r="X39" s="1458"/>
      <c r="Y39" s="3667"/>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67"/>
      <c r="Q40" s="1463" t="str">
        <f t="shared" si="11"/>
        <v>房型</v>
      </c>
      <c r="R40" s="1464" t="s">
        <v>11</v>
      </c>
      <c r="S40" s="1465">
        <f t="shared" si="12"/>
        <v>100</v>
      </c>
      <c r="T40" s="1464" t="s">
        <v>11</v>
      </c>
      <c r="U40" s="1465">
        <f t="shared" si="13"/>
        <v>100</v>
      </c>
      <c r="V40" s="1464" t="s">
        <v>11</v>
      </c>
      <c r="W40" s="1465">
        <f t="shared" si="14"/>
        <v>100</v>
      </c>
      <c r="X40" s="1458"/>
      <c r="Y40" s="3667"/>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67"/>
      <c r="Q41" s="1492" t="str">
        <f t="shared" si="11"/>
        <v>单套/主力户型建筑面积</v>
      </c>
      <c r="R41" s="1468" t="s">
        <v>11</v>
      </c>
      <c r="S41" s="1469">
        <f t="shared" si="12"/>
        <v>100</v>
      </c>
      <c r="T41" s="1468" t="s">
        <v>11</v>
      </c>
      <c r="U41" s="1469">
        <f t="shared" si="13"/>
        <v>100</v>
      </c>
      <c r="V41" s="1468" t="s">
        <v>11</v>
      </c>
      <c r="W41" s="1469">
        <f t="shared" si="14"/>
        <v>100</v>
      </c>
      <c r="X41" s="1470"/>
      <c r="Y41" s="3667"/>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67"/>
      <c r="Q42" s="1463" t="str">
        <f t="shared" si="11"/>
        <v>内部装修</v>
      </c>
      <c r="R42" s="1464" t="s">
        <v>11</v>
      </c>
      <c r="S42" s="1465">
        <f t="shared" si="12"/>
        <v>100</v>
      </c>
      <c r="T42" s="1464" t="s">
        <v>11</v>
      </c>
      <c r="U42" s="1465">
        <f t="shared" si="13"/>
        <v>100</v>
      </c>
      <c r="V42" s="1464" t="s">
        <v>11</v>
      </c>
      <c r="W42" s="1465">
        <f t="shared" si="14"/>
        <v>100</v>
      </c>
      <c r="X42" s="1458"/>
      <c r="Y42" s="3667"/>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67"/>
      <c r="Q43" s="1463" t="str">
        <f t="shared" si="11"/>
        <v>内部装修维护情况</v>
      </c>
      <c r="R43" s="1464" t="s">
        <v>11</v>
      </c>
      <c r="S43" s="1465">
        <f t="shared" si="12"/>
        <v>100</v>
      </c>
      <c r="T43" s="1464" t="s">
        <v>11</v>
      </c>
      <c r="U43" s="1465">
        <f t="shared" si="13"/>
        <v>100</v>
      </c>
      <c r="V43" s="1464" t="s">
        <v>11</v>
      </c>
      <c r="W43" s="1465">
        <f t="shared" si="14"/>
        <v>100</v>
      </c>
      <c r="X43" s="1458"/>
      <c r="Y43" s="3667"/>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67"/>
      <c r="Q44" s="1098">
        <f t="shared" si="11"/>
        <v>111</v>
      </c>
      <c r="R44" s="1459" t="s">
        <v>11</v>
      </c>
      <c r="S44" s="1460">
        <f t="shared" si="12"/>
        <v>100</v>
      </c>
      <c r="T44" s="1459" t="s">
        <v>11</v>
      </c>
      <c r="U44" s="1460">
        <f t="shared" si="13"/>
        <v>100</v>
      </c>
      <c r="V44" s="1459" t="s">
        <v>11</v>
      </c>
      <c r="W44" s="1460">
        <f t="shared" si="14"/>
        <v>100</v>
      </c>
      <c r="X44" s="1461"/>
      <c r="Y44" s="3667"/>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67"/>
      <c r="Q45" s="1463">
        <f t="shared" si="11"/>
        <v>111</v>
      </c>
      <c r="R45" s="1464" t="s">
        <v>11</v>
      </c>
      <c r="S45" s="1465">
        <f t="shared" si="12"/>
        <v>100</v>
      </c>
      <c r="T45" s="1464" t="s">
        <v>11</v>
      </c>
      <c r="U45" s="1465">
        <f t="shared" si="13"/>
        <v>100</v>
      </c>
      <c r="V45" s="1464" t="s">
        <v>11</v>
      </c>
      <c r="W45" s="1465">
        <f t="shared" si="14"/>
        <v>100</v>
      </c>
      <c r="X45" s="1458"/>
      <c r="Y45" s="3667"/>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77"/>
      <c r="Q46" s="1463">
        <f t="shared" si="11"/>
        <v>111</v>
      </c>
      <c r="R46" s="1464" t="s">
        <v>10</v>
      </c>
      <c r="S46" s="1465">
        <f t="shared" si="12"/>
        <v>100</v>
      </c>
      <c r="T46" s="1464" t="s">
        <v>10</v>
      </c>
      <c r="U46" s="1465">
        <f t="shared" si="13"/>
        <v>100</v>
      </c>
      <c r="V46" s="1464" t="s">
        <v>10</v>
      </c>
      <c r="W46" s="1465">
        <f t="shared" si="14"/>
        <v>100</v>
      </c>
      <c r="X46" s="1458"/>
      <c r="Y46" s="3777"/>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62" t="str">
        <f>A47</f>
        <v>成交单价（元/平方米）</v>
      </c>
      <c r="Q47" s="3662"/>
      <c r="R47" s="3776">
        <f>E47</f>
        <v>0</v>
      </c>
      <c r="S47" s="3776"/>
      <c r="T47" s="3776">
        <f>G47</f>
        <v>0</v>
      </c>
      <c r="U47" s="3776"/>
      <c r="V47" s="3776">
        <f>I47</f>
        <v>0</v>
      </c>
      <c r="W47" s="3776"/>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82"/>
      <c r="O48" s="1982"/>
      <c r="P48" s="3662" t="str">
        <f>A48</f>
        <v>比较价格（元/平方米）</v>
      </c>
      <c r="Q48" s="3662"/>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4"/>
      <c r="L49" s="1981"/>
      <c r="M49" s="1982"/>
      <c r="N49" s="1982"/>
      <c r="O49" s="1982"/>
      <c r="P49" s="3668" t="str">
        <f>A49</f>
        <v>估价对象XX用房的比较价格（楼面单价，元/平方米）</v>
      </c>
      <c r="Q49" s="3669"/>
      <c r="R49" s="3775" t="e">
        <f>IF(F1="售价",ROUND(IF(D48="简单平均",AVERAGE(R48:V48),R48*F48+T48*H48+V48*J48),0),ROUND(IF(D48="简单平均",AVERAGE(R48:V48),R48*F48+T48*H48+V48*J48),1))</f>
        <v>#DIV/0!</v>
      </c>
      <c r="S49" s="3775"/>
      <c r="T49" s="3775"/>
      <c r="U49" s="3775"/>
      <c r="V49" s="3775"/>
      <c r="W49" s="3775"/>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2022-9</v>
      </c>
      <c r="D58" s="2444">
        <f>EDATE(C58,-1)</f>
        <v>44774</v>
      </c>
      <c r="E58" s="2444">
        <f t="shared" ref="E58:O58" si="16">EDATE(D58,-1)</f>
        <v>44743</v>
      </c>
      <c r="F58" s="2444">
        <f t="shared" si="16"/>
        <v>44713</v>
      </c>
      <c r="G58" s="2444">
        <f t="shared" si="16"/>
        <v>44682</v>
      </c>
      <c r="H58" s="2444">
        <f t="shared" si="16"/>
        <v>44652</v>
      </c>
      <c r="I58" s="2444">
        <f t="shared" si="16"/>
        <v>44621</v>
      </c>
      <c r="J58" s="2444">
        <f t="shared" si="16"/>
        <v>44593</v>
      </c>
      <c r="K58" s="2444">
        <f t="shared" si="16"/>
        <v>44562</v>
      </c>
      <c r="L58" s="2444">
        <f t="shared" si="16"/>
        <v>44531</v>
      </c>
      <c r="M58" s="2444">
        <f t="shared" si="16"/>
        <v>44501</v>
      </c>
      <c r="N58" s="2444">
        <f t="shared" si="16"/>
        <v>44470</v>
      </c>
      <c r="O58" s="2444">
        <f t="shared" si="16"/>
        <v>44440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70" t="s">
        <v>505</v>
      </c>
      <c r="D4" s="3671"/>
      <c r="E4" s="3692" t="s">
        <v>506</v>
      </c>
      <c r="F4" s="3693"/>
      <c r="G4" s="3670" t="s">
        <v>507</v>
      </c>
      <c r="H4" s="3671"/>
      <c r="I4" s="3670" t="s">
        <v>508</v>
      </c>
      <c r="J4" s="3671"/>
      <c r="K4" s="491" t="s">
        <v>509</v>
      </c>
      <c r="L4" s="1970"/>
      <c r="M4" s="1971"/>
      <c r="N4" s="1971"/>
      <c r="O4" s="1971"/>
      <c r="P4" s="3672" t="s">
        <v>510</v>
      </c>
      <c r="Q4" s="3673"/>
      <c r="R4" s="3656" t="s">
        <v>506</v>
      </c>
      <c r="S4" s="3657"/>
      <c r="T4" s="3656" t="s">
        <v>507</v>
      </c>
      <c r="U4" s="3657"/>
      <c r="V4" s="3678" t="s">
        <v>508</v>
      </c>
      <c r="W4" s="3678"/>
      <c r="X4" s="1458"/>
      <c r="Y4" s="3656" t="s">
        <v>510</v>
      </c>
      <c r="Z4" s="3657"/>
      <c r="AA4" s="3651" t="s">
        <v>506</v>
      </c>
      <c r="AB4" s="3678" t="s">
        <v>507</v>
      </c>
      <c r="AC4" s="3651" t="s">
        <v>508</v>
      </c>
    </row>
    <row r="5" spans="1:29" ht="15">
      <c r="A5" s="492"/>
      <c r="B5" s="493"/>
      <c r="C5" s="3681" t="s">
        <v>2631</v>
      </c>
      <c r="D5" s="3682"/>
      <c r="E5" s="3694" t="s">
        <v>2632</v>
      </c>
      <c r="F5" s="3695"/>
      <c r="G5" s="3681" t="s">
        <v>2633</v>
      </c>
      <c r="H5" s="3682"/>
      <c r="I5" s="3681" t="s">
        <v>2634</v>
      </c>
      <c r="J5" s="3682"/>
      <c r="K5" s="491"/>
      <c r="L5" s="1970"/>
      <c r="M5" s="1971"/>
      <c r="N5" s="1971"/>
      <c r="O5" s="1971"/>
      <c r="P5" s="3674"/>
      <c r="Q5" s="3675"/>
      <c r="R5" s="3658"/>
      <c r="S5" s="3659"/>
      <c r="T5" s="3658"/>
      <c r="U5" s="3659"/>
      <c r="V5" s="3678"/>
      <c r="W5" s="3678"/>
      <c r="X5" s="1458"/>
      <c r="Y5" s="3658"/>
      <c r="Z5" s="3659"/>
      <c r="AA5" s="3652"/>
      <c r="AB5" s="3678"/>
      <c r="AC5" s="3652"/>
    </row>
    <row r="6" spans="1:29" ht="15.75" thickBot="1">
      <c r="A6" s="494"/>
      <c r="B6" s="495"/>
      <c r="C6" s="3679" t="s">
        <v>2635</v>
      </c>
      <c r="D6" s="3680"/>
      <c r="E6" s="3696" t="s">
        <v>2635</v>
      </c>
      <c r="F6" s="3697"/>
      <c r="G6" s="3679" t="s">
        <v>2635</v>
      </c>
      <c r="H6" s="3680"/>
      <c r="I6" s="3679" t="s">
        <v>2635</v>
      </c>
      <c r="J6" s="3680"/>
      <c r="K6" s="491" t="s">
        <v>511</v>
      </c>
      <c r="L6" s="1970"/>
      <c r="M6" s="1971"/>
      <c r="N6" s="1971"/>
      <c r="O6" s="1971"/>
      <c r="P6" s="3676"/>
      <c r="Q6" s="3677"/>
      <c r="R6" s="3658"/>
      <c r="S6" s="3659"/>
      <c r="T6" s="3660"/>
      <c r="U6" s="3661"/>
      <c r="V6" s="3678"/>
      <c r="W6" s="3678"/>
      <c r="X6" s="1458"/>
      <c r="Y6" s="3660"/>
      <c r="Z6" s="3661"/>
      <c r="AA6" s="3653"/>
      <c r="AB6" s="3678"/>
      <c r="AC6" s="3653"/>
    </row>
    <row r="7" spans="1:29" s="1167" customFormat="1" ht="15.75" thickBot="1">
      <c r="A7" s="2552"/>
      <c r="B7" s="2559" t="s">
        <v>512</v>
      </c>
      <c r="C7" s="496">
        <f>'数据-取费表'!B2</f>
        <v>44819</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54" t="s">
        <v>513</v>
      </c>
      <c r="Q7" s="3663"/>
      <c r="R7" s="1459" t="s">
        <v>8</v>
      </c>
      <c r="S7" s="1460">
        <f t="shared" ref="S7:S15" si="0">F7</f>
        <v>0</v>
      </c>
      <c r="T7" s="1459" t="s">
        <v>8</v>
      </c>
      <c r="U7" s="1460">
        <f t="shared" ref="U7:U15" si="1">H7</f>
        <v>0</v>
      </c>
      <c r="V7" s="1459" t="s">
        <v>8</v>
      </c>
      <c r="W7" s="1460">
        <f t="shared" ref="W7:W15" si="2">J7</f>
        <v>0</v>
      </c>
      <c r="X7" s="1461"/>
      <c r="Y7" s="3654" t="s">
        <v>513</v>
      </c>
      <c r="Z7" s="3655"/>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54" t="s">
        <v>516</v>
      </c>
      <c r="Q8" s="3655"/>
      <c r="R8" s="1459" t="s">
        <v>8</v>
      </c>
      <c r="S8" s="1460">
        <f t="shared" si="0"/>
        <v>0</v>
      </c>
      <c r="T8" s="1459" t="s">
        <v>8</v>
      </c>
      <c r="U8" s="1460">
        <f t="shared" si="1"/>
        <v>0</v>
      </c>
      <c r="V8" s="1459" t="s">
        <v>8</v>
      </c>
      <c r="W8" s="1460">
        <f t="shared" si="2"/>
        <v>0</v>
      </c>
      <c r="X8" s="1461"/>
      <c r="Y8" s="3654" t="s">
        <v>516</v>
      </c>
      <c r="Z8" s="3655"/>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62" t="s">
        <v>518</v>
      </c>
      <c r="Q9" s="1098" t="str">
        <f t="shared" ref="Q9:Q15" si="6">B9</f>
        <v>用途</v>
      </c>
      <c r="R9" s="1459" t="s">
        <v>8</v>
      </c>
      <c r="S9" s="1460">
        <f t="shared" si="0"/>
        <v>100</v>
      </c>
      <c r="T9" s="1459" t="s">
        <v>8</v>
      </c>
      <c r="U9" s="1460">
        <f t="shared" si="1"/>
        <v>100</v>
      </c>
      <c r="V9" s="1459" t="s">
        <v>8</v>
      </c>
      <c r="W9" s="1460">
        <f t="shared" si="2"/>
        <v>100</v>
      </c>
      <c r="X9" s="1461"/>
      <c r="Y9" s="361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62"/>
      <c r="Q10" s="1098" t="str">
        <f t="shared" si="6"/>
        <v>土地使用年限（年）</v>
      </c>
      <c r="R10" s="1459" t="s">
        <v>8</v>
      </c>
      <c r="S10" s="1460">
        <f t="shared" si="0"/>
        <v>100</v>
      </c>
      <c r="T10" s="1459" t="s">
        <v>8</v>
      </c>
      <c r="U10" s="1460">
        <f t="shared" si="1"/>
        <v>100</v>
      </c>
      <c r="V10" s="1459" t="s">
        <v>8</v>
      </c>
      <c r="W10" s="1460">
        <f t="shared" si="2"/>
        <v>100</v>
      </c>
      <c r="X10" s="1461"/>
      <c r="Y10" s="361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62"/>
      <c r="Q11" s="1098" t="str">
        <f t="shared" si="6"/>
        <v>容积率</v>
      </c>
      <c r="R11" s="1459" t="s">
        <v>8</v>
      </c>
      <c r="S11" s="1460" t="e">
        <f t="shared" si="0"/>
        <v>#N/A</v>
      </c>
      <c r="T11" s="1459" t="s">
        <v>8</v>
      </c>
      <c r="U11" s="1460" t="e">
        <f t="shared" si="1"/>
        <v>#N/A</v>
      </c>
      <c r="V11" s="1459" t="s">
        <v>8</v>
      </c>
      <c r="W11" s="1460" t="e">
        <f t="shared" si="2"/>
        <v>#N/A</v>
      </c>
      <c r="X11" s="1461"/>
      <c r="Y11" s="361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62"/>
      <c r="Q12" s="1098">
        <f t="shared" si="6"/>
        <v>111</v>
      </c>
      <c r="R12" s="1459" t="s">
        <v>8</v>
      </c>
      <c r="S12" s="1460">
        <f t="shared" si="0"/>
        <v>100</v>
      </c>
      <c r="T12" s="1459" t="s">
        <v>8</v>
      </c>
      <c r="U12" s="1460">
        <f t="shared" si="1"/>
        <v>100</v>
      </c>
      <c r="V12" s="1459" t="s">
        <v>8</v>
      </c>
      <c r="W12" s="1460">
        <f t="shared" si="2"/>
        <v>100</v>
      </c>
      <c r="X12" s="1461"/>
      <c r="Y12" s="3610"/>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62"/>
      <c r="Q13" s="1098">
        <f t="shared" si="6"/>
        <v>111</v>
      </c>
      <c r="R13" s="1459" t="s">
        <v>8</v>
      </c>
      <c r="S13" s="1460">
        <f t="shared" si="0"/>
        <v>100</v>
      </c>
      <c r="T13" s="1459" t="s">
        <v>8</v>
      </c>
      <c r="U13" s="1460">
        <f t="shared" si="1"/>
        <v>100</v>
      </c>
      <c r="V13" s="1459" t="s">
        <v>8</v>
      </c>
      <c r="W13" s="1460">
        <f t="shared" si="2"/>
        <v>100</v>
      </c>
      <c r="X13" s="1461"/>
      <c r="Y13" s="3610"/>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62"/>
      <c r="Q14" s="1098">
        <f t="shared" si="6"/>
        <v>111</v>
      </c>
      <c r="R14" s="1459" t="s">
        <v>8</v>
      </c>
      <c r="S14" s="1460">
        <f t="shared" si="0"/>
        <v>100</v>
      </c>
      <c r="T14" s="1459" t="s">
        <v>8</v>
      </c>
      <c r="U14" s="1460">
        <f t="shared" si="1"/>
        <v>100</v>
      </c>
      <c r="V14" s="1459" t="s">
        <v>8</v>
      </c>
      <c r="W14" s="1460">
        <f t="shared" si="2"/>
        <v>100</v>
      </c>
      <c r="X14" s="1461"/>
      <c r="Y14" s="3610"/>
      <c r="Z14" s="1097">
        <f t="shared" si="7"/>
        <v>111</v>
      </c>
      <c r="AA14" s="1462">
        <f t="shared" si="3"/>
        <v>1</v>
      </c>
      <c r="AB14" s="1462">
        <f t="shared" si="4"/>
        <v>1</v>
      </c>
      <c r="AC14" s="1462">
        <f t="shared" si="5"/>
        <v>1</v>
      </c>
    </row>
    <row r="15" spans="1:29" ht="71.25">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64" t="s">
        <v>523</v>
      </c>
      <c r="Q15" s="1463" t="str">
        <f t="shared" si="6"/>
        <v>商业繁华度</v>
      </c>
      <c r="R15" s="1464" t="s">
        <v>8</v>
      </c>
      <c r="S15" s="1465">
        <f t="shared" si="0"/>
        <v>100</v>
      </c>
      <c r="T15" s="1464" t="s">
        <v>8</v>
      </c>
      <c r="U15" s="1465">
        <f t="shared" si="1"/>
        <v>100</v>
      </c>
      <c r="V15" s="1464" t="s">
        <v>8</v>
      </c>
      <c r="W15" s="1465">
        <f t="shared" si="2"/>
        <v>100</v>
      </c>
      <c r="X15" s="1458"/>
      <c r="Y15" s="3664"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5"/>
      <c r="Q16" s="1463"/>
      <c r="R16" s="1464"/>
      <c r="S16" s="1465"/>
      <c r="T16" s="1464"/>
      <c r="U16" s="1465"/>
      <c r="V16" s="1464"/>
      <c r="W16" s="1465"/>
      <c r="X16" s="1458"/>
      <c r="Y16" s="3665"/>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65"/>
      <c r="Q17" s="1463" t="str">
        <f>B17</f>
        <v>交通便捷度</v>
      </c>
      <c r="R17" s="1464" t="s">
        <v>8</v>
      </c>
      <c r="S17" s="1465">
        <f>F17</f>
        <v>100</v>
      </c>
      <c r="T17" s="1464" t="s">
        <v>8</v>
      </c>
      <c r="U17" s="1465">
        <f>H17</f>
        <v>100</v>
      </c>
      <c r="V17" s="1464" t="s">
        <v>8</v>
      </c>
      <c r="W17" s="1465">
        <f>J17</f>
        <v>100</v>
      </c>
      <c r="X17" s="1458"/>
      <c r="Y17" s="366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5"/>
      <c r="Q18" s="1463"/>
      <c r="R18" s="1464"/>
      <c r="S18" s="1465"/>
      <c r="T18" s="1464"/>
      <c r="U18" s="1465"/>
      <c r="V18" s="1464"/>
      <c r="W18" s="1465"/>
      <c r="X18" s="1458"/>
      <c r="Y18" s="3665"/>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65"/>
      <c r="Q19" s="1463" t="str">
        <f>B19</f>
        <v>公共配套设施</v>
      </c>
      <c r="R19" s="1464" t="s">
        <v>8</v>
      </c>
      <c r="S19" s="1465">
        <f>F19</f>
        <v>100</v>
      </c>
      <c r="T19" s="1464" t="s">
        <v>8</v>
      </c>
      <c r="U19" s="1465">
        <f>H19</f>
        <v>100</v>
      </c>
      <c r="V19" s="1464" t="s">
        <v>8</v>
      </c>
      <c r="W19" s="1465">
        <f>J19</f>
        <v>100</v>
      </c>
      <c r="X19" s="1458"/>
      <c r="Y19" s="3665"/>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65"/>
      <c r="Q20" s="1463"/>
      <c r="R20" s="1464"/>
      <c r="S20" s="1465"/>
      <c r="T20" s="1464"/>
      <c r="U20" s="1465"/>
      <c r="V20" s="1464"/>
      <c r="W20" s="1465"/>
      <c r="X20" s="1458"/>
      <c r="Y20" s="3665"/>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65"/>
      <c r="Q21" s="2352" t="str">
        <f>B21</f>
        <v>基础设施水平</v>
      </c>
      <c r="R21" s="1464" t="s">
        <v>8</v>
      </c>
      <c r="S21" s="1465">
        <f>F21</f>
        <v>100</v>
      </c>
      <c r="T21" s="1464" t="s">
        <v>8</v>
      </c>
      <c r="U21" s="1465">
        <f>H21</f>
        <v>100</v>
      </c>
      <c r="V21" s="1464" t="s">
        <v>8</v>
      </c>
      <c r="W21" s="1465">
        <f>J21</f>
        <v>100</v>
      </c>
      <c r="X21" s="2354"/>
      <c r="Y21" s="3665"/>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65"/>
      <c r="Q22" s="2352"/>
      <c r="R22" s="1464"/>
      <c r="S22" s="1465"/>
      <c r="T22" s="1464"/>
      <c r="U22" s="1465"/>
      <c r="V22" s="1464"/>
      <c r="W22" s="1465"/>
      <c r="X22" s="2354"/>
      <c r="Y22" s="3665"/>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65"/>
      <c r="Q23" s="1463" t="str">
        <f>B23</f>
        <v>自然及人文环境</v>
      </c>
      <c r="R23" s="1464" t="s">
        <v>8</v>
      </c>
      <c r="S23" s="1465">
        <f>F23</f>
        <v>100</v>
      </c>
      <c r="T23" s="1464" t="s">
        <v>8</v>
      </c>
      <c r="U23" s="1465">
        <f>H23</f>
        <v>100</v>
      </c>
      <c r="V23" s="1464" t="s">
        <v>8</v>
      </c>
      <c r="W23" s="1465">
        <f>J23</f>
        <v>100</v>
      </c>
      <c r="X23" s="1458"/>
      <c r="Y23" s="3665"/>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65"/>
      <c r="Q24" s="1463"/>
      <c r="R24" s="1464"/>
      <c r="S24" s="1465"/>
      <c r="T24" s="1464"/>
      <c r="U24" s="1465"/>
      <c r="V24" s="1464"/>
      <c r="W24" s="1465"/>
      <c r="X24" s="1458"/>
      <c r="Y24" s="3665"/>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65"/>
      <c r="Q25" s="1463" t="str">
        <f t="shared" ref="Q25:Q46" si="11">B25</f>
        <v>临街状况</v>
      </c>
      <c r="R25" s="1464" t="s">
        <v>8</v>
      </c>
      <c r="S25" s="1465">
        <f>F25</f>
        <v>100</v>
      </c>
      <c r="T25" s="1464" t="s">
        <v>8</v>
      </c>
      <c r="U25" s="1465">
        <f>H25</f>
        <v>100</v>
      </c>
      <c r="V25" s="1464" t="s">
        <v>8</v>
      </c>
      <c r="W25" s="1465">
        <f>J25</f>
        <v>100</v>
      </c>
      <c r="X25" s="1458"/>
      <c r="Y25" s="3665"/>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65"/>
      <c r="Q26" s="1463" t="str">
        <f t="shared" si="11"/>
        <v>平面位置/可视性</v>
      </c>
      <c r="R26" s="1464" t="s">
        <v>8</v>
      </c>
      <c r="S26" s="1465">
        <f>F26</f>
        <v>100</v>
      </c>
      <c r="T26" s="1464" t="s">
        <v>8</v>
      </c>
      <c r="U26" s="1465">
        <f>H26</f>
        <v>100</v>
      </c>
      <c r="V26" s="1464" t="s">
        <v>8</v>
      </c>
      <c r="W26" s="1465">
        <f>J26</f>
        <v>100</v>
      </c>
      <c r="X26" s="1458"/>
      <c r="Y26" s="3665"/>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65"/>
      <c r="Q27" s="1098" t="str">
        <f t="shared" si="11"/>
        <v>人流量</v>
      </c>
      <c r="R27" s="1459" t="s">
        <v>8</v>
      </c>
      <c r="S27" s="1460">
        <f>F27</f>
        <v>100</v>
      </c>
      <c r="T27" s="1459" t="s">
        <v>8</v>
      </c>
      <c r="U27" s="1460">
        <f>H27</f>
        <v>100</v>
      </c>
      <c r="V27" s="1459" t="s">
        <v>8</v>
      </c>
      <c r="W27" s="1460">
        <f>J27</f>
        <v>100</v>
      </c>
      <c r="X27" s="1461"/>
      <c r="Y27" s="3665"/>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65"/>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65"/>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65"/>
      <c r="Q29" s="1463">
        <f t="shared" si="11"/>
        <v>111</v>
      </c>
      <c r="R29" s="1464" t="s">
        <v>8</v>
      </c>
      <c r="S29" s="1465">
        <f t="shared" si="12"/>
        <v>100</v>
      </c>
      <c r="T29" s="1464" t="s">
        <v>8</v>
      </c>
      <c r="U29" s="1465">
        <f t="shared" si="13"/>
        <v>100</v>
      </c>
      <c r="V29" s="1464" t="s">
        <v>8</v>
      </c>
      <c r="W29" s="1465">
        <f t="shared" si="14"/>
        <v>100</v>
      </c>
      <c r="X29" s="1458"/>
      <c r="Y29" s="3665"/>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65"/>
      <c r="Q30" s="1463">
        <f t="shared" si="11"/>
        <v>111</v>
      </c>
      <c r="R30" s="1464" t="s">
        <v>8</v>
      </c>
      <c r="S30" s="1465">
        <f t="shared" si="12"/>
        <v>100</v>
      </c>
      <c r="T30" s="1464" t="s">
        <v>8</v>
      </c>
      <c r="U30" s="1465">
        <f t="shared" si="13"/>
        <v>100</v>
      </c>
      <c r="V30" s="1464" t="s">
        <v>8</v>
      </c>
      <c r="W30" s="1465">
        <f t="shared" si="14"/>
        <v>100</v>
      </c>
      <c r="X30" s="1458"/>
      <c r="Y30" s="3665"/>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65"/>
      <c r="Q31" s="1463">
        <f t="shared" si="11"/>
        <v>111</v>
      </c>
      <c r="R31" s="1464" t="s">
        <v>8</v>
      </c>
      <c r="S31" s="1465">
        <f t="shared" si="12"/>
        <v>100</v>
      </c>
      <c r="T31" s="1464" t="s">
        <v>8</v>
      </c>
      <c r="U31" s="1465">
        <f t="shared" si="13"/>
        <v>100</v>
      </c>
      <c r="V31" s="1464" t="s">
        <v>8</v>
      </c>
      <c r="W31" s="1465">
        <f t="shared" si="14"/>
        <v>100</v>
      </c>
      <c r="X31" s="1458"/>
      <c r="Y31" s="3665"/>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66" t="s">
        <v>533</v>
      </c>
      <c r="Q32" s="1463" t="str">
        <f t="shared" si="11"/>
        <v>商业类型</v>
      </c>
      <c r="R32" s="1464" t="s">
        <v>8</v>
      </c>
      <c r="S32" s="1465">
        <f t="shared" si="12"/>
        <v>100</v>
      </c>
      <c r="T32" s="1464" t="s">
        <v>8</v>
      </c>
      <c r="U32" s="1465">
        <f t="shared" si="13"/>
        <v>100</v>
      </c>
      <c r="V32" s="1464" t="s">
        <v>8</v>
      </c>
      <c r="W32" s="1465">
        <f t="shared" si="14"/>
        <v>100</v>
      </c>
      <c r="X32" s="1458"/>
      <c r="Y32" s="3667"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67"/>
      <c r="Q33" s="1492" t="str">
        <f t="shared" si="11"/>
        <v>项目建筑规模</v>
      </c>
      <c r="R33" s="1468" t="s">
        <v>8</v>
      </c>
      <c r="S33" s="1469" t="e">
        <f t="shared" si="12"/>
        <v>#N/A</v>
      </c>
      <c r="T33" s="1468" t="s">
        <v>8</v>
      </c>
      <c r="U33" s="1469" t="e">
        <f t="shared" si="13"/>
        <v>#N/A</v>
      </c>
      <c r="V33" s="1468" t="s">
        <v>8</v>
      </c>
      <c r="W33" s="1469" t="e">
        <f t="shared" si="14"/>
        <v>#N/A</v>
      </c>
      <c r="X33" s="1470"/>
      <c r="Y33" s="3667"/>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67"/>
      <c r="Q34" s="1463" t="str">
        <f t="shared" si="11"/>
        <v>建筑结构</v>
      </c>
      <c r="R34" s="1464" t="s">
        <v>8</v>
      </c>
      <c r="S34" s="1465">
        <f t="shared" si="12"/>
        <v>100</v>
      </c>
      <c r="T34" s="1464" t="s">
        <v>8</v>
      </c>
      <c r="U34" s="1465">
        <f t="shared" si="13"/>
        <v>100</v>
      </c>
      <c r="V34" s="1464" t="s">
        <v>8</v>
      </c>
      <c r="W34" s="1465">
        <f t="shared" si="14"/>
        <v>100</v>
      </c>
      <c r="X34" s="1458"/>
      <c r="Y34" s="3667"/>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67"/>
      <c r="Q35" s="1463" t="str">
        <f t="shared" si="11"/>
        <v>公共部分装修</v>
      </c>
      <c r="R35" s="1464" t="s">
        <v>8</v>
      </c>
      <c r="S35" s="1465">
        <f t="shared" si="12"/>
        <v>100</v>
      </c>
      <c r="T35" s="1464" t="s">
        <v>8</v>
      </c>
      <c r="U35" s="1465">
        <f t="shared" si="13"/>
        <v>100</v>
      </c>
      <c r="V35" s="1464" t="s">
        <v>8</v>
      </c>
      <c r="W35" s="1465">
        <f t="shared" si="14"/>
        <v>100</v>
      </c>
      <c r="X35" s="1458"/>
      <c r="Y35" s="3667"/>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67"/>
      <c r="Q36" s="1463" t="str">
        <f t="shared" si="11"/>
        <v>成新度</v>
      </c>
      <c r="R36" s="1464" t="s">
        <v>8</v>
      </c>
      <c r="S36" s="1465" t="e">
        <f t="shared" si="12"/>
        <v>#N/A</v>
      </c>
      <c r="T36" s="1464" t="s">
        <v>8</v>
      </c>
      <c r="U36" s="1465" t="e">
        <f t="shared" si="13"/>
        <v>#N/A</v>
      </c>
      <c r="V36" s="1464" t="s">
        <v>8</v>
      </c>
      <c r="W36" s="1465" t="e">
        <f t="shared" si="14"/>
        <v>#N/A</v>
      </c>
      <c r="X36" s="1458"/>
      <c r="Y36" s="3667"/>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67"/>
      <c r="Q37" s="1098" t="str">
        <f t="shared" si="11"/>
        <v>市政基础设施</v>
      </c>
      <c r="R37" s="1459" t="s">
        <v>8</v>
      </c>
      <c r="S37" s="1460">
        <f t="shared" si="12"/>
        <v>100</v>
      </c>
      <c r="T37" s="1459" t="s">
        <v>8</v>
      </c>
      <c r="U37" s="1460">
        <f t="shared" si="13"/>
        <v>100</v>
      </c>
      <c r="V37" s="1459" t="s">
        <v>8</v>
      </c>
      <c r="W37" s="1460">
        <f t="shared" si="14"/>
        <v>100</v>
      </c>
      <c r="X37" s="1461"/>
      <c r="Y37" s="3667"/>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67" t="s">
        <v>748</v>
      </c>
      <c r="Q38" s="1463" t="str">
        <f t="shared" si="11"/>
        <v>业态</v>
      </c>
      <c r="R38" s="1464" t="s">
        <v>8</v>
      </c>
      <c r="S38" s="1465">
        <f t="shared" si="12"/>
        <v>100</v>
      </c>
      <c r="T38" s="1464" t="s">
        <v>8</v>
      </c>
      <c r="U38" s="1465">
        <f t="shared" si="13"/>
        <v>100</v>
      </c>
      <c r="V38" s="1464" t="s">
        <v>8</v>
      </c>
      <c r="W38" s="1465">
        <f t="shared" si="14"/>
        <v>100</v>
      </c>
      <c r="X38" s="1458"/>
      <c r="Y38" s="3667"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67"/>
      <c r="Q39" s="1463" t="str">
        <f t="shared" si="11"/>
        <v>层高</v>
      </c>
      <c r="R39" s="1464" t="s">
        <v>8</v>
      </c>
      <c r="S39" s="1465">
        <f t="shared" si="12"/>
        <v>100</v>
      </c>
      <c r="T39" s="1464" t="s">
        <v>8</v>
      </c>
      <c r="U39" s="1465">
        <f t="shared" si="13"/>
        <v>100</v>
      </c>
      <c r="V39" s="1464" t="s">
        <v>8</v>
      </c>
      <c r="W39" s="1465">
        <f t="shared" si="14"/>
        <v>100</v>
      </c>
      <c r="X39" s="1458"/>
      <c r="Y39" s="3667"/>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67"/>
      <c r="Q40" s="1463" t="str">
        <f t="shared" si="11"/>
        <v>单套建筑面积</v>
      </c>
      <c r="R40" s="1464" t="s">
        <v>8</v>
      </c>
      <c r="S40" s="1465">
        <f t="shared" si="12"/>
        <v>100</v>
      </c>
      <c r="T40" s="1464" t="s">
        <v>8</v>
      </c>
      <c r="U40" s="1465">
        <f t="shared" si="13"/>
        <v>100</v>
      </c>
      <c r="V40" s="1464" t="s">
        <v>8</v>
      </c>
      <c r="W40" s="1465">
        <f t="shared" si="14"/>
        <v>100</v>
      </c>
      <c r="X40" s="1458"/>
      <c r="Y40" s="3667"/>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67"/>
      <c r="Q41" s="1492" t="str">
        <f t="shared" si="11"/>
        <v>进深比</v>
      </c>
      <c r="R41" s="1468" t="s">
        <v>8</v>
      </c>
      <c r="S41" s="1469">
        <f t="shared" si="12"/>
        <v>100</v>
      </c>
      <c r="T41" s="1468" t="s">
        <v>8</v>
      </c>
      <c r="U41" s="1469">
        <f t="shared" si="13"/>
        <v>100</v>
      </c>
      <c r="V41" s="1468" t="s">
        <v>8</v>
      </c>
      <c r="W41" s="1469">
        <f t="shared" si="14"/>
        <v>100</v>
      </c>
      <c r="X41" s="1470"/>
      <c r="Y41" s="3667"/>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67"/>
      <c r="Q42" s="1463" t="str">
        <f t="shared" si="11"/>
        <v>内部装修</v>
      </c>
      <c r="R42" s="1464" t="s">
        <v>8</v>
      </c>
      <c r="S42" s="1465">
        <f t="shared" si="12"/>
        <v>100</v>
      </c>
      <c r="T42" s="1464" t="s">
        <v>8</v>
      </c>
      <c r="U42" s="1465">
        <f t="shared" si="13"/>
        <v>100</v>
      </c>
      <c r="V42" s="1464" t="s">
        <v>8</v>
      </c>
      <c r="W42" s="1465">
        <f t="shared" si="14"/>
        <v>100</v>
      </c>
      <c r="X42" s="1458"/>
      <c r="Y42" s="3667"/>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67"/>
      <c r="Q43" s="1463" t="str">
        <f t="shared" si="11"/>
        <v>内部装修维护情况</v>
      </c>
      <c r="R43" s="1464" t="s">
        <v>8</v>
      </c>
      <c r="S43" s="1465">
        <f t="shared" si="12"/>
        <v>100</v>
      </c>
      <c r="T43" s="1464" t="s">
        <v>8</v>
      </c>
      <c r="U43" s="1465">
        <f t="shared" si="13"/>
        <v>100</v>
      </c>
      <c r="V43" s="1464" t="s">
        <v>8</v>
      </c>
      <c r="W43" s="1465">
        <f t="shared" si="14"/>
        <v>100</v>
      </c>
      <c r="X43" s="1458"/>
      <c r="Y43" s="3667"/>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67"/>
      <c r="Q44" s="1098">
        <f t="shared" si="11"/>
        <v>111</v>
      </c>
      <c r="R44" s="1459" t="s">
        <v>8</v>
      </c>
      <c r="S44" s="1460">
        <f t="shared" si="12"/>
        <v>100</v>
      </c>
      <c r="T44" s="1459" t="s">
        <v>8</v>
      </c>
      <c r="U44" s="1460">
        <f t="shared" si="13"/>
        <v>100</v>
      </c>
      <c r="V44" s="1459" t="s">
        <v>8</v>
      </c>
      <c r="W44" s="1460">
        <f t="shared" si="14"/>
        <v>100</v>
      </c>
      <c r="X44" s="1461"/>
      <c r="Y44" s="3667"/>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67"/>
      <c r="Q45" s="1463">
        <f t="shared" si="11"/>
        <v>111</v>
      </c>
      <c r="R45" s="1464" t="s">
        <v>8</v>
      </c>
      <c r="S45" s="1465">
        <f t="shared" si="12"/>
        <v>100</v>
      </c>
      <c r="T45" s="1464" t="s">
        <v>8</v>
      </c>
      <c r="U45" s="1465">
        <f t="shared" si="13"/>
        <v>100</v>
      </c>
      <c r="V45" s="1464" t="s">
        <v>8</v>
      </c>
      <c r="W45" s="1465">
        <f t="shared" si="14"/>
        <v>100</v>
      </c>
      <c r="X45" s="1458"/>
      <c r="Y45" s="3667"/>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77"/>
      <c r="Q46" s="1463">
        <f t="shared" si="11"/>
        <v>111</v>
      </c>
      <c r="R46" s="1464" t="s">
        <v>8</v>
      </c>
      <c r="S46" s="1465">
        <f t="shared" si="12"/>
        <v>100</v>
      </c>
      <c r="T46" s="1464" t="s">
        <v>8</v>
      </c>
      <c r="U46" s="1465">
        <f t="shared" si="13"/>
        <v>100</v>
      </c>
      <c r="V46" s="1464" t="s">
        <v>8</v>
      </c>
      <c r="W46" s="1465">
        <f t="shared" si="14"/>
        <v>100</v>
      </c>
      <c r="X46" s="1458"/>
      <c r="Y46" s="3777"/>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62" t="str">
        <f>A47</f>
        <v>成交单价（元/平方米）</v>
      </c>
      <c r="Q47" s="3662"/>
      <c r="R47" s="3776">
        <f>E47</f>
        <v>0</v>
      </c>
      <c r="S47" s="3776"/>
      <c r="T47" s="3776">
        <f>G47</f>
        <v>0</v>
      </c>
      <c r="U47" s="3776"/>
      <c r="V47" s="3776">
        <f>I47</f>
        <v>0</v>
      </c>
      <c r="W47" s="3776"/>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71"/>
      <c r="O48" s="1982"/>
      <c r="P48" s="3662" t="str">
        <f>A48</f>
        <v>比较价格（元/平方米）</v>
      </c>
      <c r="Q48" s="3662"/>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68" t="str">
        <f>A49</f>
        <v>估价对象XX用房的比较价格（楼面单价，元/平方米）</v>
      </c>
      <c r="Q49" s="3669"/>
      <c r="R49" s="3775" t="e">
        <f>IF(F1="售价",ROUND(IF(D48="简单平均",AVERAGE(R48:V48),R48*F48+T48*H48+V48*J48),0),ROUND(IF(D48="简单平均",AVERAGE(R48:V48),R48*F48+T48*H48+V48*J48),1))</f>
        <v>#DIV/0!</v>
      </c>
      <c r="S49" s="3775"/>
      <c r="T49" s="3775"/>
      <c r="U49" s="3775"/>
      <c r="V49" s="3775"/>
      <c r="W49" s="3775"/>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2022-9</v>
      </c>
      <c r="D58" s="2444">
        <f>EDATE(C58,-1)</f>
        <v>44774</v>
      </c>
      <c r="E58" s="2444">
        <f t="shared" ref="E58:O58" si="16">EDATE(D58,-1)</f>
        <v>44743</v>
      </c>
      <c r="F58" s="2444">
        <f t="shared" si="16"/>
        <v>44713</v>
      </c>
      <c r="G58" s="2444">
        <f t="shared" si="16"/>
        <v>44682</v>
      </c>
      <c r="H58" s="2444">
        <f t="shared" si="16"/>
        <v>44652</v>
      </c>
      <c r="I58" s="2444">
        <f t="shared" si="16"/>
        <v>44621</v>
      </c>
      <c r="J58" s="2444">
        <f t="shared" si="16"/>
        <v>44593</v>
      </c>
      <c r="K58" s="2444">
        <f t="shared" si="16"/>
        <v>44562</v>
      </c>
      <c r="L58" s="2444">
        <f t="shared" si="16"/>
        <v>44531</v>
      </c>
      <c r="M58" s="2444">
        <f t="shared" si="16"/>
        <v>44501</v>
      </c>
      <c r="N58" s="2444">
        <f t="shared" si="16"/>
        <v>44470</v>
      </c>
      <c r="O58" s="2444">
        <f t="shared" si="16"/>
        <v>44440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70" t="s">
        <v>505</v>
      </c>
      <c r="D4" s="3671"/>
      <c r="E4" s="3692" t="s">
        <v>506</v>
      </c>
      <c r="F4" s="3693"/>
      <c r="G4" s="3670" t="s">
        <v>507</v>
      </c>
      <c r="H4" s="3671"/>
      <c r="I4" s="3670" t="s">
        <v>508</v>
      </c>
      <c r="J4" s="3671"/>
      <c r="K4" s="491" t="s">
        <v>509</v>
      </c>
      <c r="L4" s="1970"/>
      <c r="M4" s="1971"/>
      <c r="N4" s="1971"/>
      <c r="O4" s="1971"/>
      <c r="P4" s="3778" t="s">
        <v>510</v>
      </c>
      <c r="Q4" s="3673"/>
      <c r="R4" s="3656" t="s">
        <v>506</v>
      </c>
      <c r="S4" s="3657"/>
      <c r="T4" s="3656" t="s">
        <v>507</v>
      </c>
      <c r="U4" s="3657"/>
      <c r="V4" s="3678" t="s">
        <v>508</v>
      </c>
      <c r="W4" s="3678"/>
      <c r="X4" s="1458"/>
      <c r="Y4" s="3656" t="s">
        <v>510</v>
      </c>
      <c r="Z4" s="3657"/>
      <c r="AA4" s="3651" t="s">
        <v>506</v>
      </c>
      <c r="AB4" s="3651" t="s">
        <v>507</v>
      </c>
      <c r="AC4" s="3651" t="s">
        <v>508</v>
      </c>
    </row>
    <row r="5" spans="1:29" ht="15">
      <c r="A5" s="492"/>
      <c r="B5" s="493"/>
      <c r="C5" s="3681" t="s">
        <v>2631</v>
      </c>
      <c r="D5" s="3682"/>
      <c r="E5" s="3694" t="s">
        <v>2632</v>
      </c>
      <c r="F5" s="3695"/>
      <c r="G5" s="3681" t="s">
        <v>2633</v>
      </c>
      <c r="H5" s="3682"/>
      <c r="I5" s="3681" t="s">
        <v>2634</v>
      </c>
      <c r="J5" s="3682"/>
      <c r="K5" s="491"/>
      <c r="L5" s="1970"/>
      <c r="M5" s="1971"/>
      <c r="N5" s="1971"/>
      <c r="O5" s="1971"/>
      <c r="P5" s="3779"/>
      <c r="Q5" s="3675"/>
      <c r="R5" s="3658"/>
      <c r="S5" s="3659"/>
      <c r="T5" s="3658"/>
      <c r="U5" s="3659"/>
      <c r="V5" s="3678"/>
      <c r="W5" s="3678"/>
      <c r="X5" s="1458"/>
      <c r="Y5" s="3658"/>
      <c r="Z5" s="3659"/>
      <c r="AA5" s="3652"/>
      <c r="AB5" s="3652"/>
      <c r="AC5" s="3652"/>
    </row>
    <row r="6" spans="1:29" ht="15.75" thickBot="1">
      <c r="A6" s="494"/>
      <c r="B6" s="495"/>
      <c r="C6" s="3679" t="s">
        <v>2635</v>
      </c>
      <c r="D6" s="3680"/>
      <c r="E6" s="3696" t="s">
        <v>2635</v>
      </c>
      <c r="F6" s="3697"/>
      <c r="G6" s="3679" t="s">
        <v>2635</v>
      </c>
      <c r="H6" s="3680"/>
      <c r="I6" s="3679" t="s">
        <v>2635</v>
      </c>
      <c r="J6" s="3680"/>
      <c r="K6" s="491" t="s">
        <v>511</v>
      </c>
      <c r="L6" s="1970"/>
      <c r="M6" s="1971"/>
      <c r="N6" s="1971"/>
      <c r="O6" s="1971"/>
      <c r="P6" s="3780"/>
      <c r="Q6" s="3677"/>
      <c r="R6" s="3658"/>
      <c r="S6" s="3659"/>
      <c r="T6" s="3660"/>
      <c r="U6" s="3661"/>
      <c r="V6" s="3678"/>
      <c r="W6" s="3678"/>
      <c r="X6" s="1458"/>
      <c r="Y6" s="3660"/>
      <c r="Z6" s="3661"/>
      <c r="AA6" s="3653"/>
      <c r="AB6" s="3653"/>
      <c r="AC6" s="3653"/>
    </row>
    <row r="7" spans="1:29" s="1167" customFormat="1" ht="15.75" thickBot="1">
      <c r="A7" s="2552"/>
      <c r="B7" s="2559" t="s">
        <v>512</v>
      </c>
      <c r="C7" s="496">
        <f>'数据-取费表'!B2</f>
        <v>44819</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63" t="s">
        <v>513</v>
      </c>
      <c r="Q7" s="3663"/>
      <c r="R7" s="1459" t="s">
        <v>8</v>
      </c>
      <c r="S7" s="1460">
        <f t="shared" ref="S7:S15" si="0">F7</f>
        <v>0</v>
      </c>
      <c r="T7" s="1459" t="s">
        <v>8</v>
      </c>
      <c r="U7" s="1460">
        <f t="shared" ref="U7:U15" si="1">H7</f>
        <v>0</v>
      </c>
      <c r="V7" s="1459" t="s">
        <v>8</v>
      </c>
      <c r="W7" s="1460">
        <f t="shared" ref="W7:W15" si="2">J7</f>
        <v>0</v>
      </c>
      <c r="X7" s="1461"/>
      <c r="Y7" s="3654" t="s">
        <v>513</v>
      </c>
      <c r="Z7" s="3655"/>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63" t="s">
        <v>516</v>
      </c>
      <c r="Q8" s="3655"/>
      <c r="R8" s="1459" t="s">
        <v>8</v>
      </c>
      <c r="S8" s="1460">
        <f t="shared" si="0"/>
        <v>0</v>
      </c>
      <c r="T8" s="1459" t="s">
        <v>8</v>
      </c>
      <c r="U8" s="1460">
        <f t="shared" si="1"/>
        <v>0</v>
      </c>
      <c r="V8" s="1459" t="s">
        <v>8</v>
      </c>
      <c r="W8" s="1460">
        <f t="shared" si="2"/>
        <v>0</v>
      </c>
      <c r="X8" s="1461"/>
      <c r="Y8" s="3654" t="s">
        <v>516</v>
      </c>
      <c r="Z8" s="3655"/>
      <c r="AA8" s="1462" t="e">
        <f t="shared" ref="AA8:AA47" si="3">D8/F8</f>
        <v>#DIV/0!</v>
      </c>
      <c r="AB8" s="1462" t="e">
        <f t="shared" ref="AB8:AB47" si="4">D8/H8</f>
        <v>#DIV/0!</v>
      </c>
      <c r="AC8" s="1462" t="e">
        <f t="shared" ref="AC8:AC47" si="5">D8/J8</f>
        <v>#DIV/0!</v>
      </c>
    </row>
    <row r="9" spans="1:29" s="1167" customFormat="1" ht="15">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62" t="s">
        <v>518</v>
      </c>
      <c r="Q9" s="1098" t="str">
        <f t="shared" ref="Q9:Q15" si="6">B9</f>
        <v>用途</v>
      </c>
      <c r="R9" s="1459" t="s">
        <v>8</v>
      </c>
      <c r="S9" s="1460">
        <f t="shared" si="0"/>
        <v>100</v>
      </c>
      <c r="T9" s="1459" t="s">
        <v>8</v>
      </c>
      <c r="U9" s="1460">
        <f t="shared" si="1"/>
        <v>100</v>
      </c>
      <c r="V9" s="1459" t="s">
        <v>8</v>
      </c>
      <c r="W9" s="1460">
        <f t="shared" si="2"/>
        <v>100</v>
      </c>
      <c r="X9" s="1461"/>
      <c r="Y9" s="361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62"/>
      <c r="Q10" s="1098" t="str">
        <f t="shared" si="6"/>
        <v>土地使用年限（年）</v>
      </c>
      <c r="R10" s="1459" t="s">
        <v>8</v>
      </c>
      <c r="S10" s="1460">
        <f t="shared" si="0"/>
        <v>100</v>
      </c>
      <c r="T10" s="1459" t="s">
        <v>8</v>
      </c>
      <c r="U10" s="1460">
        <f t="shared" si="1"/>
        <v>100</v>
      </c>
      <c r="V10" s="1459" t="s">
        <v>8</v>
      </c>
      <c r="W10" s="1460">
        <f t="shared" si="2"/>
        <v>100</v>
      </c>
      <c r="X10" s="1461"/>
      <c r="Y10" s="361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62"/>
      <c r="Q11" s="1098" t="str">
        <f t="shared" si="6"/>
        <v>容积率</v>
      </c>
      <c r="R11" s="1459" t="s">
        <v>8</v>
      </c>
      <c r="S11" s="1460" t="e">
        <f t="shared" si="0"/>
        <v>#N/A</v>
      </c>
      <c r="T11" s="1459" t="s">
        <v>8</v>
      </c>
      <c r="U11" s="1460" t="e">
        <f t="shared" si="1"/>
        <v>#N/A</v>
      </c>
      <c r="V11" s="1459" t="s">
        <v>8</v>
      </c>
      <c r="W11" s="1460" t="e">
        <f t="shared" si="2"/>
        <v>#N/A</v>
      </c>
      <c r="X11" s="1461"/>
      <c r="Y11" s="361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62"/>
      <c r="Q12" s="1098">
        <f t="shared" si="6"/>
        <v>111</v>
      </c>
      <c r="R12" s="1459" t="s">
        <v>8</v>
      </c>
      <c r="S12" s="1460">
        <f t="shared" si="0"/>
        <v>100</v>
      </c>
      <c r="T12" s="1459" t="s">
        <v>8</v>
      </c>
      <c r="U12" s="1460">
        <f t="shared" si="1"/>
        <v>100</v>
      </c>
      <c r="V12" s="1459" t="s">
        <v>8</v>
      </c>
      <c r="W12" s="1460">
        <f t="shared" si="2"/>
        <v>100</v>
      </c>
      <c r="X12" s="1461"/>
      <c r="Y12" s="3610"/>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62"/>
      <c r="Q13" s="1098">
        <f t="shared" si="6"/>
        <v>111</v>
      </c>
      <c r="R13" s="1459" t="s">
        <v>8</v>
      </c>
      <c r="S13" s="1460">
        <f t="shared" si="0"/>
        <v>100</v>
      </c>
      <c r="T13" s="1459" t="s">
        <v>8</v>
      </c>
      <c r="U13" s="1460">
        <f t="shared" si="1"/>
        <v>100</v>
      </c>
      <c r="V13" s="1459" t="s">
        <v>8</v>
      </c>
      <c r="W13" s="1460">
        <f t="shared" si="2"/>
        <v>100</v>
      </c>
      <c r="X13" s="1461"/>
      <c r="Y13" s="3610"/>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62"/>
      <c r="Q14" s="1098">
        <f t="shared" si="6"/>
        <v>111</v>
      </c>
      <c r="R14" s="1459" t="s">
        <v>8</v>
      </c>
      <c r="S14" s="1460">
        <f t="shared" si="0"/>
        <v>100</v>
      </c>
      <c r="T14" s="1459" t="s">
        <v>8</v>
      </c>
      <c r="U14" s="1460">
        <f t="shared" si="1"/>
        <v>100</v>
      </c>
      <c r="V14" s="1459" t="s">
        <v>8</v>
      </c>
      <c r="W14" s="1460">
        <f t="shared" si="2"/>
        <v>100</v>
      </c>
      <c r="X14" s="1461"/>
      <c r="Y14" s="3610"/>
      <c r="Z14" s="1097">
        <f t="shared" si="7"/>
        <v>111</v>
      </c>
      <c r="AA14" s="1462">
        <f t="shared" si="3"/>
        <v>1</v>
      </c>
      <c r="AB14" s="1462">
        <f t="shared" si="4"/>
        <v>1</v>
      </c>
      <c r="AC14" s="1462">
        <f t="shared" si="5"/>
        <v>1</v>
      </c>
    </row>
    <row r="15" spans="1:29" ht="71.25">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64" t="s">
        <v>523</v>
      </c>
      <c r="Q15" s="1463" t="str">
        <f t="shared" si="6"/>
        <v>办公集聚程度</v>
      </c>
      <c r="R15" s="1464" t="s">
        <v>8</v>
      </c>
      <c r="S15" s="1465">
        <f t="shared" si="0"/>
        <v>100</v>
      </c>
      <c r="T15" s="1464" t="s">
        <v>8</v>
      </c>
      <c r="U15" s="1465">
        <f t="shared" si="1"/>
        <v>100</v>
      </c>
      <c r="V15" s="1464" t="s">
        <v>8</v>
      </c>
      <c r="W15" s="1465">
        <f t="shared" si="2"/>
        <v>100</v>
      </c>
      <c r="X15" s="1458"/>
      <c r="Y15" s="3664"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65"/>
      <c r="Q16" s="1463"/>
      <c r="R16" s="1464"/>
      <c r="S16" s="1465"/>
      <c r="T16" s="1464"/>
      <c r="U16" s="1465"/>
      <c r="V16" s="1464"/>
      <c r="W16" s="1465"/>
      <c r="X16" s="1458"/>
      <c r="Y16" s="3665"/>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65"/>
      <c r="Q17" s="1463" t="str">
        <f>B17</f>
        <v>交通便捷度</v>
      </c>
      <c r="R17" s="1464" t="s">
        <v>8</v>
      </c>
      <c r="S17" s="1465">
        <f>F17</f>
        <v>100</v>
      </c>
      <c r="T17" s="1464" t="s">
        <v>8</v>
      </c>
      <c r="U17" s="1465">
        <f>H17</f>
        <v>100</v>
      </c>
      <c r="V17" s="1464" t="s">
        <v>8</v>
      </c>
      <c r="W17" s="1465">
        <f>J17</f>
        <v>100</v>
      </c>
      <c r="X17" s="1458"/>
      <c r="Y17" s="3665"/>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65"/>
      <c r="Q18" s="1463"/>
      <c r="R18" s="1464"/>
      <c r="S18" s="1465"/>
      <c r="T18" s="1464"/>
      <c r="U18" s="1465"/>
      <c r="V18" s="1464"/>
      <c r="W18" s="1465"/>
      <c r="X18" s="1458"/>
      <c r="Y18" s="3665"/>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65"/>
      <c r="Q19" s="1463" t="str">
        <f>B19</f>
        <v>公共配套设施</v>
      </c>
      <c r="R19" s="1464" t="s">
        <v>8</v>
      </c>
      <c r="S19" s="1465">
        <f>F19</f>
        <v>100</v>
      </c>
      <c r="T19" s="1464" t="s">
        <v>8</v>
      </c>
      <c r="U19" s="1465">
        <f>H19</f>
        <v>100</v>
      </c>
      <c r="V19" s="1464" t="s">
        <v>8</v>
      </c>
      <c r="W19" s="1465">
        <f>J19</f>
        <v>100</v>
      </c>
      <c r="X19" s="1458"/>
      <c r="Y19" s="3665"/>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65"/>
      <c r="Q20" s="1463"/>
      <c r="R20" s="1464"/>
      <c r="S20" s="1465"/>
      <c r="T20" s="1464"/>
      <c r="U20" s="1465"/>
      <c r="V20" s="1464"/>
      <c r="W20" s="1465"/>
      <c r="X20" s="1458"/>
      <c r="Y20" s="3665"/>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65"/>
      <c r="Q21" s="2352" t="str">
        <f>B21</f>
        <v>基础设施水平</v>
      </c>
      <c r="R21" s="1464" t="s">
        <v>8</v>
      </c>
      <c r="S21" s="1465">
        <f>F21</f>
        <v>100</v>
      </c>
      <c r="T21" s="1464" t="s">
        <v>8</v>
      </c>
      <c r="U21" s="1465">
        <f>H21</f>
        <v>100</v>
      </c>
      <c r="V21" s="1464" t="s">
        <v>8</v>
      </c>
      <c r="W21" s="1465">
        <f>J21</f>
        <v>100</v>
      </c>
      <c r="X21" s="2354"/>
      <c r="Y21" s="3665"/>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65"/>
      <c r="Q22" s="2352"/>
      <c r="R22" s="1464"/>
      <c r="S22" s="1465"/>
      <c r="T22" s="1464"/>
      <c r="U22" s="1465"/>
      <c r="V22" s="1464"/>
      <c r="W22" s="1465"/>
      <c r="X22" s="2354"/>
      <c r="Y22" s="3665"/>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65"/>
      <c r="Q23" s="1463" t="str">
        <f>B23</f>
        <v>环境质量</v>
      </c>
      <c r="R23" s="1464" t="s">
        <v>8</v>
      </c>
      <c r="S23" s="1465">
        <f>F23</f>
        <v>100</v>
      </c>
      <c r="T23" s="1464" t="s">
        <v>8</v>
      </c>
      <c r="U23" s="1465">
        <f>H23</f>
        <v>100</v>
      </c>
      <c r="V23" s="1464" t="s">
        <v>8</v>
      </c>
      <c r="W23" s="1465">
        <f>J23</f>
        <v>100</v>
      </c>
      <c r="X23" s="1458"/>
      <c r="Y23" s="3665"/>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65"/>
      <c r="Q24" s="1463"/>
      <c r="R24" s="1464"/>
      <c r="S24" s="1465"/>
      <c r="T24" s="1464"/>
      <c r="U24" s="1465"/>
      <c r="V24" s="1464"/>
      <c r="W24" s="1465"/>
      <c r="X24" s="1458"/>
      <c r="Y24" s="3665"/>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65"/>
      <c r="Q25" s="1463" t="str">
        <f>B25</f>
        <v>毗邻道路的类型与等级</v>
      </c>
      <c r="R25" s="1464" t="s">
        <v>8</v>
      </c>
      <c r="S25" s="1465">
        <f>F25</f>
        <v>100</v>
      </c>
      <c r="T25" s="1464" t="s">
        <v>8</v>
      </c>
      <c r="U25" s="1465">
        <f>H25</f>
        <v>100</v>
      </c>
      <c r="V25" s="1464" t="s">
        <v>8</v>
      </c>
      <c r="W25" s="1465">
        <f>J25</f>
        <v>100</v>
      </c>
      <c r="X25" s="1458"/>
      <c r="Y25" s="3665"/>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65"/>
      <c r="Q26" s="1463"/>
      <c r="R26" s="1464"/>
      <c r="S26" s="1465"/>
      <c r="T26" s="1464"/>
      <c r="U26" s="1465"/>
      <c r="V26" s="1464"/>
      <c r="W26" s="1465"/>
      <c r="X26" s="1458"/>
      <c r="Y26" s="3665"/>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65"/>
      <c r="Q27" s="1463" t="str">
        <f t="shared" ref="Q27:Q47" si="11">B27</f>
        <v>楼层</v>
      </c>
      <c r="R27" s="1464" t="s">
        <v>8</v>
      </c>
      <c r="S27" s="1465">
        <f>F27</f>
        <v>100</v>
      </c>
      <c r="T27" s="1464" t="s">
        <v>8</v>
      </c>
      <c r="U27" s="1465">
        <f>H27</f>
        <v>100</v>
      </c>
      <c r="V27" s="1464" t="s">
        <v>8</v>
      </c>
      <c r="W27" s="1465">
        <f>J27</f>
        <v>100</v>
      </c>
      <c r="X27" s="1458"/>
      <c r="Y27" s="3665"/>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65"/>
      <c r="Q28" s="1098" t="str">
        <f t="shared" si="11"/>
        <v>朝向</v>
      </c>
      <c r="R28" s="1459" t="s">
        <v>8</v>
      </c>
      <c r="S28" s="1460">
        <f>F28</f>
        <v>100</v>
      </c>
      <c r="T28" s="1459" t="s">
        <v>8</v>
      </c>
      <c r="U28" s="1460">
        <f>H28</f>
        <v>100</v>
      </c>
      <c r="V28" s="1459" t="s">
        <v>8</v>
      </c>
      <c r="W28" s="1460">
        <f>J28</f>
        <v>100</v>
      </c>
      <c r="X28" s="1461"/>
      <c r="Y28" s="3665"/>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65"/>
      <c r="Q29" s="1463">
        <f t="shared" si="11"/>
        <v>111</v>
      </c>
      <c r="R29" s="1464" t="s">
        <v>8</v>
      </c>
      <c r="S29" s="1465">
        <f t="shared" ref="S29:S47" si="12">F29</f>
        <v>100</v>
      </c>
      <c r="T29" s="1464" t="s">
        <v>8</v>
      </c>
      <c r="U29" s="1465">
        <f t="shared" ref="U29:U47" si="13">H29</f>
        <v>100</v>
      </c>
      <c r="V29" s="1464" t="s">
        <v>8</v>
      </c>
      <c r="W29" s="1465">
        <f t="shared" ref="W29:W47" si="14">J29</f>
        <v>100</v>
      </c>
      <c r="X29" s="1458"/>
      <c r="Y29" s="3665"/>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65"/>
      <c r="Q30" s="1463">
        <f t="shared" si="11"/>
        <v>111</v>
      </c>
      <c r="R30" s="1464" t="s">
        <v>8</v>
      </c>
      <c r="S30" s="1465">
        <f t="shared" si="12"/>
        <v>100</v>
      </c>
      <c r="T30" s="1464" t="s">
        <v>8</v>
      </c>
      <c r="U30" s="1465">
        <f t="shared" si="13"/>
        <v>100</v>
      </c>
      <c r="V30" s="1464" t="s">
        <v>8</v>
      </c>
      <c r="W30" s="1465">
        <f t="shared" si="14"/>
        <v>100</v>
      </c>
      <c r="X30" s="1458"/>
      <c r="Y30" s="3665"/>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65"/>
      <c r="Q31" s="1463">
        <f t="shared" si="11"/>
        <v>111</v>
      </c>
      <c r="R31" s="1464" t="s">
        <v>8</v>
      </c>
      <c r="S31" s="1465">
        <f t="shared" si="12"/>
        <v>100</v>
      </c>
      <c r="T31" s="1464" t="s">
        <v>8</v>
      </c>
      <c r="U31" s="1465">
        <f t="shared" si="13"/>
        <v>100</v>
      </c>
      <c r="V31" s="1464" t="s">
        <v>8</v>
      </c>
      <c r="W31" s="1465">
        <f t="shared" si="14"/>
        <v>100</v>
      </c>
      <c r="X31" s="1458"/>
      <c r="Y31" s="3665"/>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65"/>
      <c r="Q32" s="1463">
        <f t="shared" si="11"/>
        <v>111</v>
      </c>
      <c r="R32" s="1464" t="s">
        <v>8</v>
      </c>
      <c r="S32" s="1465">
        <f t="shared" si="12"/>
        <v>100</v>
      </c>
      <c r="T32" s="1464" t="s">
        <v>8</v>
      </c>
      <c r="U32" s="1465">
        <f t="shared" si="13"/>
        <v>100</v>
      </c>
      <c r="V32" s="1464" t="s">
        <v>8</v>
      </c>
      <c r="W32" s="1465">
        <f t="shared" si="14"/>
        <v>100</v>
      </c>
      <c r="X32" s="1458"/>
      <c r="Y32" s="3665"/>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66" t="s">
        <v>533</v>
      </c>
      <c r="Q33" s="1463" t="str">
        <f t="shared" si="11"/>
        <v>建筑类型</v>
      </c>
      <c r="R33" s="1464" t="s">
        <v>8</v>
      </c>
      <c r="S33" s="1465">
        <f t="shared" si="12"/>
        <v>100</v>
      </c>
      <c r="T33" s="1464" t="s">
        <v>8</v>
      </c>
      <c r="U33" s="1465">
        <f t="shared" si="13"/>
        <v>100</v>
      </c>
      <c r="V33" s="1464" t="s">
        <v>8</v>
      </c>
      <c r="W33" s="1465">
        <f t="shared" si="14"/>
        <v>100</v>
      </c>
      <c r="X33" s="1458"/>
      <c r="Y33" s="3667"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67"/>
      <c r="Q34" s="1492" t="str">
        <f t="shared" si="11"/>
        <v>项目建筑规模</v>
      </c>
      <c r="R34" s="1468" t="s">
        <v>8</v>
      </c>
      <c r="S34" s="1469" t="e">
        <f t="shared" si="12"/>
        <v>#N/A</v>
      </c>
      <c r="T34" s="1468" t="s">
        <v>8</v>
      </c>
      <c r="U34" s="1469" t="e">
        <f t="shared" si="13"/>
        <v>#N/A</v>
      </c>
      <c r="V34" s="1468" t="s">
        <v>8</v>
      </c>
      <c r="W34" s="1469" t="e">
        <f t="shared" si="14"/>
        <v>#N/A</v>
      </c>
      <c r="X34" s="1470"/>
      <c r="Y34" s="3667"/>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67"/>
      <c r="Q35" s="1463" t="str">
        <f t="shared" si="11"/>
        <v>建筑结构</v>
      </c>
      <c r="R35" s="1464" t="s">
        <v>8</v>
      </c>
      <c r="S35" s="1465">
        <f t="shared" si="12"/>
        <v>100</v>
      </c>
      <c r="T35" s="1464" t="s">
        <v>8</v>
      </c>
      <c r="U35" s="1465">
        <f t="shared" si="13"/>
        <v>100</v>
      </c>
      <c r="V35" s="1464" t="s">
        <v>8</v>
      </c>
      <c r="W35" s="1465">
        <f t="shared" si="14"/>
        <v>100</v>
      </c>
      <c r="X35" s="1458"/>
      <c r="Y35" s="3667"/>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67"/>
      <c r="Q36" s="1463" t="str">
        <f t="shared" si="11"/>
        <v>公共部分装修</v>
      </c>
      <c r="R36" s="1464" t="s">
        <v>8</v>
      </c>
      <c r="S36" s="1465">
        <f t="shared" si="12"/>
        <v>100</v>
      </c>
      <c r="T36" s="1464" t="s">
        <v>8</v>
      </c>
      <c r="U36" s="1465">
        <f t="shared" si="13"/>
        <v>100</v>
      </c>
      <c r="V36" s="1464" t="s">
        <v>8</v>
      </c>
      <c r="W36" s="1465">
        <f t="shared" si="14"/>
        <v>100</v>
      </c>
      <c r="X36" s="1458"/>
      <c r="Y36" s="3667"/>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67"/>
      <c r="Q37" s="1463" t="str">
        <f t="shared" si="11"/>
        <v>成新度</v>
      </c>
      <c r="R37" s="1464" t="s">
        <v>8</v>
      </c>
      <c r="S37" s="1465" t="e">
        <f t="shared" si="12"/>
        <v>#N/A</v>
      </c>
      <c r="T37" s="1464" t="s">
        <v>8</v>
      </c>
      <c r="U37" s="1465" t="e">
        <f t="shared" si="13"/>
        <v>#N/A</v>
      </c>
      <c r="V37" s="1464" t="s">
        <v>8</v>
      </c>
      <c r="W37" s="1465" t="e">
        <f t="shared" si="14"/>
        <v>#N/A</v>
      </c>
      <c r="X37" s="1458"/>
      <c r="Y37" s="3667"/>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67"/>
      <c r="Q38" s="1098" t="str">
        <f t="shared" si="11"/>
        <v>写字楼等级</v>
      </c>
      <c r="R38" s="1459" t="s">
        <v>8</v>
      </c>
      <c r="S38" s="1460">
        <f t="shared" si="12"/>
        <v>100</v>
      </c>
      <c r="T38" s="1459" t="s">
        <v>8</v>
      </c>
      <c r="U38" s="1460">
        <f t="shared" si="13"/>
        <v>100</v>
      </c>
      <c r="V38" s="1459" t="s">
        <v>8</v>
      </c>
      <c r="W38" s="1460">
        <f t="shared" si="14"/>
        <v>100</v>
      </c>
      <c r="X38" s="1461"/>
      <c r="Y38" s="3667"/>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67" t="s">
        <v>533</v>
      </c>
      <c r="Q39" s="1463" t="str">
        <f t="shared" si="11"/>
        <v>物业管理</v>
      </c>
      <c r="R39" s="1464" t="s">
        <v>8</v>
      </c>
      <c r="S39" s="1465">
        <f t="shared" si="12"/>
        <v>100</v>
      </c>
      <c r="T39" s="1464" t="s">
        <v>8</v>
      </c>
      <c r="U39" s="1465">
        <f t="shared" si="13"/>
        <v>100</v>
      </c>
      <c r="V39" s="1464" t="s">
        <v>8</v>
      </c>
      <c r="W39" s="1465">
        <f t="shared" si="14"/>
        <v>100</v>
      </c>
      <c r="X39" s="1458"/>
      <c r="Y39" s="3667"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67"/>
      <c r="Q40" s="1463" t="str">
        <f t="shared" si="11"/>
        <v>市政基础设施</v>
      </c>
      <c r="R40" s="1464" t="s">
        <v>8</v>
      </c>
      <c r="S40" s="1465">
        <f t="shared" si="12"/>
        <v>100</v>
      </c>
      <c r="T40" s="1464" t="s">
        <v>8</v>
      </c>
      <c r="U40" s="1465">
        <f t="shared" si="13"/>
        <v>100</v>
      </c>
      <c r="V40" s="1464" t="s">
        <v>8</v>
      </c>
      <c r="W40" s="1465">
        <f t="shared" si="14"/>
        <v>100</v>
      </c>
      <c r="X40" s="1458"/>
      <c r="Y40" s="3667"/>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67"/>
      <c r="Q41" s="1463" t="str">
        <f t="shared" si="11"/>
        <v>层高</v>
      </c>
      <c r="R41" s="1464" t="s">
        <v>8</v>
      </c>
      <c r="S41" s="1465">
        <f t="shared" si="12"/>
        <v>100</v>
      </c>
      <c r="T41" s="1464" t="s">
        <v>8</v>
      </c>
      <c r="U41" s="1465">
        <f t="shared" si="13"/>
        <v>100</v>
      </c>
      <c r="V41" s="1464" t="s">
        <v>8</v>
      </c>
      <c r="W41" s="1465">
        <f t="shared" si="14"/>
        <v>100</v>
      </c>
      <c r="X41" s="1458"/>
      <c r="Y41" s="3667"/>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67"/>
      <c r="Q42" s="1492" t="str">
        <f t="shared" si="11"/>
        <v>单套建筑面积</v>
      </c>
      <c r="R42" s="1468" t="s">
        <v>8</v>
      </c>
      <c r="S42" s="1469">
        <f t="shared" si="12"/>
        <v>100</v>
      </c>
      <c r="T42" s="1468" t="s">
        <v>8</v>
      </c>
      <c r="U42" s="1469">
        <f t="shared" si="13"/>
        <v>100</v>
      </c>
      <c r="V42" s="1468" t="s">
        <v>8</v>
      </c>
      <c r="W42" s="1469">
        <f t="shared" si="14"/>
        <v>100</v>
      </c>
      <c r="X42" s="1470"/>
      <c r="Y42" s="3667"/>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67"/>
      <c r="Q43" s="1463" t="str">
        <f t="shared" si="11"/>
        <v>内部装修</v>
      </c>
      <c r="R43" s="1464" t="s">
        <v>8</v>
      </c>
      <c r="S43" s="1465">
        <f t="shared" si="12"/>
        <v>100</v>
      </c>
      <c r="T43" s="1464" t="s">
        <v>8</v>
      </c>
      <c r="U43" s="1465">
        <f t="shared" si="13"/>
        <v>100</v>
      </c>
      <c r="V43" s="1464" t="s">
        <v>8</v>
      </c>
      <c r="W43" s="1465">
        <f t="shared" si="14"/>
        <v>100</v>
      </c>
      <c r="X43" s="1458"/>
      <c r="Y43" s="3667"/>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67"/>
      <c r="Q44" s="1463" t="str">
        <f t="shared" si="11"/>
        <v>内部装修维护情况</v>
      </c>
      <c r="R44" s="1464" t="s">
        <v>8</v>
      </c>
      <c r="S44" s="1465">
        <f t="shared" si="12"/>
        <v>100</v>
      </c>
      <c r="T44" s="1464" t="s">
        <v>8</v>
      </c>
      <c r="U44" s="1465">
        <f t="shared" si="13"/>
        <v>100</v>
      </c>
      <c r="V44" s="1464" t="s">
        <v>8</v>
      </c>
      <c r="W44" s="1465">
        <f t="shared" si="14"/>
        <v>100</v>
      </c>
      <c r="X44" s="1458"/>
      <c r="Y44" s="3667"/>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67"/>
      <c r="Q45" s="1098">
        <f t="shared" si="11"/>
        <v>111</v>
      </c>
      <c r="R45" s="1459" t="s">
        <v>8</v>
      </c>
      <c r="S45" s="1460">
        <f t="shared" si="12"/>
        <v>100</v>
      </c>
      <c r="T45" s="1459" t="s">
        <v>8</v>
      </c>
      <c r="U45" s="1460">
        <f t="shared" si="13"/>
        <v>100</v>
      </c>
      <c r="V45" s="1459" t="s">
        <v>8</v>
      </c>
      <c r="W45" s="1460">
        <f t="shared" si="14"/>
        <v>100</v>
      </c>
      <c r="X45" s="1461"/>
      <c r="Y45" s="3667"/>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67"/>
      <c r="Q46" s="1463">
        <f t="shared" si="11"/>
        <v>111</v>
      </c>
      <c r="R46" s="1464" t="s">
        <v>8</v>
      </c>
      <c r="S46" s="1465">
        <f t="shared" si="12"/>
        <v>100</v>
      </c>
      <c r="T46" s="1464" t="s">
        <v>8</v>
      </c>
      <c r="U46" s="1465">
        <f t="shared" si="13"/>
        <v>100</v>
      </c>
      <c r="V46" s="1464" t="s">
        <v>8</v>
      </c>
      <c r="W46" s="1465">
        <f t="shared" si="14"/>
        <v>100</v>
      </c>
      <c r="X46" s="1458"/>
      <c r="Y46" s="3667"/>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77"/>
      <c r="Q47" s="1463">
        <f t="shared" si="11"/>
        <v>111</v>
      </c>
      <c r="R47" s="1464" t="s">
        <v>8</v>
      </c>
      <c r="S47" s="1465">
        <f t="shared" si="12"/>
        <v>100</v>
      </c>
      <c r="T47" s="1464" t="s">
        <v>8</v>
      </c>
      <c r="U47" s="1465">
        <f t="shared" si="13"/>
        <v>100</v>
      </c>
      <c r="V47" s="1464" t="s">
        <v>8</v>
      </c>
      <c r="W47" s="1465">
        <f t="shared" si="14"/>
        <v>100</v>
      </c>
      <c r="X47" s="1458"/>
      <c r="Y47" s="3777"/>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69" t="str">
        <f>A48</f>
        <v>成交单价（元/平方米）</v>
      </c>
      <c r="Q48" s="3662"/>
      <c r="R48" s="3776">
        <f>E48</f>
        <v>0</v>
      </c>
      <c r="S48" s="3776"/>
      <c r="T48" s="3776">
        <f>G48</f>
        <v>0</v>
      </c>
      <c r="U48" s="3776"/>
      <c r="V48" s="3776">
        <f>I48</f>
        <v>0</v>
      </c>
      <c r="W48" s="3776"/>
      <c r="X48" s="1453"/>
      <c r="Y48" s="1472"/>
      <c r="Z48" s="1453"/>
      <c r="AA48" s="1453"/>
      <c r="AB48" s="1453"/>
      <c r="AC48" s="1453"/>
    </row>
    <row r="49" spans="1:29" ht="15.75" thickBot="1">
      <c r="A49" s="592" t="s">
        <v>2477</v>
      </c>
      <c r="B49" s="860"/>
      <c r="C49" s="2399" t="e">
        <f>R50</f>
        <v>#DIV/0!</v>
      </c>
      <c r="D49" s="2923" t="s">
        <v>2702</v>
      </c>
      <c r="E49" s="2400" t="e">
        <f>R49</f>
        <v>#DIV/0!</v>
      </c>
      <c r="F49" s="2924"/>
      <c r="G49" s="2399" t="e">
        <f>T49</f>
        <v>#DIV/0!</v>
      </c>
      <c r="H49" s="2924"/>
      <c r="I49" s="2400" t="e">
        <f>V49</f>
        <v>#DIV/0!</v>
      </c>
      <c r="J49" s="2924"/>
      <c r="K49" s="2932">
        <f>F49+H49+J49</f>
        <v>0</v>
      </c>
      <c r="L49" s="1981"/>
      <c r="M49" s="1971"/>
      <c r="N49" s="1971"/>
      <c r="O49" s="1971"/>
      <c r="P49" s="3669" t="str">
        <f>A49</f>
        <v>比较价格（元/平方米）</v>
      </c>
      <c r="Q49" s="3662"/>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81" t="str">
        <f>A50</f>
        <v>估价对象XX用房的比较价格（楼面单价，元/平方米）</v>
      </c>
      <c r="Q50" s="3669"/>
      <c r="R50" s="3775" t="e">
        <f>IF(F1="售价",ROUND(IF(D49="简单平均",AVERAGE(R49:V49),R49*F49+T49*H49+V49*J49),0),ROUND(IF(D49="简单平均",AVERAGE(R49:V49),R49*F49+T49*H49+V49*J49),1))</f>
        <v>#DIV/0!</v>
      </c>
      <c r="S50" s="3775"/>
      <c r="T50" s="3775"/>
      <c r="U50" s="3775"/>
      <c r="V50" s="3775"/>
      <c r="W50" s="3775"/>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2022-9</v>
      </c>
      <c r="D59" s="2444">
        <f>EDATE(C59,-1)</f>
        <v>44774</v>
      </c>
      <c r="E59" s="2444">
        <f t="shared" ref="E59:O59" si="16">EDATE(D59,-1)</f>
        <v>44743</v>
      </c>
      <c r="F59" s="2444">
        <f t="shared" si="16"/>
        <v>44713</v>
      </c>
      <c r="G59" s="2444">
        <f t="shared" si="16"/>
        <v>44682</v>
      </c>
      <c r="H59" s="2444">
        <f t="shared" si="16"/>
        <v>44652</v>
      </c>
      <c r="I59" s="2444">
        <f t="shared" si="16"/>
        <v>44621</v>
      </c>
      <c r="J59" s="2444">
        <f t="shared" si="16"/>
        <v>44593</v>
      </c>
      <c r="K59" s="2444">
        <f t="shared" si="16"/>
        <v>44562</v>
      </c>
      <c r="L59" s="2444">
        <f t="shared" si="16"/>
        <v>44531</v>
      </c>
      <c r="M59" s="2444">
        <f t="shared" si="16"/>
        <v>44501</v>
      </c>
      <c r="N59" s="2444">
        <f t="shared" si="16"/>
        <v>44470</v>
      </c>
      <c r="O59" s="2444">
        <f t="shared" si="16"/>
        <v>44440</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70" t="s">
        <v>505</v>
      </c>
      <c r="D4" s="3671"/>
      <c r="E4" s="3692" t="s">
        <v>506</v>
      </c>
      <c r="F4" s="3693"/>
      <c r="G4" s="3670" t="s">
        <v>507</v>
      </c>
      <c r="H4" s="3671"/>
      <c r="I4" s="3670" t="s">
        <v>508</v>
      </c>
      <c r="J4" s="3671"/>
      <c r="K4" s="491" t="s">
        <v>509</v>
      </c>
      <c r="L4" s="1970"/>
      <c r="M4" s="1971"/>
      <c r="N4" s="1971"/>
      <c r="O4" s="1971"/>
      <c r="P4" s="3672" t="s">
        <v>510</v>
      </c>
      <c r="Q4" s="3673"/>
      <c r="R4" s="3656" t="s">
        <v>506</v>
      </c>
      <c r="S4" s="3657"/>
      <c r="T4" s="3656" t="s">
        <v>507</v>
      </c>
      <c r="U4" s="3657"/>
      <c r="V4" s="3678" t="s">
        <v>508</v>
      </c>
      <c r="W4" s="3678"/>
      <c r="X4" s="1458"/>
      <c r="Y4" s="3656" t="s">
        <v>510</v>
      </c>
      <c r="Z4" s="3657"/>
      <c r="AA4" s="3651" t="s">
        <v>506</v>
      </c>
      <c r="AB4" s="3652" t="s">
        <v>507</v>
      </c>
      <c r="AC4" s="3651" t="s">
        <v>508</v>
      </c>
    </row>
    <row r="5" spans="1:29" ht="15">
      <c r="A5" s="492"/>
      <c r="B5" s="493"/>
      <c r="C5" s="3681" t="s">
        <v>2631</v>
      </c>
      <c r="D5" s="3682"/>
      <c r="E5" s="3694" t="s">
        <v>2632</v>
      </c>
      <c r="F5" s="3695"/>
      <c r="G5" s="3681" t="s">
        <v>2633</v>
      </c>
      <c r="H5" s="3682"/>
      <c r="I5" s="3681" t="s">
        <v>2634</v>
      </c>
      <c r="J5" s="3682"/>
      <c r="K5" s="491"/>
      <c r="L5" s="1970"/>
      <c r="M5" s="1971"/>
      <c r="N5" s="1971"/>
      <c r="O5" s="1971"/>
      <c r="P5" s="3674"/>
      <c r="Q5" s="3675"/>
      <c r="R5" s="3658"/>
      <c r="S5" s="3659"/>
      <c r="T5" s="3658"/>
      <c r="U5" s="3659"/>
      <c r="V5" s="3678"/>
      <c r="W5" s="3678"/>
      <c r="X5" s="1458"/>
      <c r="Y5" s="3658"/>
      <c r="Z5" s="3659"/>
      <c r="AA5" s="3652"/>
      <c r="AB5" s="3652"/>
      <c r="AC5" s="3652"/>
    </row>
    <row r="6" spans="1:29" ht="15.75" thickBot="1">
      <c r="A6" s="494"/>
      <c r="B6" s="495"/>
      <c r="C6" s="3679" t="s">
        <v>2635</v>
      </c>
      <c r="D6" s="3680"/>
      <c r="E6" s="3696" t="s">
        <v>2635</v>
      </c>
      <c r="F6" s="3697"/>
      <c r="G6" s="3679" t="s">
        <v>2635</v>
      </c>
      <c r="H6" s="3680"/>
      <c r="I6" s="3679" t="s">
        <v>2635</v>
      </c>
      <c r="J6" s="3680"/>
      <c r="K6" s="491" t="s">
        <v>511</v>
      </c>
      <c r="L6" s="1970"/>
      <c r="M6" s="1971"/>
      <c r="N6" s="1971"/>
      <c r="O6" s="1971"/>
      <c r="P6" s="3676"/>
      <c r="Q6" s="3677"/>
      <c r="R6" s="3658"/>
      <c r="S6" s="3659"/>
      <c r="T6" s="3660"/>
      <c r="U6" s="3661"/>
      <c r="V6" s="3678"/>
      <c r="W6" s="3678"/>
      <c r="X6" s="1458"/>
      <c r="Y6" s="3660"/>
      <c r="Z6" s="3661"/>
      <c r="AA6" s="3653"/>
      <c r="AB6" s="3653"/>
      <c r="AC6" s="3653"/>
    </row>
    <row r="7" spans="1:29" s="1167" customFormat="1" ht="15.75" thickBot="1">
      <c r="A7" s="2552"/>
      <c r="B7" s="2559" t="s">
        <v>512</v>
      </c>
      <c r="C7" s="496">
        <f>'数据-取费表'!B2</f>
        <v>44819</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54" t="s">
        <v>513</v>
      </c>
      <c r="Q7" s="3663"/>
      <c r="R7" s="1459" t="s">
        <v>8</v>
      </c>
      <c r="S7" s="1460">
        <f t="shared" ref="S7:S15" si="0">F7</f>
        <v>0</v>
      </c>
      <c r="T7" s="1459" t="s">
        <v>8</v>
      </c>
      <c r="U7" s="1460">
        <f t="shared" ref="U7:U15" si="1">H7</f>
        <v>0</v>
      </c>
      <c r="V7" s="1459" t="s">
        <v>8</v>
      </c>
      <c r="W7" s="1460">
        <f t="shared" ref="W7:W15" si="2">J7</f>
        <v>0</v>
      </c>
      <c r="X7" s="1461"/>
      <c r="Y7" s="3654" t="s">
        <v>513</v>
      </c>
      <c r="Z7" s="3655"/>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54" t="s">
        <v>516</v>
      </c>
      <c r="Q8" s="3655"/>
      <c r="R8" s="1459" t="s">
        <v>8</v>
      </c>
      <c r="S8" s="1460">
        <f t="shared" si="0"/>
        <v>0</v>
      </c>
      <c r="T8" s="1459" t="s">
        <v>8</v>
      </c>
      <c r="U8" s="1460">
        <f t="shared" si="1"/>
        <v>0</v>
      </c>
      <c r="V8" s="1459" t="s">
        <v>8</v>
      </c>
      <c r="W8" s="1460">
        <f t="shared" si="2"/>
        <v>0</v>
      </c>
      <c r="X8" s="1461"/>
      <c r="Y8" s="3654" t="s">
        <v>516</v>
      </c>
      <c r="Z8" s="3655"/>
      <c r="AA8" s="1462" t="e">
        <f t="shared" ref="AA8:AA40" si="3">D8/F8</f>
        <v>#DIV/0!</v>
      </c>
      <c r="AB8" s="1462" t="e">
        <f t="shared" ref="AB8:AB40" si="4">D8/H8</f>
        <v>#DIV/0!</v>
      </c>
      <c r="AC8" s="1462" t="e">
        <f t="shared" ref="AC8:AC40" si="5">D8/J8</f>
        <v>#DIV/0!</v>
      </c>
    </row>
    <row r="9" spans="1:29" s="1167" customFormat="1" ht="15">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62" t="s">
        <v>518</v>
      </c>
      <c r="Q9" s="1098" t="str">
        <f t="shared" ref="Q9:Q15" si="6">B9</f>
        <v>用途</v>
      </c>
      <c r="R9" s="1459" t="s">
        <v>8</v>
      </c>
      <c r="S9" s="1460">
        <f t="shared" si="0"/>
        <v>100</v>
      </c>
      <c r="T9" s="1459" t="s">
        <v>8</v>
      </c>
      <c r="U9" s="1460">
        <f t="shared" si="1"/>
        <v>100</v>
      </c>
      <c r="V9" s="1459" t="s">
        <v>8</v>
      </c>
      <c r="W9" s="1460">
        <f t="shared" si="2"/>
        <v>100</v>
      </c>
      <c r="X9" s="1461"/>
      <c r="Y9" s="361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62"/>
      <c r="Q10" s="1098" t="str">
        <f t="shared" si="6"/>
        <v>土地使用年限（年）</v>
      </c>
      <c r="R10" s="1459" t="s">
        <v>8</v>
      </c>
      <c r="S10" s="1460">
        <f t="shared" si="0"/>
        <v>100</v>
      </c>
      <c r="T10" s="1459" t="s">
        <v>8</v>
      </c>
      <c r="U10" s="1460">
        <f t="shared" si="1"/>
        <v>100</v>
      </c>
      <c r="V10" s="1459" t="s">
        <v>8</v>
      </c>
      <c r="W10" s="1460">
        <f t="shared" si="2"/>
        <v>100</v>
      </c>
      <c r="X10" s="1461"/>
      <c r="Y10" s="361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62"/>
      <c r="Q11" s="1098" t="str">
        <f t="shared" si="6"/>
        <v>容积率</v>
      </c>
      <c r="R11" s="1459" t="s">
        <v>8</v>
      </c>
      <c r="S11" s="1460" t="e">
        <f t="shared" si="0"/>
        <v>#N/A</v>
      </c>
      <c r="T11" s="1459" t="s">
        <v>8</v>
      </c>
      <c r="U11" s="1460" t="e">
        <f t="shared" si="1"/>
        <v>#N/A</v>
      </c>
      <c r="V11" s="1459" t="s">
        <v>8</v>
      </c>
      <c r="W11" s="1460" t="e">
        <f t="shared" si="2"/>
        <v>#N/A</v>
      </c>
      <c r="X11" s="1461"/>
      <c r="Y11" s="361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62"/>
      <c r="Q12" s="1098">
        <f t="shared" si="6"/>
        <v>111</v>
      </c>
      <c r="R12" s="1459" t="s">
        <v>8</v>
      </c>
      <c r="S12" s="1460">
        <f t="shared" si="0"/>
        <v>100</v>
      </c>
      <c r="T12" s="1459" t="s">
        <v>8</v>
      </c>
      <c r="U12" s="1460">
        <f t="shared" si="1"/>
        <v>100</v>
      </c>
      <c r="V12" s="1459" t="s">
        <v>8</v>
      </c>
      <c r="W12" s="1460">
        <f t="shared" si="2"/>
        <v>100</v>
      </c>
      <c r="X12" s="1461"/>
      <c r="Y12" s="3610"/>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62"/>
      <c r="Q13" s="1098">
        <f t="shared" si="6"/>
        <v>111</v>
      </c>
      <c r="R13" s="1459" t="s">
        <v>8</v>
      </c>
      <c r="S13" s="1460">
        <f t="shared" si="0"/>
        <v>100</v>
      </c>
      <c r="T13" s="1459" t="s">
        <v>8</v>
      </c>
      <c r="U13" s="1460">
        <f t="shared" si="1"/>
        <v>100</v>
      </c>
      <c r="V13" s="1459" t="s">
        <v>8</v>
      </c>
      <c r="W13" s="1460">
        <f t="shared" si="2"/>
        <v>100</v>
      </c>
      <c r="X13" s="1461"/>
      <c r="Y13" s="3610"/>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62"/>
      <c r="Q14" s="1098">
        <f t="shared" si="6"/>
        <v>111</v>
      </c>
      <c r="R14" s="1459" t="s">
        <v>8</v>
      </c>
      <c r="S14" s="1460">
        <f t="shared" si="0"/>
        <v>100</v>
      </c>
      <c r="T14" s="1459" t="s">
        <v>8</v>
      </c>
      <c r="U14" s="1460">
        <f t="shared" si="1"/>
        <v>100</v>
      </c>
      <c r="V14" s="1459" t="s">
        <v>8</v>
      </c>
      <c r="W14" s="1460">
        <f t="shared" si="2"/>
        <v>100</v>
      </c>
      <c r="X14" s="1461"/>
      <c r="Y14" s="3610"/>
      <c r="Z14" s="1097">
        <f t="shared" si="7"/>
        <v>111</v>
      </c>
      <c r="AA14" s="1462">
        <f t="shared" si="3"/>
        <v>1</v>
      </c>
      <c r="AB14" s="1462">
        <f t="shared" si="4"/>
        <v>1</v>
      </c>
      <c r="AC14" s="1462">
        <f t="shared" si="5"/>
        <v>1</v>
      </c>
    </row>
    <row r="15" spans="1:29" ht="57">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64" t="s">
        <v>523</v>
      </c>
      <c r="Q15" s="1463" t="str">
        <f t="shared" si="6"/>
        <v>产业集聚程度</v>
      </c>
      <c r="R15" s="1464" t="s">
        <v>8</v>
      </c>
      <c r="S15" s="1465">
        <f t="shared" si="0"/>
        <v>100</v>
      </c>
      <c r="T15" s="1464" t="s">
        <v>8</v>
      </c>
      <c r="U15" s="1465">
        <f t="shared" si="1"/>
        <v>100</v>
      </c>
      <c r="V15" s="1464" t="s">
        <v>8</v>
      </c>
      <c r="W15" s="1465">
        <f t="shared" si="2"/>
        <v>100</v>
      </c>
      <c r="X15" s="1458"/>
      <c r="Y15" s="3664"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5"/>
      <c r="Q16" s="1463"/>
      <c r="R16" s="1464"/>
      <c r="S16" s="1465"/>
      <c r="T16" s="1464"/>
      <c r="U16" s="1465"/>
      <c r="V16" s="1464"/>
      <c r="W16" s="1465"/>
      <c r="X16" s="1458"/>
      <c r="Y16" s="3665"/>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65"/>
      <c r="Q17" s="1463" t="str">
        <f>B17</f>
        <v>交通便捷度</v>
      </c>
      <c r="R17" s="1464" t="s">
        <v>8</v>
      </c>
      <c r="S17" s="1465">
        <f>F17</f>
        <v>100</v>
      </c>
      <c r="T17" s="1464" t="s">
        <v>8</v>
      </c>
      <c r="U17" s="1465">
        <f>H17</f>
        <v>100</v>
      </c>
      <c r="V17" s="1464" t="s">
        <v>8</v>
      </c>
      <c r="W17" s="1465">
        <f>J17</f>
        <v>100</v>
      </c>
      <c r="X17" s="1458"/>
      <c r="Y17" s="366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5"/>
      <c r="Q18" s="1463"/>
      <c r="R18" s="1464"/>
      <c r="S18" s="1465"/>
      <c r="T18" s="1464"/>
      <c r="U18" s="1465"/>
      <c r="V18" s="1464"/>
      <c r="W18" s="1465"/>
      <c r="X18" s="1458"/>
      <c r="Y18" s="3665"/>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65"/>
      <c r="Q19" s="1463" t="str">
        <f>B19</f>
        <v>公共配套设施</v>
      </c>
      <c r="R19" s="1464" t="s">
        <v>8</v>
      </c>
      <c r="S19" s="1465">
        <f>F19</f>
        <v>100</v>
      </c>
      <c r="T19" s="1464" t="s">
        <v>8</v>
      </c>
      <c r="U19" s="1465">
        <f>H19</f>
        <v>100</v>
      </c>
      <c r="V19" s="1464" t="s">
        <v>8</v>
      </c>
      <c r="W19" s="1465">
        <f>J19</f>
        <v>100</v>
      </c>
      <c r="X19" s="1458"/>
      <c r="Y19" s="3665"/>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65"/>
      <c r="Q20" s="1463"/>
      <c r="R20" s="1464"/>
      <c r="S20" s="1465"/>
      <c r="T20" s="1464"/>
      <c r="U20" s="1465"/>
      <c r="V20" s="1464"/>
      <c r="W20" s="1465"/>
      <c r="X20" s="1458"/>
      <c r="Y20" s="3665"/>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65"/>
      <c r="Q21" s="2352" t="str">
        <f>B21</f>
        <v>基础设施水平</v>
      </c>
      <c r="R21" s="1464" t="s">
        <v>8</v>
      </c>
      <c r="S21" s="1465">
        <f>F21</f>
        <v>100</v>
      </c>
      <c r="T21" s="1464" t="s">
        <v>8</v>
      </c>
      <c r="U21" s="1465">
        <f>H21</f>
        <v>100</v>
      </c>
      <c r="V21" s="1464" t="s">
        <v>8</v>
      </c>
      <c r="W21" s="1465">
        <f>J21</f>
        <v>100</v>
      </c>
      <c r="X21" s="2354"/>
      <c r="Y21" s="3665"/>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65"/>
      <c r="Q22" s="2352"/>
      <c r="R22" s="1464"/>
      <c r="S22" s="1465"/>
      <c r="T22" s="1464"/>
      <c r="U22" s="1465"/>
      <c r="V22" s="1464"/>
      <c r="W22" s="1465"/>
      <c r="X22" s="2354"/>
      <c r="Y22" s="3665"/>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65"/>
      <c r="Q23" s="1463" t="str">
        <f>B23</f>
        <v>环境质量</v>
      </c>
      <c r="R23" s="1464" t="s">
        <v>8</v>
      </c>
      <c r="S23" s="1465">
        <f>F23</f>
        <v>100</v>
      </c>
      <c r="T23" s="1464" t="s">
        <v>8</v>
      </c>
      <c r="U23" s="1465">
        <f>H23</f>
        <v>100</v>
      </c>
      <c r="V23" s="1464" t="s">
        <v>8</v>
      </c>
      <c r="W23" s="1465">
        <f>J23</f>
        <v>100</v>
      </c>
      <c r="X23" s="1458"/>
      <c r="Y23" s="3665"/>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65"/>
      <c r="Q24" s="1463"/>
      <c r="R24" s="1464"/>
      <c r="S24" s="1465"/>
      <c r="T24" s="1464"/>
      <c r="U24" s="1465"/>
      <c r="V24" s="1464"/>
      <c r="W24" s="1465"/>
      <c r="X24" s="1458"/>
      <c r="Y24" s="3665"/>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65"/>
      <c r="Q25" s="1463">
        <f>B25</f>
        <v>111</v>
      </c>
      <c r="R25" s="1464" t="s">
        <v>8</v>
      </c>
      <c r="S25" s="1465">
        <f>F25</f>
        <v>100</v>
      </c>
      <c r="T25" s="1464" t="s">
        <v>8</v>
      </c>
      <c r="U25" s="1465">
        <f>H25</f>
        <v>100</v>
      </c>
      <c r="V25" s="1464" t="s">
        <v>8</v>
      </c>
      <c r="W25" s="1465">
        <f>J25</f>
        <v>100</v>
      </c>
      <c r="X25" s="1458"/>
      <c r="Y25" s="3665"/>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65"/>
      <c r="Q26" s="1463">
        <f t="shared" ref="Q26:Q40" si="11">B26</f>
        <v>111</v>
      </c>
      <c r="R26" s="1464" t="s">
        <v>8</v>
      </c>
      <c r="S26" s="1465">
        <f>F26</f>
        <v>100</v>
      </c>
      <c r="T26" s="1464" t="s">
        <v>8</v>
      </c>
      <c r="U26" s="1465">
        <f>H26</f>
        <v>100</v>
      </c>
      <c r="V26" s="1464" t="s">
        <v>8</v>
      </c>
      <c r="W26" s="1465">
        <f>J26</f>
        <v>100</v>
      </c>
      <c r="X26" s="1458"/>
      <c r="Y26" s="3665"/>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65"/>
      <c r="Q27" s="1098">
        <f t="shared" si="11"/>
        <v>111</v>
      </c>
      <c r="R27" s="1459" t="s">
        <v>8</v>
      </c>
      <c r="S27" s="1460">
        <f>F27</f>
        <v>100</v>
      </c>
      <c r="T27" s="1459" t="s">
        <v>8</v>
      </c>
      <c r="U27" s="1460">
        <f>H27</f>
        <v>100</v>
      </c>
      <c r="V27" s="1459" t="s">
        <v>8</v>
      </c>
      <c r="W27" s="1460">
        <f>J27</f>
        <v>100</v>
      </c>
      <c r="X27" s="1461"/>
      <c r="Y27" s="3665"/>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65"/>
      <c r="Q28" s="1463">
        <f t="shared" si="11"/>
        <v>111</v>
      </c>
      <c r="R28" s="1464" t="s">
        <v>8</v>
      </c>
      <c r="S28" s="1465">
        <f t="shared" ref="S28:S40" si="12">F28</f>
        <v>100</v>
      </c>
      <c r="T28" s="1464" t="s">
        <v>8</v>
      </c>
      <c r="U28" s="1465">
        <f t="shared" ref="U28:U40" si="13">H28</f>
        <v>100</v>
      </c>
      <c r="V28" s="1464" t="s">
        <v>8</v>
      </c>
      <c r="W28" s="1465">
        <f t="shared" ref="W28:W40" si="14">J28</f>
        <v>100</v>
      </c>
      <c r="X28" s="1458"/>
      <c r="Y28" s="3665"/>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66" t="s">
        <v>533</v>
      </c>
      <c r="Q29" s="1463" t="str">
        <f t="shared" si="11"/>
        <v>建筑类型</v>
      </c>
      <c r="R29" s="1464" t="s">
        <v>8</v>
      </c>
      <c r="S29" s="1465">
        <f t="shared" si="12"/>
        <v>100</v>
      </c>
      <c r="T29" s="1464" t="s">
        <v>8</v>
      </c>
      <c r="U29" s="1465">
        <f t="shared" si="13"/>
        <v>100</v>
      </c>
      <c r="V29" s="1464" t="s">
        <v>8</v>
      </c>
      <c r="W29" s="1465">
        <f t="shared" si="14"/>
        <v>100</v>
      </c>
      <c r="X29" s="1458"/>
      <c r="Y29" s="3667"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67"/>
      <c r="Q30" s="1492" t="str">
        <f t="shared" si="11"/>
        <v>项目建筑规模</v>
      </c>
      <c r="R30" s="1468" t="s">
        <v>8</v>
      </c>
      <c r="S30" s="1469" t="e">
        <f t="shared" si="12"/>
        <v>#N/A</v>
      </c>
      <c r="T30" s="1468" t="s">
        <v>8</v>
      </c>
      <c r="U30" s="1469" t="e">
        <f t="shared" si="13"/>
        <v>#N/A</v>
      </c>
      <c r="V30" s="1468" t="s">
        <v>8</v>
      </c>
      <c r="W30" s="1469" t="e">
        <f t="shared" si="14"/>
        <v>#N/A</v>
      </c>
      <c r="X30" s="1470"/>
      <c r="Y30" s="3667"/>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67"/>
      <c r="Q31" s="1463" t="str">
        <f t="shared" si="11"/>
        <v>建筑结构</v>
      </c>
      <c r="R31" s="1464" t="s">
        <v>8</v>
      </c>
      <c r="S31" s="1465">
        <f t="shared" si="12"/>
        <v>100</v>
      </c>
      <c r="T31" s="1464" t="s">
        <v>8</v>
      </c>
      <c r="U31" s="1465">
        <f t="shared" si="13"/>
        <v>100</v>
      </c>
      <c r="V31" s="1464" t="s">
        <v>8</v>
      </c>
      <c r="W31" s="1465">
        <f t="shared" si="14"/>
        <v>100</v>
      </c>
      <c r="X31" s="1458"/>
      <c r="Y31" s="3667"/>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67"/>
      <c r="Q32" s="1463" t="str">
        <f t="shared" si="11"/>
        <v>公共部分装修</v>
      </c>
      <c r="R32" s="1464" t="s">
        <v>8</v>
      </c>
      <c r="S32" s="1465">
        <f t="shared" si="12"/>
        <v>100</v>
      </c>
      <c r="T32" s="1464" t="s">
        <v>8</v>
      </c>
      <c r="U32" s="1465">
        <f t="shared" si="13"/>
        <v>100</v>
      </c>
      <c r="V32" s="1464" t="s">
        <v>8</v>
      </c>
      <c r="W32" s="1465">
        <f t="shared" si="14"/>
        <v>100</v>
      </c>
      <c r="X32" s="1458"/>
      <c r="Y32" s="3667"/>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67"/>
      <c r="Q33" s="1463" t="str">
        <f t="shared" si="11"/>
        <v>成新度</v>
      </c>
      <c r="R33" s="1464" t="s">
        <v>8</v>
      </c>
      <c r="S33" s="1465" t="e">
        <f t="shared" si="12"/>
        <v>#N/A</v>
      </c>
      <c r="T33" s="1464" t="s">
        <v>8</v>
      </c>
      <c r="U33" s="1465" t="e">
        <f t="shared" si="13"/>
        <v>#N/A</v>
      </c>
      <c r="V33" s="1464" t="s">
        <v>8</v>
      </c>
      <c r="W33" s="1465" t="e">
        <f t="shared" si="14"/>
        <v>#N/A</v>
      </c>
      <c r="X33" s="1458"/>
      <c r="Y33" s="3667"/>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67"/>
      <c r="Q34" s="1098" t="str">
        <f t="shared" si="11"/>
        <v>物业管理</v>
      </c>
      <c r="R34" s="1459" t="s">
        <v>8</v>
      </c>
      <c r="S34" s="1460">
        <f t="shared" si="12"/>
        <v>100</v>
      </c>
      <c r="T34" s="1459" t="s">
        <v>8</v>
      </c>
      <c r="U34" s="1460">
        <f t="shared" si="13"/>
        <v>100</v>
      </c>
      <c r="V34" s="1459" t="s">
        <v>8</v>
      </c>
      <c r="W34" s="1460">
        <f t="shared" si="14"/>
        <v>100</v>
      </c>
      <c r="X34" s="1461"/>
      <c r="Y34" s="3667"/>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67" t="s">
        <v>533</v>
      </c>
      <c r="Q35" s="1463" t="str">
        <f t="shared" si="11"/>
        <v>市政基础设施</v>
      </c>
      <c r="R35" s="1464" t="s">
        <v>8</v>
      </c>
      <c r="S35" s="1465">
        <f t="shared" si="12"/>
        <v>100</v>
      </c>
      <c r="T35" s="1464" t="s">
        <v>8</v>
      </c>
      <c r="U35" s="1465">
        <f t="shared" si="13"/>
        <v>100</v>
      </c>
      <c r="V35" s="1464" t="s">
        <v>8</v>
      </c>
      <c r="W35" s="1465">
        <f t="shared" si="14"/>
        <v>100</v>
      </c>
      <c r="X35" s="1458"/>
      <c r="Y35" s="3667"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67"/>
      <c r="Q36" s="1463" t="str">
        <f t="shared" si="11"/>
        <v>内部装修</v>
      </c>
      <c r="R36" s="1464" t="s">
        <v>8</v>
      </c>
      <c r="S36" s="1465">
        <f t="shared" si="12"/>
        <v>100</v>
      </c>
      <c r="T36" s="1464" t="s">
        <v>8</v>
      </c>
      <c r="U36" s="1465">
        <f t="shared" si="13"/>
        <v>100</v>
      </c>
      <c r="V36" s="1464" t="s">
        <v>8</v>
      </c>
      <c r="W36" s="1465">
        <f t="shared" si="14"/>
        <v>100</v>
      </c>
      <c r="X36" s="1458"/>
      <c r="Y36" s="3667"/>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67"/>
      <c r="Q37" s="1463" t="str">
        <f t="shared" si="11"/>
        <v>内部装修状况</v>
      </c>
      <c r="R37" s="1464" t="s">
        <v>8</v>
      </c>
      <c r="S37" s="1465">
        <f t="shared" si="12"/>
        <v>100</v>
      </c>
      <c r="T37" s="1464" t="s">
        <v>8</v>
      </c>
      <c r="U37" s="1465">
        <f t="shared" si="13"/>
        <v>100</v>
      </c>
      <c r="V37" s="1464" t="s">
        <v>8</v>
      </c>
      <c r="W37" s="1465">
        <f t="shared" si="14"/>
        <v>100</v>
      </c>
      <c r="X37" s="1458"/>
      <c r="Y37" s="3667"/>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67"/>
      <c r="Q38" s="1492">
        <f t="shared" si="11"/>
        <v>111</v>
      </c>
      <c r="R38" s="1468" t="s">
        <v>8</v>
      </c>
      <c r="S38" s="1469">
        <f t="shared" si="12"/>
        <v>100</v>
      </c>
      <c r="T38" s="1468" t="s">
        <v>8</v>
      </c>
      <c r="U38" s="1469">
        <f t="shared" si="13"/>
        <v>100</v>
      </c>
      <c r="V38" s="1468" t="s">
        <v>8</v>
      </c>
      <c r="W38" s="1469">
        <f t="shared" si="14"/>
        <v>100</v>
      </c>
      <c r="X38" s="1470"/>
      <c r="Y38" s="3667"/>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67"/>
      <c r="Q39" s="1463">
        <f t="shared" si="11"/>
        <v>111</v>
      </c>
      <c r="R39" s="1464" t="s">
        <v>8</v>
      </c>
      <c r="S39" s="1465">
        <f t="shared" si="12"/>
        <v>100</v>
      </c>
      <c r="T39" s="1464" t="s">
        <v>8</v>
      </c>
      <c r="U39" s="1465">
        <f t="shared" si="13"/>
        <v>100</v>
      </c>
      <c r="V39" s="1464" t="s">
        <v>8</v>
      </c>
      <c r="W39" s="1465">
        <f t="shared" si="14"/>
        <v>100</v>
      </c>
      <c r="X39" s="1458"/>
      <c r="Y39" s="3667"/>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77"/>
      <c r="Q40" s="1463">
        <f t="shared" si="11"/>
        <v>111</v>
      </c>
      <c r="R40" s="1464" t="s">
        <v>8</v>
      </c>
      <c r="S40" s="1465">
        <f t="shared" si="12"/>
        <v>100</v>
      </c>
      <c r="T40" s="1464" t="s">
        <v>8</v>
      </c>
      <c r="U40" s="1465">
        <f t="shared" si="13"/>
        <v>100</v>
      </c>
      <c r="V40" s="1464" t="s">
        <v>8</v>
      </c>
      <c r="W40" s="1465">
        <f t="shared" si="14"/>
        <v>100</v>
      </c>
      <c r="X40" s="1458"/>
      <c r="Y40" s="3777"/>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62" t="str">
        <f>A41</f>
        <v>成交单价（元/平方米）</v>
      </c>
      <c r="Q41" s="3662"/>
      <c r="R41" s="3776">
        <f>E41</f>
        <v>0</v>
      </c>
      <c r="S41" s="3776"/>
      <c r="T41" s="3776">
        <f>G41</f>
        <v>0</v>
      </c>
      <c r="U41" s="3776"/>
      <c r="V41" s="3776">
        <f>I41</f>
        <v>0</v>
      </c>
      <c r="W41" s="3776"/>
      <c r="X41" s="1453"/>
      <c r="Y41" s="1472"/>
      <c r="Z41" s="1453"/>
      <c r="AA41" s="1453"/>
      <c r="AB41" s="1453"/>
      <c r="AC41" s="1453"/>
    </row>
    <row r="42" spans="1:29" ht="15.75" thickBot="1">
      <c r="A42" s="592" t="s">
        <v>2477</v>
      </c>
      <c r="B42" s="860"/>
      <c r="C42" s="2399" t="e">
        <f>R43</f>
        <v>#DIV/0!</v>
      </c>
      <c r="D42" s="2923" t="s">
        <v>2702</v>
      </c>
      <c r="E42" s="2400" t="e">
        <f>R42</f>
        <v>#DIV/0!</v>
      </c>
      <c r="F42" s="2924"/>
      <c r="G42" s="2399" t="e">
        <f>T42</f>
        <v>#DIV/0!</v>
      </c>
      <c r="H42" s="2924"/>
      <c r="I42" s="2400" t="e">
        <f>V42</f>
        <v>#DIV/0!</v>
      </c>
      <c r="J42" s="2924"/>
      <c r="K42" s="2932">
        <f>F42+H42+J42</f>
        <v>0</v>
      </c>
      <c r="L42" s="1981"/>
      <c r="M42" s="1982"/>
      <c r="N42" s="1971"/>
      <c r="O42" s="1982"/>
      <c r="P42" s="3662" t="str">
        <f>A42</f>
        <v>比较价格（元/平方米）</v>
      </c>
      <c r="Q42" s="3662"/>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68" t="str">
        <f>A43</f>
        <v>估价对象XX用房的比较价格（楼面单价，元/平方米）</v>
      </c>
      <c r="Q43" s="3669"/>
      <c r="R43" s="3775" t="e">
        <f>IF(F1="售价",ROUND(IF(D42="简单平均",AVERAGE(R42:V42),R42*F42+T42*H42+V42*J42),0),ROUND(IF(D42="简单平均",AVERAGE(R42:V42),R42*F42+T42*H42+V42*J42),1))</f>
        <v>#DIV/0!</v>
      </c>
      <c r="S43" s="3775"/>
      <c r="T43" s="3775"/>
      <c r="U43" s="3775"/>
      <c r="V43" s="3775"/>
      <c r="W43" s="3775"/>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2022-9</v>
      </c>
      <c r="D52" s="2444">
        <f>EDATE(C52,-1)</f>
        <v>44774</v>
      </c>
      <c r="E52" s="2444">
        <f t="shared" ref="E52:O52" si="16">EDATE(D52,-1)</f>
        <v>44743</v>
      </c>
      <c r="F52" s="2444">
        <f t="shared" si="16"/>
        <v>44713</v>
      </c>
      <c r="G52" s="2444">
        <f t="shared" si="16"/>
        <v>44682</v>
      </c>
      <c r="H52" s="2444">
        <f t="shared" si="16"/>
        <v>44652</v>
      </c>
      <c r="I52" s="2444">
        <f t="shared" si="16"/>
        <v>44621</v>
      </c>
      <c r="J52" s="2444">
        <f t="shared" si="16"/>
        <v>44593</v>
      </c>
      <c r="K52" s="2444">
        <f t="shared" si="16"/>
        <v>44562</v>
      </c>
      <c r="L52" s="2444">
        <f t="shared" si="16"/>
        <v>44531</v>
      </c>
      <c r="M52" s="2444">
        <f t="shared" si="16"/>
        <v>44501</v>
      </c>
      <c r="N52" s="2444">
        <f t="shared" si="16"/>
        <v>44470</v>
      </c>
      <c r="O52" s="2444">
        <f t="shared" si="16"/>
        <v>44440</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70" t="s">
        <v>780</v>
      </c>
      <c r="D4" s="3671"/>
      <c r="E4" s="3670" t="s">
        <v>781</v>
      </c>
      <c r="F4" s="3671"/>
      <c r="G4" s="3670" t="s">
        <v>782</v>
      </c>
      <c r="H4" s="3671"/>
      <c r="I4" s="3670" t="s">
        <v>783</v>
      </c>
      <c r="J4" s="3671"/>
      <c r="K4" s="491" t="s">
        <v>784</v>
      </c>
      <c r="L4" s="1970"/>
      <c r="M4" s="1971"/>
      <c r="N4" s="1971"/>
      <c r="O4" s="1971"/>
      <c r="P4" s="3672" t="s">
        <v>785</v>
      </c>
      <c r="Q4" s="3673"/>
      <c r="R4" s="3656" t="s">
        <v>781</v>
      </c>
      <c r="S4" s="3657"/>
      <c r="T4" s="3656" t="s">
        <v>782</v>
      </c>
      <c r="U4" s="3657"/>
      <c r="V4" s="3678" t="s">
        <v>783</v>
      </c>
      <c r="W4" s="3678"/>
      <c r="X4" s="1458"/>
      <c r="Y4" s="3656" t="s">
        <v>785</v>
      </c>
      <c r="Z4" s="3657"/>
      <c r="AA4" s="3651" t="s">
        <v>781</v>
      </c>
      <c r="AB4" s="3652" t="s">
        <v>782</v>
      </c>
      <c r="AC4" s="3651" t="s">
        <v>783</v>
      </c>
    </row>
    <row r="5" spans="1:29" ht="15">
      <c r="A5" s="492"/>
      <c r="B5" s="493"/>
      <c r="C5" s="3681" t="s">
        <v>2631</v>
      </c>
      <c r="D5" s="3682"/>
      <c r="E5" s="3681" t="s">
        <v>2632</v>
      </c>
      <c r="F5" s="3682"/>
      <c r="G5" s="3681" t="s">
        <v>2633</v>
      </c>
      <c r="H5" s="3682"/>
      <c r="I5" s="3681" t="s">
        <v>2634</v>
      </c>
      <c r="J5" s="3682"/>
      <c r="K5" s="491"/>
      <c r="L5" s="1970"/>
      <c r="M5" s="1971"/>
      <c r="N5" s="1971"/>
      <c r="O5" s="1971"/>
      <c r="P5" s="3674"/>
      <c r="Q5" s="3675"/>
      <c r="R5" s="3658"/>
      <c r="S5" s="3659"/>
      <c r="T5" s="3658"/>
      <c r="U5" s="3659"/>
      <c r="V5" s="3678"/>
      <c r="W5" s="3678"/>
      <c r="X5" s="1458"/>
      <c r="Y5" s="3658"/>
      <c r="Z5" s="3659"/>
      <c r="AA5" s="3652"/>
      <c r="AB5" s="3652"/>
      <c r="AC5" s="3652"/>
    </row>
    <row r="6" spans="1:29" ht="15.75" thickBot="1">
      <c r="A6" s="494"/>
      <c r="B6" s="495"/>
      <c r="C6" s="3679" t="s">
        <v>2635</v>
      </c>
      <c r="D6" s="3680"/>
      <c r="E6" s="3683" t="s">
        <v>2635</v>
      </c>
      <c r="F6" s="3684"/>
      <c r="G6" s="3679" t="s">
        <v>2635</v>
      </c>
      <c r="H6" s="3680"/>
      <c r="I6" s="3679" t="s">
        <v>2635</v>
      </c>
      <c r="J6" s="3680"/>
      <c r="K6" s="491" t="s">
        <v>511</v>
      </c>
      <c r="L6" s="1970"/>
      <c r="M6" s="1971"/>
      <c r="N6" s="1971"/>
      <c r="O6" s="1971"/>
      <c r="P6" s="3676"/>
      <c r="Q6" s="3677"/>
      <c r="R6" s="3658"/>
      <c r="S6" s="3659"/>
      <c r="T6" s="3660"/>
      <c r="U6" s="3661"/>
      <c r="V6" s="3678"/>
      <c r="W6" s="3678"/>
      <c r="X6" s="1458"/>
      <c r="Y6" s="3660"/>
      <c r="Z6" s="3661"/>
      <c r="AA6" s="3653"/>
      <c r="AB6" s="3653"/>
      <c r="AC6" s="3653"/>
    </row>
    <row r="7" spans="1:29" s="1167" customFormat="1" ht="15.75" thickBot="1">
      <c r="A7" s="2552"/>
      <c r="B7" s="2559" t="s">
        <v>512</v>
      </c>
      <c r="C7" s="496">
        <f>'数据-取费表'!B2</f>
        <v>44819</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54" t="s">
        <v>513</v>
      </c>
      <c r="Q7" s="3663"/>
      <c r="R7" s="1459" t="s">
        <v>8</v>
      </c>
      <c r="S7" s="1460">
        <f t="shared" ref="S7:S14" si="0">F7</f>
        <v>0</v>
      </c>
      <c r="T7" s="1459" t="s">
        <v>8</v>
      </c>
      <c r="U7" s="1460">
        <f t="shared" ref="U7:U14" si="1">H7</f>
        <v>0</v>
      </c>
      <c r="V7" s="1459" t="s">
        <v>8</v>
      </c>
      <c r="W7" s="1460">
        <f t="shared" ref="W7:W14" si="2">J7</f>
        <v>0</v>
      </c>
      <c r="X7" s="1461"/>
      <c r="Y7" s="3654" t="s">
        <v>513</v>
      </c>
      <c r="Z7" s="3655"/>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54" t="s">
        <v>516</v>
      </c>
      <c r="Q8" s="3655"/>
      <c r="R8" s="1459" t="s">
        <v>8</v>
      </c>
      <c r="S8" s="1460">
        <f t="shared" si="0"/>
        <v>0</v>
      </c>
      <c r="T8" s="1459" t="s">
        <v>8</v>
      </c>
      <c r="U8" s="1460">
        <f t="shared" si="1"/>
        <v>0</v>
      </c>
      <c r="V8" s="1459" t="s">
        <v>8</v>
      </c>
      <c r="W8" s="1460">
        <f t="shared" si="2"/>
        <v>0</v>
      </c>
      <c r="X8" s="1461"/>
      <c r="Y8" s="3654" t="s">
        <v>516</v>
      </c>
      <c r="Z8" s="3655"/>
      <c r="AA8" s="1462" t="e">
        <f t="shared" ref="AA8:AA36" si="3">D8/F8</f>
        <v>#DIV/0!</v>
      </c>
      <c r="AB8" s="1462" t="e">
        <f t="shared" ref="AB8:AB36" si="4">D8/H8</f>
        <v>#DIV/0!</v>
      </c>
      <c r="AC8" s="1462" t="e">
        <f t="shared" ref="AC8:AC36" si="5">D8/J8</f>
        <v>#DIV/0!</v>
      </c>
    </row>
    <row r="9" spans="1:29" s="1167" customFormat="1" ht="15">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62" t="s">
        <v>518</v>
      </c>
      <c r="Q9" s="1098" t="str">
        <f t="shared" ref="Q9:Q14" si="6">B9</f>
        <v>用途</v>
      </c>
      <c r="R9" s="1459" t="s">
        <v>8</v>
      </c>
      <c r="S9" s="1460">
        <f t="shared" si="0"/>
        <v>100</v>
      </c>
      <c r="T9" s="1459" t="s">
        <v>8</v>
      </c>
      <c r="U9" s="1460">
        <f t="shared" si="1"/>
        <v>100</v>
      </c>
      <c r="V9" s="1459" t="s">
        <v>8</v>
      </c>
      <c r="W9" s="1460">
        <f t="shared" si="2"/>
        <v>100</v>
      </c>
      <c r="X9" s="1461"/>
      <c r="Y9" s="3610"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62"/>
      <c r="Q10" s="1098" t="str">
        <f t="shared" si="6"/>
        <v>土地使用年限（年）</v>
      </c>
      <c r="R10" s="1459" t="s">
        <v>8</v>
      </c>
      <c r="S10" s="1460">
        <f t="shared" si="0"/>
        <v>100</v>
      </c>
      <c r="T10" s="1459" t="s">
        <v>8</v>
      </c>
      <c r="U10" s="1460">
        <f t="shared" si="1"/>
        <v>100</v>
      </c>
      <c r="V10" s="1459" t="s">
        <v>8</v>
      </c>
      <c r="W10" s="1460">
        <f t="shared" si="2"/>
        <v>100</v>
      </c>
      <c r="X10" s="1461"/>
      <c r="Y10" s="3610"/>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62"/>
      <c r="Q11" s="1098">
        <f t="shared" si="6"/>
        <v>111</v>
      </c>
      <c r="R11" s="1459" t="s">
        <v>8</v>
      </c>
      <c r="S11" s="1460">
        <f t="shared" si="0"/>
        <v>100</v>
      </c>
      <c r="T11" s="1459" t="s">
        <v>8</v>
      </c>
      <c r="U11" s="1460">
        <f t="shared" si="1"/>
        <v>100</v>
      </c>
      <c r="V11" s="1459" t="s">
        <v>8</v>
      </c>
      <c r="W11" s="1460">
        <f t="shared" si="2"/>
        <v>100</v>
      </c>
      <c r="X11" s="1461"/>
      <c r="Y11" s="3610"/>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62"/>
      <c r="Q12" s="1098">
        <f t="shared" si="6"/>
        <v>111</v>
      </c>
      <c r="R12" s="1459" t="s">
        <v>8</v>
      </c>
      <c r="S12" s="1460">
        <f t="shared" si="0"/>
        <v>100</v>
      </c>
      <c r="T12" s="1459" t="s">
        <v>8</v>
      </c>
      <c r="U12" s="1460">
        <f t="shared" si="1"/>
        <v>100</v>
      </c>
      <c r="V12" s="1459" t="s">
        <v>8</v>
      </c>
      <c r="W12" s="1460">
        <f t="shared" si="2"/>
        <v>100</v>
      </c>
      <c r="X12" s="1461"/>
      <c r="Y12" s="3610"/>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62"/>
      <c r="Q13" s="1098">
        <f t="shared" si="6"/>
        <v>111</v>
      </c>
      <c r="R13" s="1459" t="s">
        <v>8</v>
      </c>
      <c r="S13" s="1460">
        <f t="shared" si="0"/>
        <v>100</v>
      </c>
      <c r="T13" s="1459" t="s">
        <v>8</v>
      </c>
      <c r="U13" s="1460">
        <f t="shared" si="1"/>
        <v>100</v>
      </c>
      <c r="V13" s="1459" t="s">
        <v>8</v>
      </c>
      <c r="W13" s="1460">
        <f t="shared" si="2"/>
        <v>100</v>
      </c>
      <c r="X13" s="1461"/>
      <c r="Y13" s="3610"/>
      <c r="Z13" s="1097">
        <f t="shared" si="7"/>
        <v>111</v>
      </c>
      <c r="AA13" s="1462">
        <f t="shared" si="3"/>
        <v>1</v>
      </c>
      <c r="AB13" s="1462">
        <f t="shared" si="4"/>
        <v>1</v>
      </c>
      <c r="AC13" s="1462">
        <f t="shared" si="5"/>
        <v>1</v>
      </c>
    </row>
    <row r="14" spans="1:29" ht="85.5">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64" t="s">
        <v>523</v>
      </c>
      <c r="Q14" s="1463" t="str">
        <f t="shared" si="6"/>
        <v>交通便捷度</v>
      </c>
      <c r="R14" s="1464" t="s">
        <v>8</v>
      </c>
      <c r="S14" s="1465">
        <f t="shared" si="0"/>
        <v>100</v>
      </c>
      <c r="T14" s="1464" t="s">
        <v>8</v>
      </c>
      <c r="U14" s="1465">
        <f t="shared" si="1"/>
        <v>100</v>
      </c>
      <c r="V14" s="1464" t="s">
        <v>8</v>
      </c>
      <c r="W14" s="1465">
        <f t="shared" si="2"/>
        <v>100</v>
      </c>
      <c r="X14" s="1458"/>
      <c r="Y14" s="3664"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65"/>
      <c r="Q15" s="1463"/>
      <c r="R15" s="1464"/>
      <c r="S15" s="1465"/>
      <c r="T15" s="1464"/>
      <c r="U15" s="1465"/>
      <c r="V15" s="1464"/>
      <c r="W15" s="1465"/>
      <c r="X15" s="1458"/>
      <c r="Y15" s="3665"/>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65"/>
      <c r="Q16" s="1463" t="str">
        <f>B16</f>
        <v>公共配套设施</v>
      </c>
      <c r="R16" s="1464" t="s">
        <v>8</v>
      </c>
      <c r="S16" s="1465">
        <f>F16</f>
        <v>100</v>
      </c>
      <c r="T16" s="1464" t="s">
        <v>8</v>
      </c>
      <c r="U16" s="1465">
        <f>H16</f>
        <v>100</v>
      </c>
      <c r="V16" s="1464" t="s">
        <v>8</v>
      </c>
      <c r="W16" s="1465">
        <f>J16</f>
        <v>100</v>
      </c>
      <c r="X16" s="1458"/>
      <c r="Y16" s="3665"/>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65"/>
      <c r="Q17" s="1463"/>
      <c r="R17" s="1464"/>
      <c r="S17" s="1465"/>
      <c r="T17" s="1464"/>
      <c r="U17" s="1465"/>
      <c r="V17" s="1464"/>
      <c r="W17" s="1465"/>
      <c r="X17" s="1458"/>
      <c r="Y17" s="3665"/>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65"/>
      <c r="Q18" s="2352" t="str">
        <f>B18</f>
        <v>基础设施水平</v>
      </c>
      <c r="R18" s="1464" t="s">
        <v>8</v>
      </c>
      <c r="S18" s="1465">
        <f>F18</f>
        <v>100</v>
      </c>
      <c r="T18" s="1464" t="s">
        <v>8</v>
      </c>
      <c r="U18" s="1465">
        <f>H18</f>
        <v>100</v>
      </c>
      <c r="V18" s="1464" t="s">
        <v>8</v>
      </c>
      <c r="W18" s="1465">
        <f>J18</f>
        <v>100</v>
      </c>
      <c r="X18" s="2354"/>
      <c r="Y18" s="3665"/>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65"/>
      <c r="Q19" s="2352"/>
      <c r="R19" s="1464"/>
      <c r="S19" s="1465"/>
      <c r="T19" s="1464"/>
      <c r="U19" s="1465"/>
      <c r="V19" s="1464"/>
      <c r="W19" s="1465"/>
      <c r="X19" s="2354"/>
      <c r="Y19" s="3665"/>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65"/>
      <c r="Q20" s="1463" t="str">
        <f>B20</f>
        <v>自然及人文环境</v>
      </c>
      <c r="R20" s="1464" t="s">
        <v>8</v>
      </c>
      <c r="S20" s="1465">
        <f>F20</f>
        <v>100</v>
      </c>
      <c r="T20" s="1464" t="s">
        <v>8</v>
      </c>
      <c r="U20" s="1465">
        <f>H20</f>
        <v>100</v>
      </c>
      <c r="V20" s="1464" t="s">
        <v>8</v>
      </c>
      <c r="W20" s="1465">
        <f>J20</f>
        <v>100</v>
      </c>
      <c r="X20" s="1458"/>
      <c r="Y20" s="3665"/>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65"/>
      <c r="Q21" s="1463"/>
      <c r="R21" s="1464"/>
      <c r="S21" s="1465"/>
      <c r="T21" s="1464"/>
      <c r="U21" s="1465"/>
      <c r="V21" s="1464"/>
      <c r="W21" s="1465"/>
      <c r="X21" s="1458"/>
      <c r="Y21" s="3665"/>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65"/>
      <c r="Q22" s="1463" t="str">
        <f>B22</f>
        <v>楼层</v>
      </c>
      <c r="R22" s="1464" t="s">
        <v>8</v>
      </c>
      <c r="S22" s="1465">
        <f>F22</f>
        <v>100</v>
      </c>
      <c r="T22" s="1464" t="s">
        <v>8</v>
      </c>
      <c r="U22" s="1465">
        <f>H22</f>
        <v>100</v>
      </c>
      <c r="V22" s="1464" t="s">
        <v>8</v>
      </c>
      <c r="W22" s="1465">
        <f>J22</f>
        <v>100</v>
      </c>
      <c r="X22" s="1458"/>
      <c r="Y22" s="3665"/>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65"/>
      <c r="Q23" s="1463">
        <f>B23</f>
        <v>111</v>
      </c>
      <c r="R23" s="1464" t="s">
        <v>8</v>
      </c>
      <c r="S23" s="1465">
        <f>F23</f>
        <v>100</v>
      </c>
      <c r="T23" s="1464" t="s">
        <v>8</v>
      </c>
      <c r="U23" s="1465">
        <f>H23</f>
        <v>100</v>
      </c>
      <c r="V23" s="1464" t="s">
        <v>8</v>
      </c>
      <c r="W23" s="1465">
        <f>J23</f>
        <v>100</v>
      </c>
      <c r="X23" s="1458"/>
      <c r="Y23" s="3665"/>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65"/>
      <c r="Q24" s="1463">
        <f t="shared" ref="Q24:Q36" si="11">B24</f>
        <v>111</v>
      </c>
      <c r="R24" s="1464" t="s">
        <v>8</v>
      </c>
      <c r="S24" s="1465">
        <f>F24</f>
        <v>100</v>
      </c>
      <c r="T24" s="1464" t="s">
        <v>8</v>
      </c>
      <c r="U24" s="1465">
        <f>H24</f>
        <v>100</v>
      </c>
      <c r="V24" s="1464" t="s">
        <v>8</v>
      </c>
      <c r="W24" s="1465">
        <f>J24</f>
        <v>100</v>
      </c>
      <c r="X24" s="1458"/>
      <c r="Y24" s="3665"/>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65"/>
      <c r="Q25" s="1098">
        <f t="shared" si="11"/>
        <v>111</v>
      </c>
      <c r="R25" s="1459" t="s">
        <v>8</v>
      </c>
      <c r="S25" s="1460">
        <f>F25</f>
        <v>100</v>
      </c>
      <c r="T25" s="1459" t="s">
        <v>8</v>
      </c>
      <c r="U25" s="1460">
        <f>H25</f>
        <v>100</v>
      </c>
      <c r="V25" s="1459" t="s">
        <v>8</v>
      </c>
      <c r="W25" s="1460">
        <f>J25</f>
        <v>100</v>
      </c>
      <c r="X25" s="1461"/>
      <c r="Y25" s="3665"/>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66"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67"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67"/>
      <c r="Q27" s="1492" t="str">
        <f t="shared" si="11"/>
        <v>项目停车位配比</v>
      </c>
      <c r="R27" s="1468" t="s">
        <v>8</v>
      </c>
      <c r="S27" s="1469">
        <f t="shared" si="12"/>
        <v>100</v>
      </c>
      <c r="T27" s="1468" t="s">
        <v>8</v>
      </c>
      <c r="U27" s="1469">
        <f t="shared" si="13"/>
        <v>100</v>
      </c>
      <c r="V27" s="1468" t="s">
        <v>8</v>
      </c>
      <c r="W27" s="1469">
        <f t="shared" si="14"/>
        <v>100</v>
      </c>
      <c r="X27" s="1470"/>
      <c r="Y27" s="3667"/>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67"/>
      <c r="Q28" s="1463" t="str">
        <f t="shared" si="11"/>
        <v>公共部分装修</v>
      </c>
      <c r="R28" s="1464" t="s">
        <v>8</v>
      </c>
      <c r="S28" s="1465">
        <f t="shared" si="12"/>
        <v>100</v>
      </c>
      <c r="T28" s="1464" t="s">
        <v>8</v>
      </c>
      <c r="U28" s="1465">
        <f t="shared" si="13"/>
        <v>100</v>
      </c>
      <c r="V28" s="1464" t="s">
        <v>8</v>
      </c>
      <c r="W28" s="1465">
        <f t="shared" si="14"/>
        <v>100</v>
      </c>
      <c r="X28" s="1458"/>
      <c r="Y28" s="3667"/>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67"/>
      <c r="Q29" s="1463" t="str">
        <f t="shared" si="11"/>
        <v>成新率</v>
      </c>
      <c r="R29" s="1464" t="s">
        <v>8</v>
      </c>
      <c r="S29" s="1465" t="e">
        <f t="shared" si="12"/>
        <v>#N/A</v>
      </c>
      <c r="T29" s="1464" t="s">
        <v>8</v>
      </c>
      <c r="U29" s="1465" t="e">
        <f t="shared" si="13"/>
        <v>#N/A</v>
      </c>
      <c r="V29" s="1464" t="s">
        <v>8</v>
      </c>
      <c r="W29" s="1465" t="e">
        <f t="shared" si="14"/>
        <v>#N/A</v>
      </c>
      <c r="X29" s="1458"/>
      <c r="Y29" s="3667"/>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67"/>
      <c r="Q30" s="1463" t="str">
        <f t="shared" si="11"/>
        <v>物业等级</v>
      </c>
      <c r="R30" s="1464" t="s">
        <v>8</v>
      </c>
      <c r="S30" s="1465">
        <f t="shared" si="12"/>
        <v>100</v>
      </c>
      <c r="T30" s="1464" t="s">
        <v>8</v>
      </c>
      <c r="U30" s="1465">
        <f t="shared" si="13"/>
        <v>100</v>
      </c>
      <c r="V30" s="1464" t="s">
        <v>8</v>
      </c>
      <c r="W30" s="1465">
        <f t="shared" si="14"/>
        <v>100</v>
      </c>
      <c r="X30" s="1458"/>
      <c r="Y30" s="3667"/>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67"/>
      <c r="Q31" s="1098" t="str">
        <f t="shared" si="11"/>
        <v>停车位面积</v>
      </c>
      <c r="R31" s="1459" t="s">
        <v>8</v>
      </c>
      <c r="S31" s="1460" t="e">
        <f t="shared" si="12"/>
        <v>#N/A</v>
      </c>
      <c r="T31" s="1459" t="s">
        <v>8</v>
      </c>
      <c r="U31" s="1460" t="e">
        <f t="shared" si="13"/>
        <v>#N/A</v>
      </c>
      <c r="V31" s="1459" t="s">
        <v>8</v>
      </c>
      <c r="W31" s="1460" t="e">
        <f t="shared" si="14"/>
        <v>#N/A</v>
      </c>
      <c r="X31" s="1461"/>
      <c r="Y31" s="3667"/>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67" t="s">
        <v>533</v>
      </c>
      <c r="Q32" s="1463" t="str">
        <f t="shared" si="11"/>
        <v>车位类型</v>
      </c>
      <c r="R32" s="1464" t="s">
        <v>8</v>
      </c>
      <c r="S32" s="1465">
        <f t="shared" si="12"/>
        <v>100</v>
      </c>
      <c r="T32" s="1464" t="s">
        <v>8</v>
      </c>
      <c r="U32" s="1465">
        <f t="shared" si="13"/>
        <v>100</v>
      </c>
      <c r="V32" s="1464" t="s">
        <v>8</v>
      </c>
      <c r="W32" s="1465">
        <f t="shared" si="14"/>
        <v>100</v>
      </c>
      <c r="X32" s="1458"/>
      <c r="Y32" s="3667"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67"/>
      <c r="Q33" s="1463" t="str">
        <f t="shared" si="11"/>
        <v>是否直接入户</v>
      </c>
      <c r="R33" s="1464" t="s">
        <v>8</v>
      </c>
      <c r="S33" s="1465">
        <f t="shared" si="12"/>
        <v>100</v>
      </c>
      <c r="T33" s="1464" t="s">
        <v>8</v>
      </c>
      <c r="U33" s="1465">
        <f t="shared" si="13"/>
        <v>100</v>
      </c>
      <c r="V33" s="1464" t="s">
        <v>8</v>
      </c>
      <c r="W33" s="1465">
        <f t="shared" si="14"/>
        <v>100</v>
      </c>
      <c r="X33" s="1458"/>
      <c r="Y33" s="3667"/>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67"/>
      <c r="Q34" s="1463">
        <f t="shared" si="11"/>
        <v>111</v>
      </c>
      <c r="R34" s="1464" t="s">
        <v>8</v>
      </c>
      <c r="S34" s="1465">
        <f t="shared" si="12"/>
        <v>100</v>
      </c>
      <c r="T34" s="1464" t="s">
        <v>8</v>
      </c>
      <c r="U34" s="1465">
        <f t="shared" si="13"/>
        <v>100</v>
      </c>
      <c r="V34" s="1464" t="s">
        <v>8</v>
      </c>
      <c r="W34" s="1465">
        <f t="shared" si="14"/>
        <v>100</v>
      </c>
      <c r="X34" s="1458"/>
      <c r="Y34" s="3667"/>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67"/>
      <c r="Q35" s="1492">
        <f t="shared" si="11"/>
        <v>111</v>
      </c>
      <c r="R35" s="1468" t="s">
        <v>8</v>
      </c>
      <c r="S35" s="1469">
        <f t="shared" si="12"/>
        <v>100</v>
      </c>
      <c r="T35" s="1468" t="s">
        <v>8</v>
      </c>
      <c r="U35" s="1469">
        <f t="shared" si="13"/>
        <v>100</v>
      </c>
      <c r="V35" s="1468" t="s">
        <v>8</v>
      </c>
      <c r="W35" s="1469">
        <f t="shared" si="14"/>
        <v>100</v>
      </c>
      <c r="X35" s="1470"/>
      <c r="Y35" s="3667"/>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67"/>
      <c r="Q36" s="1463">
        <f t="shared" si="11"/>
        <v>111</v>
      </c>
      <c r="R36" s="1464" t="s">
        <v>8</v>
      </c>
      <c r="S36" s="1465">
        <f t="shared" si="12"/>
        <v>100</v>
      </c>
      <c r="T36" s="1464" t="s">
        <v>8</v>
      </c>
      <c r="U36" s="1465">
        <f t="shared" si="13"/>
        <v>100</v>
      </c>
      <c r="V36" s="1464" t="s">
        <v>8</v>
      </c>
      <c r="W36" s="1465">
        <f t="shared" si="14"/>
        <v>100</v>
      </c>
      <c r="X36" s="1458"/>
      <c r="Y36" s="3667"/>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62" t="str">
        <f>A37</f>
        <v>成交单价</v>
      </c>
      <c r="Q37" s="3662"/>
      <c r="R37" s="3776">
        <f>E37</f>
        <v>0</v>
      </c>
      <c r="S37" s="3776"/>
      <c r="T37" s="3776">
        <f>G37</f>
        <v>0</v>
      </c>
      <c r="U37" s="3776"/>
      <c r="V37" s="3776">
        <f>I37</f>
        <v>0</v>
      </c>
      <c r="W37" s="3776"/>
      <c r="X37" s="1453"/>
      <c r="Y37" s="1472"/>
      <c r="Z37" s="1453"/>
      <c r="AA37" s="1453"/>
      <c r="AB37" s="1453"/>
      <c r="AC37" s="1453"/>
    </row>
    <row r="38" spans="1:29" ht="15.75" thickBot="1">
      <c r="A38" s="592" t="s">
        <v>2477</v>
      </c>
      <c r="B38" s="860"/>
      <c r="C38" s="2399" t="e">
        <f>R39</f>
        <v>#DIV/0!</v>
      </c>
      <c r="D38" s="2923" t="s">
        <v>2702</v>
      </c>
      <c r="E38" s="2400" t="e">
        <f>R38</f>
        <v>#DIV/0!</v>
      </c>
      <c r="F38" s="2924"/>
      <c r="G38" s="2399" t="e">
        <f>T38</f>
        <v>#DIV/0!</v>
      </c>
      <c r="H38" s="2924"/>
      <c r="I38" s="2400" t="e">
        <f>V38</f>
        <v>#DIV/0!</v>
      </c>
      <c r="J38" s="2924"/>
      <c r="K38" s="2932">
        <f>F38+H38+J38</f>
        <v>0</v>
      </c>
      <c r="L38" s="1981"/>
      <c r="M38" s="1982"/>
      <c r="N38" s="1982"/>
      <c r="O38" s="1982"/>
      <c r="P38" s="3662" t="str">
        <f>A38</f>
        <v>比较价格（元/平方米）</v>
      </c>
      <c r="Q38" s="3662"/>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1453"/>
      <c r="Y38" s="1453"/>
      <c r="Z38" s="1453"/>
      <c r="AA38" s="1453"/>
      <c r="AB38" s="1453"/>
      <c r="AC38" s="1453"/>
    </row>
    <row r="39" spans="1:29" ht="15.75" thickBot="1">
      <c r="A39" s="596" t="s">
        <v>2637</v>
      </c>
      <c r="B39" s="597"/>
      <c r="C39" s="2401" t="e">
        <f>R39</f>
        <v>#DIV/0!</v>
      </c>
      <c r="D39" s="2401"/>
      <c r="E39" s="2401"/>
      <c r="F39" s="2401"/>
      <c r="G39" s="2401"/>
      <c r="H39" s="2401"/>
      <c r="I39" s="2401"/>
      <c r="J39" s="2401"/>
      <c r="K39" s="1498"/>
      <c r="L39" s="1981"/>
      <c r="M39" s="1982"/>
      <c r="N39" s="1982"/>
      <c r="O39" s="1982"/>
      <c r="P39" s="3668" t="str">
        <f>A39</f>
        <v>估价对象XX用房的比较价格（楼面单价，元/平方米）</v>
      </c>
      <c r="Q39" s="3669"/>
      <c r="R39" s="3775" t="e">
        <f>IF(F1="售价",ROUND(IF(D38="简单平均",AVERAGE(R38:W38),R38*F38+T38*H38+V38*J38),0),ROUND(IF(D38="简单平均",AVERAGE(R38:V38),R38*F38+T38*H38+V38*J38),1))</f>
        <v>#DIV/0!</v>
      </c>
      <c r="S39" s="3775"/>
      <c r="T39" s="3775"/>
      <c r="U39" s="3775"/>
      <c r="V39" s="3775"/>
      <c r="W39" s="3775"/>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2022-9</v>
      </c>
      <c r="D48" s="2444">
        <f>EDATE(C48,-1)</f>
        <v>44774</v>
      </c>
      <c r="E48" s="2444">
        <f t="shared" ref="E48:O48" si="16">EDATE(D48,-1)</f>
        <v>44743</v>
      </c>
      <c r="F48" s="2444">
        <f t="shared" si="16"/>
        <v>44713</v>
      </c>
      <c r="G48" s="2444">
        <f t="shared" si="16"/>
        <v>44682</v>
      </c>
      <c r="H48" s="2444">
        <f t="shared" si="16"/>
        <v>44652</v>
      </c>
      <c r="I48" s="2444">
        <f t="shared" si="16"/>
        <v>44621</v>
      </c>
      <c r="J48" s="2444">
        <f t="shared" si="16"/>
        <v>44593</v>
      </c>
      <c r="K48" s="2444">
        <f t="shared" si="16"/>
        <v>44562</v>
      </c>
      <c r="L48" s="2444">
        <f t="shared" si="16"/>
        <v>44531</v>
      </c>
      <c r="M48" s="2444">
        <f t="shared" si="16"/>
        <v>44501</v>
      </c>
      <c r="N48" s="2444">
        <f t="shared" si="16"/>
        <v>44470</v>
      </c>
      <c r="O48" s="2444">
        <f t="shared" si="16"/>
        <v>44440</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70" t="s">
        <v>780</v>
      </c>
      <c r="D4" s="3671"/>
      <c r="E4" s="3692" t="s">
        <v>781</v>
      </c>
      <c r="F4" s="3693"/>
      <c r="G4" s="3670" t="s">
        <v>782</v>
      </c>
      <c r="H4" s="3671"/>
      <c r="I4" s="3670" t="s">
        <v>783</v>
      </c>
      <c r="J4" s="3671"/>
      <c r="K4" s="491" t="s">
        <v>784</v>
      </c>
      <c r="L4" s="1970"/>
      <c r="M4" s="1971"/>
      <c r="N4" s="1971"/>
      <c r="O4" s="1971"/>
      <c r="P4" s="3672" t="s">
        <v>785</v>
      </c>
      <c r="Q4" s="3673"/>
      <c r="R4" s="3656" t="s">
        <v>781</v>
      </c>
      <c r="S4" s="3657"/>
      <c r="T4" s="3656" t="s">
        <v>782</v>
      </c>
      <c r="U4" s="3657"/>
      <c r="V4" s="3678" t="s">
        <v>783</v>
      </c>
      <c r="W4" s="3678"/>
      <c r="X4" s="1458"/>
      <c r="Y4" s="3656" t="s">
        <v>785</v>
      </c>
      <c r="Z4" s="3657"/>
      <c r="AA4" s="3651" t="s">
        <v>781</v>
      </c>
      <c r="AB4" s="3652" t="s">
        <v>782</v>
      </c>
      <c r="AC4" s="3651" t="s">
        <v>783</v>
      </c>
    </row>
    <row r="5" spans="1:29" ht="15">
      <c r="A5" s="492"/>
      <c r="B5" s="493"/>
      <c r="C5" s="3681" t="s">
        <v>2631</v>
      </c>
      <c r="D5" s="3682"/>
      <c r="E5" s="3694" t="s">
        <v>2632</v>
      </c>
      <c r="F5" s="3695"/>
      <c r="G5" s="3681" t="s">
        <v>2633</v>
      </c>
      <c r="H5" s="3682"/>
      <c r="I5" s="3681" t="s">
        <v>2634</v>
      </c>
      <c r="J5" s="3682"/>
      <c r="K5" s="491"/>
      <c r="L5" s="1970"/>
      <c r="M5" s="1971"/>
      <c r="N5" s="1971"/>
      <c r="O5" s="1971"/>
      <c r="P5" s="3674"/>
      <c r="Q5" s="3675"/>
      <c r="R5" s="3658"/>
      <c r="S5" s="3659"/>
      <c r="T5" s="3658"/>
      <c r="U5" s="3659"/>
      <c r="V5" s="3678"/>
      <c r="W5" s="3678"/>
      <c r="X5" s="1458"/>
      <c r="Y5" s="3658"/>
      <c r="Z5" s="3659"/>
      <c r="AA5" s="3652"/>
      <c r="AB5" s="3652"/>
      <c r="AC5" s="3652"/>
    </row>
    <row r="6" spans="1:29" ht="15.75" thickBot="1">
      <c r="A6" s="494"/>
      <c r="B6" s="495"/>
      <c r="C6" s="3679" t="s">
        <v>2635</v>
      </c>
      <c r="D6" s="3680"/>
      <c r="E6" s="3696" t="s">
        <v>2635</v>
      </c>
      <c r="F6" s="3697"/>
      <c r="G6" s="3679" t="s">
        <v>2635</v>
      </c>
      <c r="H6" s="3680"/>
      <c r="I6" s="3679" t="s">
        <v>2635</v>
      </c>
      <c r="J6" s="3680"/>
      <c r="K6" s="491" t="s">
        <v>511</v>
      </c>
      <c r="L6" s="1970"/>
      <c r="M6" s="1971"/>
      <c r="N6" s="1971"/>
      <c r="O6" s="1971"/>
      <c r="P6" s="3676"/>
      <c r="Q6" s="3677"/>
      <c r="R6" s="3658"/>
      <c r="S6" s="3659"/>
      <c r="T6" s="3660"/>
      <c r="U6" s="3661"/>
      <c r="V6" s="3678"/>
      <c r="W6" s="3678"/>
      <c r="X6" s="1458"/>
      <c r="Y6" s="3660"/>
      <c r="Z6" s="3661"/>
      <c r="AA6" s="3653"/>
      <c r="AB6" s="3653"/>
      <c r="AC6" s="3653"/>
    </row>
    <row r="7" spans="1:29" s="1167" customFormat="1" ht="15.75" thickBot="1">
      <c r="A7" s="2552"/>
      <c r="B7" s="2559" t="s">
        <v>512</v>
      </c>
      <c r="C7" s="496">
        <f>'数据-取费表'!B2</f>
        <v>44819</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54" t="s">
        <v>513</v>
      </c>
      <c r="Q7" s="3663"/>
      <c r="R7" s="1459" t="s">
        <v>8</v>
      </c>
      <c r="S7" s="1460">
        <f t="shared" ref="S7:S14" si="0">F7</f>
        <v>0</v>
      </c>
      <c r="T7" s="1459" t="s">
        <v>8</v>
      </c>
      <c r="U7" s="1460">
        <f t="shared" ref="U7:U14" si="1">H7</f>
        <v>0</v>
      </c>
      <c r="V7" s="1459" t="s">
        <v>8</v>
      </c>
      <c r="W7" s="1460">
        <f t="shared" ref="W7:W14" si="2">J7</f>
        <v>0</v>
      </c>
      <c r="X7" s="1461"/>
      <c r="Y7" s="3654" t="s">
        <v>513</v>
      </c>
      <c r="Z7" s="3655"/>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54" t="s">
        <v>516</v>
      </c>
      <c r="Q8" s="3655"/>
      <c r="R8" s="1459" t="s">
        <v>8</v>
      </c>
      <c r="S8" s="1460">
        <f t="shared" si="0"/>
        <v>0</v>
      </c>
      <c r="T8" s="1459" t="s">
        <v>8</v>
      </c>
      <c r="U8" s="1460">
        <f t="shared" si="1"/>
        <v>0</v>
      </c>
      <c r="V8" s="1459" t="s">
        <v>8</v>
      </c>
      <c r="W8" s="1460">
        <f t="shared" si="2"/>
        <v>0</v>
      </c>
      <c r="X8" s="1461"/>
      <c r="Y8" s="3654" t="s">
        <v>516</v>
      </c>
      <c r="Z8" s="3655"/>
      <c r="AA8" s="1462" t="e">
        <f t="shared" ref="AA8:AA34" si="3">D8/F8</f>
        <v>#DIV/0!</v>
      </c>
      <c r="AB8" s="1462" t="e">
        <f t="shared" ref="AB8:AB34" si="4">D8/H8</f>
        <v>#DIV/0!</v>
      </c>
      <c r="AC8" s="1462" t="e">
        <f t="shared" ref="AC8:AC34" si="5">D8/J8</f>
        <v>#DIV/0!</v>
      </c>
    </row>
    <row r="9" spans="1:29" s="1167" customFormat="1" ht="15">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62" t="s">
        <v>518</v>
      </c>
      <c r="Q9" s="1098" t="str">
        <f t="shared" ref="Q9:Q14" si="6">B9</f>
        <v>用途</v>
      </c>
      <c r="R9" s="1459" t="s">
        <v>8</v>
      </c>
      <c r="S9" s="1460">
        <f t="shared" si="0"/>
        <v>100</v>
      </c>
      <c r="T9" s="1459" t="s">
        <v>8</v>
      </c>
      <c r="U9" s="1460">
        <f t="shared" si="1"/>
        <v>100</v>
      </c>
      <c r="V9" s="1459" t="s">
        <v>8</v>
      </c>
      <c r="W9" s="1460">
        <f t="shared" si="2"/>
        <v>100</v>
      </c>
      <c r="X9" s="1461"/>
      <c r="Y9" s="3610"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62"/>
      <c r="Q10" s="1098" t="str">
        <f t="shared" si="6"/>
        <v>土地使用年限（年）</v>
      </c>
      <c r="R10" s="1459" t="s">
        <v>8</v>
      </c>
      <c r="S10" s="1460">
        <f t="shared" si="0"/>
        <v>100</v>
      </c>
      <c r="T10" s="1459" t="s">
        <v>8</v>
      </c>
      <c r="U10" s="1460">
        <f t="shared" si="1"/>
        <v>100</v>
      </c>
      <c r="V10" s="1459" t="s">
        <v>8</v>
      </c>
      <c r="W10" s="1460">
        <f t="shared" si="2"/>
        <v>100</v>
      </c>
      <c r="X10" s="1461"/>
      <c r="Y10" s="3610"/>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62"/>
      <c r="Q11" s="1098">
        <f t="shared" si="6"/>
        <v>111</v>
      </c>
      <c r="R11" s="1459" t="s">
        <v>8</v>
      </c>
      <c r="S11" s="1460">
        <f t="shared" si="0"/>
        <v>100</v>
      </c>
      <c r="T11" s="1459" t="s">
        <v>8</v>
      </c>
      <c r="U11" s="1460">
        <f t="shared" si="1"/>
        <v>100</v>
      </c>
      <c r="V11" s="1459" t="s">
        <v>8</v>
      </c>
      <c r="W11" s="1460">
        <f t="shared" si="2"/>
        <v>100</v>
      </c>
      <c r="X11" s="1461"/>
      <c r="Y11" s="3610"/>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62"/>
      <c r="Q12" s="1098">
        <f t="shared" si="6"/>
        <v>111</v>
      </c>
      <c r="R12" s="1459" t="s">
        <v>8</v>
      </c>
      <c r="S12" s="1460">
        <f t="shared" si="0"/>
        <v>100</v>
      </c>
      <c r="T12" s="1459" t="s">
        <v>8</v>
      </c>
      <c r="U12" s="1460">
        <f t="shared" si="1"/>
        <v>100</v>
      </c>
      <c r="V12" s="1459" t="s">
        <v>8</v>
      </c>
      <c r="W12" s="1460">
        <f t="shared" si="2"/>
        <v>100</v>
      </c>
      <c r="X12" s="1461"/>
      <c r="Y12" s="3610"/>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62"/>
      <c r="Q13" s="1098">
        <f t="shared" si="6"/>
        <v>111</v>
      </c>
      <c r="R13" s="1459" t="s">
        <v>8</v>
      </c>
      <c r="S13" s="1460">
        <f t="shared" si="0"/>
        <v>100</v>
      </c>
      <c r="T13" s="1459" t="s">
        <v>8</v>
      </c>
      <c r="U13" s="1460">
        <f t="shared" si="1"/>
        <v>100</v>
      </c>
      <c r="V13" s="1459" t="s">
        <v>8</v>
      </c>
      <c r="W13" s="1460">
        <f t="shared" si="2"/>
        <v>100</v>
      </c>
      <c r="X13" s="1461"/>
      <c r="Y13" s="3610"/>
      <c r="Z13" s="1097">
        <f t="shared" si="7"/>
        <v>111</v>
      </c>
      <c r="AA13" s="1462">
        <f t="shared" si="3"/>
        <v>1</v>
      </c>
      <c r="AB13" s="1462">
        <f t="shared" si="4"/>
        <v>1</v>
      </c>
      <c r="AC13" s="1462">
        <f t="shared" si="5"/>
        <v>1</v>
      </c>
    </row>
    <row r="14" spans="1:29" ht="85.5">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64" t="s">
        <v>523</v>
      </c>
      <c r="Q14" s="1463" t="str">
        <f t="shared" si="6"/>
        <v>交通便捷度</v>
      </c>
      <c r="R14" s="1464" t="s">
        <v>8</v>
      </c>
      <c r="S14" s="1465">
        <f t="shared" si="0"/>
        <v>100</v>
      </c>
      <c r="T14" s="1464" t="s">
        <v>8</v>
      </c>
      <c r="U14" s="1465">
        <f t="shared" si="1"/>
        <v>100</v>
      </c>
      <c r="V14" s="1464" t="s">
        <v>8</v>
      </c>
      <c r="W14" s="1465">
        <f t="shared" si="2"/>
        <v>100</v>
      </c>
      <c r="X14" s="1458"/>
      <c r="Y14" s="3664"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65"/>
      <c r="Q15" s="1463"/>
      <c r="R15" s="1464"/>
      <c r="S15" s="1465"/>
      <c r="T15" s="1464"/>
      <c r="U15" s="1465"/>
      <c r="V15" s="1464"/>
      <c r="W15" s="1465"/>
      <c r="X15" s="1458"/>
      <c r="Y15" s="3665"/>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65"/>
      <c r="Q16" s="1463" t="str">
        <f>B16</f>
        <v>公共配套设施</v>
      </c>
      <c r="R16" s="1464" t="s">
        <v>8</v>
      </c>
      <c r="S16" s="1465">
        <f>F16</f>
        <v>100</v>
      </c>
      <c r="T16" s="1464" t="s">
        <v>8</v>
      </c>
      <c r="U16" s="1465">
        <f>H16</f>
        <v>100</v>
      </c>
      <c r="V16" s="1464" t="s">
        <v>8</v>
      </c>
      <c r="W16" s="1465">
        <f>J16</f>
        <v>100</v>
      </c>
      <c r="X16" s="1458"/>
      <c r="Y16" s="3665"/>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65"/>
      <c r="Q17" s="1463"/>
      <c r="R17" s="1464"/>
      <c r="S17" s="1465"/>
      <c r="T17" s="1464"/>
      <c r="U17" s="1465"/>
      <c r="V17" s="1464"/>
      <c r="W17" s="1465"/>
      <c r="X17" s="1458"/>
      <c r="Y17" s="3665"/>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65"/>
      <c r="Q18" s="2352" t="str">
        <f>B18</f>
        <v>基础设施水平</v>
      </c>
      <c r="R18" s="1464" t="s">
        <v>8</v>
      </c>
      <c r="S18" s="1465">
        <f>F18</f>
        <v>100</v>
      </c>
      <c r="T18" s="1464" t="s">
        <v>8</v>
      </c>
      <c r="U18" s="1465">
        <f>H18</f>
        <v>100</v>
      </c>
      <c r="V18" s="1464" t="s">
        <v>8</v>
      </c>
      <c r="W18" s="1465">
        <f>J18</f>
        <v>100</v>
      </c>
      <c r="X18" s="2354"/>
      <c r="Y18" s="3665"/>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65"/>
      <c r="Q19" s="2352"/>
      <c r="R19" s="1464"/>
      <c r="S19" s="1465"/>
      <c r="T19" s="1464"/>
      <c r="U19" s="1465"/>
      <c r="V19" s="1464"/>
      <c r="W19" s="1465"/>
      <c r="X19" s="2354"/>
      <c r="Y19" s="3665"/>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65"/>
      <c r="Q20" s="1463" t="str">
        <f>B20</f>
        <v>自然及人文环境</v>
      </c>
      <c r="R20" s="1464" t="s">
        <v>8</v>
      </c>
      <c r="S20" s="1465">
        <f>F20</f>
        <v>100</v>
      </c>
      <c r="T20" s="1464" t="s">
        <v>8</v>
      </c>
      <c r="U20" s="1465">
        <f>H20</f>
        <v>100</v>
      </c>
      <c r="V20" s="1464" t="s">
        <v>8</v>
      </c>
      <c r="W20" s="1465">
        <f>J20</f>
        <v>100</v>
      </c>
      <c r="X20" s="1458"/>
      <c r="Y20" s="3665"/>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65"/>
      <c r="Q21" s="1463"/>
      <c r="R21" s="1464"/>
      <c r="S21" s="1465"/>
      <c r="T21" s="1464"/>
      <c r="U21" s="1465"/>
      <c r="V21" s="1464"/>
      <c r="W21" s="1465"/>
      <c r="X21" s="1458"/>
      <c r="Y21" s="3665"/>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65"/>
      <c r="Q22" s="1463" t="str">
        <f>B22</f>
        <v>楼层</v>
      </c>
      <c r="R22" s="1464" t="s">
        <v>8</v>
      </c>
      <c r="S22" s="1465">
        <f>F22</f>
        <v>100</v>
      </c>
      <c r="T22" s="1464" t="s">
        <v>8</v>
      </c>
      <c r="U22" s="1465">
        <f>H22</f>
        <v>100</v>
      </c>
      <c r="V22" s="1464" t="s">
        <v>8</v>
      </c>
      <c r="W22" s="1465">
        <f>J22</f>
        <v>100</v>
      </c>
      <c r="X22" s="1458"/>
      <c r="Y22" s="3665"/>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65"/>
      <c r="Q23" s="1463">
        <f>B23</f>
        <v>111</v>
      </c>
      <c r="R23" s="1464" t="s">
        <v>8</v>
      </c>
      <c r="S23" s="1465">
        <f>F23</f>
        <v>100</v>
      </c>
      <c r="T23" s="1464" t="s">
        <v>8</v>
      </c>
      <c r="U23" s="1465">
        <f>H23</f>
        <v>100</v>
      </c>
      <c r="V23" s="1464" t="s">
        <v>8</v>
      </c>
      <c r="W23" s="1465">
        <f>J23</f>
        <v>100</v>
      </c>
      <c r="X23" s="1458"/>
      <c r="Y23" s="3665"/>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65"/>
      <c r="Q24" s="1463">
        <f t="shared" ref="Q24:Q34" si="11">B24</f>
        <v>111</v>
      </c>
      <c r="R24" s="1464" t="s">
        <v>8</v>
      </c>
      <c r="S24" s="1465">
        <f>F24</f>
        <v>100</v>
      </c>
      <c r="T24" s="1464" t="s">
        <v>8</v>
      </c>
      <c r="U24" s="1465">
        <f>H24</f>
        <v>100</v>
      </c>
      <c r="V24" s="1464" t="s">
        <v>8</v>
      </c>
      <c r="W24" s="1465">
        <f>J24</f>
        <v>100</v>
      </c>
      <c r="X24" s="1458"/>
      <c r="Y24" s="3665"/>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65"/>
      <c r="Q25" s="1098">
        <f t="shared" si="11"/>
        <v>111</v>
      </c>
      <c r="R25" s="1459" t="s">
        <v>8</v>
      </c>
      <c r="S25" s="1460">
        <f>F25</f>
        <v>100</v>
      </c>
      <c r="T25" s="1459" t="s">
        <v>8</v>
      </c>
      <c r="U25" s="1460">
        <f>H25</f>
        <v>100</v>
      </c>
      <c r="V25" s="1459" t="s">
        <v>8</v>
      </c>
      <c r="W25" s="1460">
        <f>J25</f>
        <v>100</v>
      </c>
      <c r="X25" s="1461"/>
      <c r="Y25" s="3665"/>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66"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67"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67"/>
      <c r="Q27" s="1492" t="str">
        <f t="shared" si="11"/>
        <v>成新率</v>
      </c>
      <c r="R27" s="1468" t="s">
        <v>8</v>
      </c>
      <c r="S27" s="1469" t="e">
        <f t="shared" si="12"/>
        <v>#N/A</v>
      </c>
      <c r="T27" s="1468" t="s">
        <v>8</v>
      </c>
      <c r="U27" s="1469" t="e">
        <f t="shared" si="13"/>
        <v>#N/A</v>
      </c>
      <c r="V27" s="1468" t="s">
        <v>8</v>
      </c>
      <c r="W27" s="1469" t="e">
        <f t="shared" si="14"/>
        <v>#N/A</v>
      </c>
      <c r="X27" s="1470"/>
      <c r="Y27" s="3667"/>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67"/>
      <c r="Q28" s="1463" t="str">
        <f t="shared" si="11"/>
        <v>物业等级</v>
      </c>
      <c r="R28" s="1464" t="s">
        <v>8</v>
      </c>
      <c r="S28" s="1465">
        <f t="shared" si="12"/>
        <v>100</v>
      </c>
      <c r="T28" s="1464" t="s">
        <v>8</v>
      </c>
      <c r="U28" s="1465">
        <f t="shared" si="13"/>
        <v>100</v>
      </c>
      <c r="V28" s="1464" t="s">
        <v>8</v>
      </c>
      <c r="W28" s="1465">
        <f t="shared" si="14"/>
        <v>100</v>
      </c>
      <c r="X28" s="1458"/>
      <c r="Y28" s="3667"/>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67"/>
      <c r="Q29" s="1463" t="str">
        <f t="shared" si="11"/>
        <v>有无电梯</v>
      </c>
      <c r="R29" s="1464" t="s">
        <v>8</v>
      </c>
      <c r="S29" s="1465">
        <f t="shared" si="12"/>
        <v>100</v>
      </c>
      <c r="T29" s="1464" t="s">
        <v>8</v>
      </c>
      <c r="U29" s="1465">
        <f t="shared" si="13"/>
        <v>100</v>
      </c>
      <c r="V29" s="1464" t="s">
        <v>8</v>
      </c>
      <c r="W29" s="1465">
        <f t="shared" si="14"/>
        <v>100</v>
      </c>
      <c r="X29" s="1458"/>
      <c r="Y29" s="3667"/>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67"/>
      <c r="Q30" s="1463" t="str">
        <f t="shared" si="11"/>
        <v>建筑面积</v>
      </c>
      <c r="R30" s="1464" t="s">
        <v>8</v>
      </c>
      <c r="S30" s="1465" t="e">
        <f t="shared" si="12"/>
        <v>#N/A</v>
      </c>
      <c r="T30" s="1464" t="s">
        <v>8</v>
      </c>
      <c r="U30" s="1465" t="e">
        <f t="shared" si="13"/>
        <v>#N/A</v>
      </c>
      <c r="V30" s="1464" t="s">
        <v>8</v>
      </c>
      <c r="W30" s="1465" t="e">
        <f t="shared" si="14"/>
        <v>#N/A</v>
      </c>
      <c r="X30" s="1458"/>
      <c r="Y30" s="3667"/>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67"/>
      <c r="Q31" s="1098" t="str">
        <f t="shared" si="11"/>
        <v>是否封闭</v>
      </c>
      <c r="R31" s="1459" t="s">
        <v>8</v>
      </c>
      <c r="S31" s="1460">
        <f t="shared" si="12"/>
        <v>100</v>
      </c>
      <c r="T31" s="1459" t="s">
        <v>8</v>
      </c>
      <c r="U31" s="1460">
        <f t="shared" si="13"/>
        <v>100</v>
      </c>
      <c r="V31" s="1459" t="s">
        <v>8</v>
      </c>
      <c r="W31" s="1460">
        <f t="shared" si="14"/>
        <v>100</v>
      </c>
      <c r="X31" s="1461"/>
      <c r="Y31" s="3667"/>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67" t="s">
        <v>533</v>
      </c>
      <c r="Q32" s="1463">
        <f t="shared" si="11"/>
        <v>111</v>
      </c>
      <c r="R32" s="1464" t="s">
        <v>8</v>
      </c>
      <c r="S32" s="1465">
        <f t="shared" si="12"/>
        <v>100</v>
      </c>
      <c r="T32" s="1464" t="s">
        <v>8</v>
      </c>
      <c r="U32" s="1465">
        <f t="shared" si="13"/>
        <v>100</v>
      </c>
      <c r="V32" s="1464" t="s">
        <v>8</v>
      </c>
      <c r="W32" s="1465">
        <f t="shared" si="14"/>
        <v>100</v>
      </c>
      <c r="X32" s="1458"/>
      <c r="Y32" s="3667"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67"/>
      <c r="Q33" s="1463">
        <f t="shared" si="11"/>
        <v>111</v>
      </c>
      <c r="R33" s="1464" t="s">
        <v>8</v>
      </c>
      <c r="S33" s="1465">
        <f t="shared" si="12"/>
        <v>100</v>
      </c>
      <c r="T33" s="1464" t="s">
        <v>8</v>
      </c>
      <c r="U33" s="1465">
        <f t="shared" si="13"/>
        <v>100</v>
      </c>
      <c r="V33" s="1464" t="s">
        <v>8</v>
      </c>
      <c r="W33" s="1465">
        <f t="shared" si="14"/>
        <v>100</v>
      </c>
      <c r="X33" s="1458"/>
      <c r="Y33" s="3667"/>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67"/>
      <c r="Q34" s="1463">
        <f t="shared" si="11"/>
        <v>111</v>
      </c>
      <c r="R34" s="1464" t="s">
        <v>8</v>
      </c>
      <c r="S34" s="1465">
        <f t="shared" si="12"/>
        <v>100</v>
      </c>
      <c r="T34" s="1464" t="s">
        <v>8</v>
      </c>
      <c r="U34" s="1465">
        <f t="shared" si="13"/>
        <v>100</v>
      </c>
      <c r="V34" s="1464" t="s">
        <v>8</v>
      </c>
      <c r="W34" s="1465">
        <f t="shared" si="14"/>
        <v>100</v>
      </c>
      <c r="X34" s="1458"/>
      <c r="Y34" s="3667"/>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62" t="str">
        <f>A35</f>
        <v>成交单价（元/平方米）</v>
      </c>
      <c r="Q35" s="3662"/>
      <c r="R35" s="3776">
        <f>E35</f>
        <v>0</v>
      </c>
      <c r="S35" s="3776"/>
      <c r="T35" s="3776">
        <f>G35</f>
        <v>0</v>
      </c>
      <c r="U35" s="3776"/>
      <c r="V35" s="3776">
        <f>I35</f>
        <v>0</v>
      </c>
      <c r="W35" s="3776"/>
      <c r="X35" s="1453"/>
      <c r="Y35" s="1472"/>
      <c r="Z35" s="1453"/>
      <c r="AA35" s="1453"/>
      <c r="AB35" s="1453"/>
      <c r="AC35" s="1453"/>
    </row>
    <row r="36" spans="1:29" ht="15.75" thickBot="1">
      <c r="A36" s="592" t="s">
        <v>2477</v>
      </c>
      <c r="B36" s="860"/>
      <c r="C36" s="2399" t="e">
        <f>R37</f>
        <v>#DIV/0!</v>
      </c>
      <c r="D36" s="2923" t="s">
        <v>2703</v>
      </c>
      <c r="E36" s="2400" t="e">
        <f>R36</f>
        <v>#DIV/0!</v>
      </c>
      <c r="F36" s="2924"/>
      <c r="G36" s="2399" t="e">
        <f>T36</f>
        <v>#DIV/0!</v>
      </c>
      <c r="H36" s="2924"/>
      <c r="I36" s="2400" t="e">
        <f>V36</f>
        <v>#DIV/0!</v>
      </c>
      <c r="J36" s="2924"/>
      <c r="K36" s="2932">
        <f>F36+H36+J36</f>
        <v>0</v>
      </c>
      <c r="L36" s="1981"/>
      <c r="M36" s="1982"/>
      <c r="N36" s="1971"/>
      <c r="O36" s="1982"/>
      <c r="P36" s="3662" t="str">
        <f>A36</f>
        <v>比较价格（元/平方米）</v>
      </c>
      <c r="Q36" s="3662"/>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68" t="str">
        <f>A37</f>
        <v>估价对象XX用房的比较价格（楼面单价，元/平方米）</v>
      </c>
      <c r="Q37" s="3669"/>
      <c r="R37" s="3775" t="e">
        <f>IF(F1="售价",ROUND(IF(D36="简单平均",AVERAGE(R36:W36),R36*F36+T36*H36+V36*J36),0),ROUND(IF(D36="简单平均",AVERAGE(R36:V36),R36*F36+T36*H36+V36*J36),1))</f>
        <v>#DIV/0!</v>
      </c>
      <c r="S37" s="3775"/>
      <c r="T37" s="3775"/>
      <c r="U37" s="3775"/>
      <c r="V37" s="3775"/>
      <c r="W37" s="3775"/>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2022-9</v>
      </c>
      <c r="D46" s="2444">
        <f>EDATE(C46,-1)</f>
        <v>44774</v>
      </c>
      <c r="E46" s="2444">
        <f t="shared" ref="E46:O46" si="16">EDATE(D46,-1)</f>
        <v>44743</v>
      </c>
      <c r="F46" s="2444">
        <f t="shared" si="16"/>
        <v>44713</v>
      </c>
      <c r="G46" s="2444">
        <f t="shared" si="16"/>
        <v>44682</v>
      </c>
      <c r="H46" s="2444">
        <f t="shared" si="16"/>
        <v>44652</v>
      </c>
      <c r="I46" s="2444">
        <f t="shared" si="16"/>
        <v>44621</v>
      </c>
      <c r="J46" s="2444">
        <f t="shared" si="16"/>
        <v>44593</v>
      </c>
      <c r="K46" s="2444">
        <f t="shared" si="16"/>
        <v>44562</v>
      </c>
      <c r="L46" s="2444">
        <f t="shared" si="16"/>
        <v>44531</v>
      </c>
      <c r="M46" s="2444">
        <f t="shared" si="16"/>
        <v>44501</v>
      </c>
      <c r="N46" s="2444">
        <f t="shared" si="16"/>
        <v>44470</v>
      </c>
      <c r="O46" s="2444">
        <f t="shared" si="16"/>
        <v>44440</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93.75">
      <c r="A7" s="2513" t="s">
        <v>2465</v>
      </c>
    </row>
    <row r="8" spans="1:4" ht="18.75">
      <c r="A8" s="1665" t="s">
        <v>1702</v>
      </c>
    </row>
    <row r="9" spans="1:4" ht="75">
      <c r="A9" s="166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2022年9月15日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85" t="s">
        <v>2094</v>
      </c>
      <c r="D1" s="3786"/>
      <c r="E1" s="3786"/>
      <c r="F1" s="3786"/>
      <c r="G1" s="3786"/>
      <c r="H1" s="3786"/>
      <c r="I1" s="3786"/>
      <c r="J1" s="3786"/>
      <c r="K1" s="3786"/>
      <c r="L1" s="3786"/>
      <c r="M1" s="3786"/>
      <c r="N1" s="3786"/>
      <c r="O1" s="3786"/>
      <c r="P1" s="3786"/>
      <c r="Q1" s="3786"/>
      <c r="R1" s="3786"/>
      <c r="S1" s="3787"/>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82" t="s">
        <v>20</v>
      </c>
      <c r="D22" s="3783"/>
      <c r="E22" s="3783"/>
      <c r="F22" s="3783"/>
      <c r="G22" s="3783"/>
      <c r="H22" s="3783"/>
      <c r="I22" s="3783"/>
      <c r="J22" s="3783"/>
      <c r="K22" s="3783"/>
      <c r="L22" s="3783"/>
      <c r="M22" s="3783"/>
      <c r="N22" s="3783"/>
      <c r="O22" s="3783"/>
      <c r="P22" s="3783"/>
      <c r="Q22" s="3784"/>
      <c r="R22" s="474" t="e">
        <f>ROUND(S22*10000/B22,0)</f>
        <v>#DIV/0!</v>
      </c>
      <c r="S22" s="53">
        <f>SUM(S24:S10000)</f>
        <v>0</v>
      </c>
    </row>
    <row r="23" spans="1:45" s="1499" customFormat="1" ht="24">
      <c r="A23" s="17" t="s">
        <v>812</v>
      </c>
      <c r="B23" s="2780"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2504</v>
      </c>
      <c r="C1" s="2643">
        <f>项目基本情况!D3</f>
        <v>44819</v>
      </c>
      <c r="H1" s="2578">
        <f>IF(C1&gt;C13,0,MATCH(C1,C$13:C$109,-1))+IF(SUMIF(C13:C109,C1,D13:D109)=0,13,12)</f>
        <v>13</v>
      </c>
      <c r="I1" s="2578">
        <f>MATCH(C2,H3:H7,1)+IF(SUMIF(H3:H7,C2,I3:I7)=0,2,1)</f>
        <v>5</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2535</v>
      </c>
      <c r="C2" s="2644">
        <f>'数据-取费表'!B22</f>
        <v>2</v>
      </c>
      <c r="D2" s="2639" t="s">
        <v>2505</v>
      </c>
      <c r="E2" s="2642">
        <f ca="1">INDIRECT("I"&amp;$I$1)/100</f>
        <v>3.6499999999999998E-2</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3.65</v>
      </c>
      <c r="J3" s="2584">
        <f ca="1">INDIRECT("d"&amp;$H$1)</f>
        <v>3.65</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1.4999999999999999E-2</v>
      </c>
      <c r="G4" s="2588" t="s">
        <v>2509</v>
      </c>
      <c r="H4" s="2589">
        <v>0.5</v>
      </c>
      <c r="I4" s="2590">
        <f ca="1">INDIRECT("e"&amp;$H$1)</f>
        <v>3.65</v>
      </c>
      <c r="J4" s="2590">
        <f ca="1">INDIRECT("e"&amp;$H$1)</f>
        <v>3.65</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3.65</v>
      </c>
      <c r="J5" s="2590">
        <f ca="1">INDIRECT("f"&amp;$H$1)</f>
        <v>3.65</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3.65</v>
      </c>
      <c r="J6" s="2590">
        <f ca="1">INDIRECT("g"&amp;$H$1)</f>
        <v>3.65</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2512</v>
      </c>
      <c r="H7" s="2594">
        <v>5</v>
      </c>
      <c r="I7" s="2595">
        <f ca="1">INDIRECT("h"&amp;$H$1)</f>
        <v>4.3</v>
      </c>
      <c r="J7" s="2595">
        <f ca="1">INDIRECT("h"&amp;$H$1)</f>
        <v>4.3</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2533</v>
      </c>
      <c r="C13" s="2625">
        <v>44795</v>
      </c>
      <c r="D13" s="2626">
        <v>3.65</v>
      </c>
      <c r="E13" s="2626">
        <f>D13</f>
        <v>3.65</v>
      </c>
      <c r="F13" s="2626">
        <f>D13</f>
        <v>3.65</v>
      </c>
      <c r="G13" s="2626">
        <f>D13</f>
        <v>3.65</v>
      </c>
      <c r="H13" s="2626">
        <v>4.3</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43881</v>
      </c>
      <c r="D18" s="2630">
        <v>4.05</v>
      </c>
      <c r="E18" s="2630">
        <v>4.05</v>
      </c>
      <c r="F18" s="2630">
        <v>4.05</v>
      </c>
      <c r="G18" s="2630">
        <v>4.05</v>
      </c>
      <c r="H18" s="2630">
        <v>4.75</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2623"/>
      <c r="B21" s="2624" t="s">
        <v>2732</v>
      </c>
      <c r="C21" s="2632">
        <v>43697</v>
      </c>
      <c r="D21" s="3187">
        <v>4.25</v>
      </c>
      <c r="E21" s="3187">
        <v>4.25</v>
      </c>
      <c r="F21" s="3187">
        <v>4.25</v>
      </c>
      <c r="G21" s="3187">
        <v>4.25</v>
      </c>
      <c r="H21" s="3187">
        <v>4.8499999999999996</v>
      </c>
      <c r="I21" s="3187"/>
      <c r="J21" s="3187"/>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4.25">
      <c r="A22" s="3190"/>
      <c r="B22" s="3191"/>
      <c r="C22" s="3192">
        <v>42301</v>
      </c>
      <c r="D22" s="3193">
        <v>4.3499999999999996</v>
      </c>
      <c r="E22" s="3193">
        <v>4.3499999999999996</v>
      </c>
      <c r="F22" s="3193">
        <v>4.75</v>
      </c>
      <c r="G22" s="3193">
        <v>4.75</v>
      </c>
      <c r="H22" s="3193">
        <v>4.9000000000000004</v>
      </c>
      <c r="I22" s="3193"/>
      <c r="J22" s="3193"/>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2534</v>
      </c>
      <c r="J64" s="2630" t="s">
        <v>2534</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workbookViewId="0">
      <selection activeCell="A15" sqref="A15"/>
    </sheetView>
  </sheetViews>
  <sheetFormatPr defaultRowHeight="13.5"/>
  <sheetData>
    <row r="2" spans="1:4">
      <c r="A2" s="3463" t="s">
        <v>3290</v>
      </c>
    </row>
    <row r="16" spans="1:4">
      <c r="B16">
        <v>726000</v>
      </c>
      <c r="D16">
        <v>4.71</v>
      </c>
    </row>
    <row r="17" spans="2:4">
      <c r="B17">
        <v>1230000</v>
      </c>
    </row>
    <row r="18" spans="2:4">
      <c r="B18">
        <f>SUM(B16:B17)</f>
        <v>1956000</v>
      </c>
    </row>
    <row r="20" spans="2:4">
      <c r="D20">
        <f>B18*D16</f>
        <v>9212760</v>
      </c>
    </row>
    <row r="21" spans="2:4">
      <c r="D21">
        <f>D20/10000</f>
        <v>921.27599999999995</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S47"/>
  <sheetViews>
    <sheetView workbookViewId="0">
      <selection activeCell="M33" sqref="M33"/>
    </sheetView>
  </sheetViews>
  <sheetFormatPr defaultRowHeight="13.5"/>
  <cols>
    <col min="11" max="11" width="17.25" bestFit="1" customWidth="1"/>
    <col min="12" max="12" width="9.5" bestFit="1" customWidth="1"/>
    <col min="13" max="13" width="11.125" customWidth="1"/>
    <col min="14" max="14" width="11" customWidth="1"/>
    <col min="15" max="15" width="10.125" customWidth="1"/>
  </cols>
  <sheetData>
    <row r="4" spans="10:19">
      <c r="O4" s="3157" t="s">
        <v>3303</v>
      </c>
      <c r="P4" s="3157" t="s">
        <v>3304</v>
      </c>
    </row>
    <row r="5" spans="10:19">
      <c r="J5">
        <v>1</v>
      </c>
      <c r="K5" s="3157" t="s">
        <v>3296</v>
      </c>
      <c r="L5">
        <v>1200</v>
      </c>
      <c r="O5">
        <v>2019</v>
      </c>
      <c r="P5">
        <v>1</v>
      </c>
      <c r="Q5">
        <v>1.83E-2</v>
      </c>
      <c r="R5">
        <v>1</v>
      </c>
      <c r="S5">
        <f t="shared" ref="S5:S8" si="0">Q5+R5</f>
        <v>1.0183</v>
      </c>
    </row>
    <row r="6" spans="10:19">
      <c r="J6" s="3464">
        <v>2</v>
      </c>
      <c r="K6" s="3157" t="s">
        <v>3297</v>
      </c>
      <c r="L6">
        <v>1</v>
      </c>
      <c r="O6">
        <v>2019</v>
      </c>
      <c r="P6">
        <v>2</v>
      </c>
      <c r="Q6">
        <v>2.5700000000000001E-2</v>
      </c>
      <c r="R6">
        <v>1</v>
      </c>
      <c r="S6">
        <f t="shared" si="0"/>
        <v>1.0257000000000001</v>
      </c>
    </row>
    <row r="7" spans="10:19">
      <c r="J7">
        <v>3</v>
      </c>
      <c r="K7" s="3157" t="s">
        <v>3298</v>
      </c>
      <c r="L7">
        <f>S16</f>
        <v>1.0896999999999999</v>
      </c>
      <c r="O7">
        <v>2019</v>
      </c>
      <c r="P7">
        <v>3</v>
      </c>
      <c r="Q7">
        <v>8.8000000000000005E-3</v>
      </c>
      <c r="R7">
        <v>1</v>
      </c>
      <c r="S7">
        <f t="shared" si="0"/>
        <v>1.0087999999999999</v>
      </c>
    </row>
    <row r="8" spans="10:19">
      <c r="J8">
        <v>4</v>
      </c>
      <c r="K8" s="3157" t="s">
        <v>3299</v>
      </c>
      <c r="L8">
        <v>0.92569999999999997</v>
      </c>
      <c r="O8">
        <v>2019</v>
      </c>
      <c r="P8">
        <v>4</v>
      </c>
      <c r="Q8">
        <v>1.01E-2</v>
      </c>
      <c r="R8">
        <v>1</v>
      </c>
      <c r="S8">
        <f t="shared" si="0"/>
        <v>1.0101</v>
      </c>
    </row>
    <row r="9" spans="10:19">
      <c r="J9">
        <v>5</v>
      </c>
      <c r="K9" s="3157" t="s">
        <v>3300</v>
      </c>
      <c r="L9">
        <v>0.85</v>
      </c>
      <c r="O9">
        <v>2020</v>
      </c>
      <c r="P9">
        <v>1</v>
      </c>
      <c r="Q9">
        <v>5.4000000000000003E-3</v>
      </c>
      <c r="R9">
        <v>1</v>
      </c>
      <c r="S9">
        <f>Q9+R9</f>
        <v>1.0054000000000001</v>
      </c>
    </row>
    <row r="10" spans="10:19">
      <c r="J10">
        <v>6</v>
      </c>
      <c r="K10" s="3157" t="s">
        <v>3301</v>
      </c>
      <c r="L10" s="3468">
        <f>1+H47</f>
        <v>1.038</v>
      </c>
      <c r="O10">
        <v>2020</v>
      </c>
      <c r="P10">
        <v>2</v>
      </c>
      <c r="Q10">
        <v>7.4000000000000003E-3</v>
      </c>
      <c r="R10">
        <v>1</v>
      </c>
      <c r="S10">
        <f t="shared" ref="S10:S15" si="1">Q10+R10</f>
        <v>1.0074000000000001</v>
      </c>
    </row>
    <row r="11" spans="10:19">
      <c r="J11">
        <v>7</v>
      </c>
      <c r="K11" s="3157" t="s">
        <v>3302</v>
      </c>
      <c r="L11">
        <f>ROUND(L5*L6*L7*L8*L9*L10,0)</f>
        <v>1068</v>
      </c>
      <c r="O11">
        <v>2020</v>
      </c>
      <c r="P11">
        <v>3</v>
      </c>
      <c r="Q11">
        <v>-2.3999999999999998E-3</v>
      </c>
      <c r="R11">
        <v>1</v>
      </c>
      <c r="S11">
        <f t="shared" si="1"/>
        <v>0.99760000000000004</v>
      </c>
    </row>
    <row r="12" spans="10:19">
      <c r="K12" s="3157" t="s">
        <v>3307</v>
      </c>
      <c r="L12">
        <f>ROUND(L11*'数据-基础表'!A3/10000,0)</f>
        <v>1757</v>
      </c>
      <c r="O12">
        <v>2020</v>
      </c>
      <c r="P12">
        <v>4</v>
      </c>
      <c r="Q12">
        <v>2E-3</v>
      </c>
      <c r="R12">
        <v>1</v>
      </c>
      <c r="S12">
        <f t="shared" si="1"/>
        <v>1.002</v>
      </c>
    </row>
    <row r="13" spans="10:19">
      <c r="K13" s="3157" t="s">
        <v>3311</v>
      </c>
      <c r="L13">
        <f>ROUND(L12/'数据-汇总表'!F31*10000,0)</f>
        <v>9812</v>
      </c>
      <c r="O13">
        <v>2021</v>
      </c>
      <c r="P13">
        <v>1</v>
      </c>
      <c r="Q13">
        <v>2E-3</v>
      </c>
      <c r="R13">
        <v>1</v>
      </c>
      <c r="S13">
        <f t="shared" si="1"/>
        <v>1.002</v>
      </c>
    </row>
    <row r="14" spans="10:19">
      <c r="O14">
        <v>2021</v>
      </c>
      <c r="P14">
        <v>2</v>
      </c>
      <c r="Q14">
        <v>3.0999999999999999E-3</v>
      </c>
      <c r="R14">
        <v>1</v>
      </c>
      <c r="S14">
        <f t="shared" si="1"/>
        <v>1.0031000000000001</v>
      </c>
    </row>
    <row r="15" spans="10:19">
      <c r="O15">
        <v>2021</v>
      </c>
      <c r="P15">
        <v>3</v>
      </c>
      <c r="Q15">
        <v>6.1999999999999998E-3</v>
      </c>
      <c r="R15">
        <v>1</v>
      </c>
      <c r="S15">
        <f t="shared" si="1"/>
        <v>1.0062</v>
      </c>
    </row>
    <row r="16" spans="10:19">
      <c r="S16">
        <f>ROUND(S5*S6*S7*S8*S9*S10*S11*S12*S13*S14*S15,4)</f>
        <v>1.0896999999999999</v>
      </c>
    </row>
    <row r="24" spans="12:17">
      <c r="L24" s="3469"/>
      <c r="M24" s="3469" t="s">
        <v>3305</v>
      </c>
      <c r="N24" s="3469" t="s">
        <v>3306</v>
      </c>
      <c r="O24" s="3469" t="s">
        <v>3310</v>
      </c>
    </row>
    <row r="25" spans="12:17">
      <c r="L25" s="3469" t="s">
        <v>3307</v>
      </c>
      <c r="M25" s="3469">
        <f>'比较法-住宅、综合'!B2</f>
        <v>2456</v>
      </c>
      <c r="N25" s="3469">
        <f>L12</f>
        <v>1757</v>
      </c>
      <c r="O25" s="3469">
        <f>ROUND(M25*M27+N25*N27,0)</f>
        <v>2176</v>
      </c>
    </row>
    <row r="26" spans="12:17">
      <c r="L26" s="3469" t="s">
        <v>3308</v>
      </c>
      <c r="M26" s="3469">
        <f>'比较法-住宅、综合'!B3</f>
        <v>13716</v>
      </c>
      <c r="N26" s="3469">
        <f>L13</f>
        <v>9812</v>
      </c>
      <c r="O26" s="3469">
        <f>ROUND(O25/'数据-汇总表'!F27*10000,0)</f>
        <v>12152</v>
      </c>
    </row>
    <row r="27" spans="12:17">
      <c r="L27" s="3469" t="s">
        <v>3309</v>
      </c>
      <c r="M27" s="3469">
        <v>0.6</v>
      </c>
      <c r="N27" s="3469">
        <v>0.4</v>
      </c>
      <c r="O27" s="3469"/>
    </row>
    <row r="28" spans="12:17">
      <c r="P28" s="3157" t="s">
        <v>3312</v>
      </c>
      <c r="Q28">
        <f>ROUND(O25/'数据-汇总表'!D31*10000,0)</f>
        <v>1323</v>
      </c>
    </row>
    <row r="38" spans="8:8">
      <c r="H38" s="3466">
        <v>0</v>
      </c>
    </row>
    <row r="39" spans="8:8">
      <c r="H39" s="3465">
        <v>1.6E-2</v>
      </c>
    </row>
    <row r="40" spans="8:8">
      <c r="H40" s="3467">
        <v>0</v>
      </c>
    </row>
    <row r="41" spans="8:8">
      <c r="H41" s="3465">
        <v>1.2E-2</v>
      </c>
    </row>
    <row r="42" spans="8:8">
      <c r="H42" s="3465">
        <v>0.01</v>
      </c>
    </row>
    <row r="43" spans="8:8">
      <c r="H43" s="3467">
        <v>0</v>
      </c>
    </row>
    <row r="44" spans="8:8">
      <c r="H44" s="3467">
        <v>0</v>
      </c>
    </row>
    <row r="45" spans="8:8">
      <c r="H45" s="3467">
        <v>0</v>
      </c>
    </row>
    <row r="47" spans="8:8">
      <c r="H47" s="3465">
        <f>SUM(H38:H46)</f>
        <v>3.7999999999999999E-2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5" t="s">
        <v>1830</v>
      </c>
      <c r="B1" s="3475"/>
      <c r="C1" s="3475"/>
      <c r="D1" s="3475"/>
      <c r="E1" s="3475"/>
      <c r="F1" s="3475"/>
      <c r="G1" s="3475"/>
      <c r="H1" s="3475"/>
      <c r="I1" s="3475"/>
      <c r="J1" s="3475"/>
      <c r="K1" s="3475"/>
      <c r="L1" s="3475"/>
      <c r="M1" s="3475"/>
      <c r="N1" s="3475"/>
      <c r="O1" s="3475"/>
      <c r="P1" s="3475"/>
      <c r="Q1" s="3475"/>
      <c r="R1" s="3475"/>
    </row>
    <row r="2" spans="1:18">
      <c r="A2" s="1678" t="s">
        <v>1832</v>
      </c>
      <c r="B2" s="1678"/>
      <c r="C2" s="1678"/>
      <c r="D2" s="1678"/>
      <c r="E2" s="1678"/>
      <c r="F2" s="1678"/>
      <c r="G2" s="1678"/>
      <c r="H2" s="1678"/>
      <c r="I2" s="1679"/>
      <c r="J2" s="1679"/>
      <c r="K2" s="1680" t="str">
        <f>"估价期日："&amp;TEXT(项目基本情况!D3,"yyyy年m月d日;;")</f>
        <v>估价期日：2022年9月15日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76" t="s">
        <v>1821</v>
      </c>
      <c r="B3" s="3476" t="s">
        <v>2448</v>
      </c>
      <c r="C3" s="3477" t="s">
        <v>1822</v>
      </c>
      <c r="D3" s="3476" t="s">
        <v>2452</v>
      </c>
      <c r="E3" s="3471" t="s">
        <v>1823</v>
      </c>
      <c r="F3" s="3471"/>
      <c r="G3" s="3471"/>
      <c r="H3" s="3471" t="s">
        <v>1824</v>
      </c>
      <c r="I3" s="3471"/>
      <c r="J3" s="3471"/>
      <c r="K3" s="3477" t="s">
        <v>1825</v>
      </c>
      <c r="L3" s="3477" t="s">
        <v>1826</v>
      </c>
      <c r="M3" s="3476" t="s">
        <v>2449</v>
      </c>
      <c r="N3" s="3478" t="str">
        <f>"（分摊）"&amp;项目基本情况!B16&amp;"国有建设用地使用权面积/㎡"</f>
        <v>（分摊）出让国有建设用地使用权面积/㎡</v>
      </c>
      <c r="O3" s="3476" t="s">
        <v>1855</v>
      </c>
      <c r="P3" s="3477" t="s">
        <v>1835</v>
      </c>
      <c r="Q3" s="3477" t="s">
        <v>1856</v>
      </c>
      <c r="R3" s="3477" t="s">
        <v>1827</v>
      </c>
    </row>
    <row r="4" spans="1:18" ht="36.75" customHeight="1">
      <c r="A4" s="3476"/>
      <c r="B4" s="3476"/>
      <c r="C4" s="3477"/>
      <c r="D4" s="3476"/>
      <c r="E4" s="2414" t="s">
        <v>1834</v>
      </c>
      <c r="F4" s="2414" t="s">
        <v>2461</v>
      </c>
      <c r="G4" s="2414" t="s">
        <v>1828</v>
      </c>
      <c r="H4" s="2414" t="s">
        <v>1829</v>
      </c>
      <c r="I4" s="2414" t="s">
        <v>2462</v>
      </c>
      <c r="J4" s="2414" t="s">
        <v>1828</v>
      </c>
      <c r="K4" s="3477"/>
      <c r="L4" s="3477"/>
      <c r="M4" s="3476"/>
      <c r="N4" s="3478"/>
      <c r="O4" s="3476"/>
      <c r="P4" s="3477"/>
      <c r="Q4" s="3477"/>
      <c r="R4" s="3477"/>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16450</v>
      </c>
      <c r="O5" s="1681">
        <f>项目基本情况!C21</f>
        <v>1790.62</v>
      </c>
      <c r="P5" s="1681">
        <f ca="1">结果表!E42</f>
        <v>1323</v>
      </c>
      <c r="Q5" s="1681">
        <f ca="1">结果表!D42</f>
        <v>12152</v>
      </c>
      <c r="R5" s="1682">
        <f ca="1">结果表!C42</f>
        <v>2176</v>
      </c>
    </row>
    <row r="6" spans="1:18">
      <c r="A6" s="3472" t="str">
        <f>IF(项目基本情况!B9="市场价格","——","抵押价格")</f>
        <v>抵押价格</v>
      </c>
      <c r="B6" s="3473"/>
      <c r="C6" s="3473"/>
      <c r="D6" s="3473"/>
      <c r="E6" s="3473"/>
      <c r="F6" s="3473"/>
      <c r="G6" s="3473"/>
      <c r="H6" s="3473"/>
      <c r="I6" s="3473"/>
      <c r="J6" s="3473"/>
      <c r="K6" s="3473"/>
      <c r="L6" s="3473"/>
      <c r="M6" s="3473"/>
      <c r="N6" s="3473"/>
      <c r="O6" s="3473"/>
      <c r="P6" s="3473"/>
      <c r="Q6" s="3474"/>
      <c r="R6" s="1683" t="str">
        <f>结果表!O39</f>
        <v>——</v>
      </c>
    </row>
    <row r="7" spans="1:18">
      <c r="A7" s="3472" t="str">
        <f>IF(项目基本情况!B9="市场价格","——",IF(项目基本情况!E8="已注销及未注销","抵押担保权已注销时的抵押价格","——"))</f>
        <v>——</v>
      </c>
      <c r="B7" s="3473"/>
      <c r="C7" s="3473"/>
      <c r="D7" s="3473"/>
      <c r="E7" s="3473"/>
      <c r="F7" s="3473"/>
      <c r="G7" s="3473"/>
      <c r="H7" s="3473"/>
      <c r="I7" s="3473"/>
      <c r="J7" s="3473"/>
      <c r="K7" s="3473"/>
      <c r="L7" s="3473"/>
      <c r="M7" s="3473"/>
      <c r="N7" s="3473"/>
      <c r="O7" s="3473"/>
      <c r="P7" s="3473"/>
      <c r="Q7" s="3474"/>
      <c r="R7" s="1683" t="str">
        <f>结果表!O40</f>
        <v>——</v>
      </c>
    </row>
    <row r="8" spans="1:18">
      <c r="A8" s="3472">
        <f>IF(项目基本情况!B9="市场价格","——",项目基本情况!E9)</f>
        <v>0</v>
      </c>
      <c r="B8" s="3473"/>
      <c r="C8" s="3473"/>
      <c r="D8" s="3473"/>
      <c r="E8" s="3473"/>
      <c r="F8" s="3473"/>
      <c r="G8" s="3473"/>
      <c r="H8" s="3473"/>
      <c r="I8" s="3473"/>
      <c r="J8" s="3473"/>
      <c r="K8" s="3473"/>
      <c r="L8" s="3473"/>
      <c r="M8" s="3473"/>
      <c r="N8" s="3473"/>
      <c r="O8" s="3473"/>
      <c r="P8" s="3473"/>
      <c r="Q8" s="3474"/>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79" t="s">
        <v>1857</v>
      </c>
      <c r="B1" s="3479"/>
      <c r="C1" s="3479"/>
      <c r="D1" s="3479"/>
    </row>
    <row r="2" spans="1:4" ht="47.25" customHeight="1">
      <c r="A2" s="3483" t="str">
        <f>"1.权利限制："&amp;项目基本情况!L24&amp;"未设定租赁等其他他项权利。"</f>
        <v>1.权利限制：根据估价对象《不动产权证书》原件、《国有土地使用权》复印件，截至估价期日，估价对象抵押权未见登记。未设定租赁等其他他项权利。</v>
      </c>
      <c r="B2" s="3483"/>
      <c r="C2" s="3483"/>
      <c r="D2" s="3483"/>
    </row>
    <row r="3" spans="1:4" ht="48" customHeight="1">
      <c r="A3" s="34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9"/>
      <c r="C3" s="3479"/>
      <c r="D3" s="3479"/>
    </row>
    <row r="4" spans="1:4" ht="36.75" customHeight="1">
      <c r="A4" s="3479" t="str">
        <f>"3.估价规划限制条件：详见"&amp;项目基本情况!E21&amp;"。"</f>
        <v>3.估价规划限制条件：详见《建设工程规划许可证》[]、《出让合同》[]。</v>
      </c>
      <c r="B4" s="3479"/>
      <c r="C4" s="3479"/>
      <c r="D4" s="3479"/>
    </row>
    <row r="5" spans="1:4">
      <c r="A5" s="3482" t="s">
        <v>1858</v>
      </c>
      <c r="B5" s="3482"/>
      <c r="C5" s="3482"/>
      <c r="D5" s="3482"/>
    </row>
    <row r="6" spans="1:4">
      <c r="A6" s="3479" t="s">
        <v>1836</v>
      </c>
      <c r="B6" s="3479"/>
      <c r="C6" s="3479"/>
      <c r="D6" s="3479"/>
    </row>
    <row r="7" spans="1:4" ht="33" customHeight="1">
      <c r="A7" s="3479" t="s">
        <v>2292</v>
      </c>
      <c r="B7" s="3479"/>
      <c r="C7" s="3479"/>
      <c r="D7" s="3479"/>
    </row>
    <row r="8" spans="1:4" ht="32.25" customHeight="1">
      <c r="A8" s="34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9"/>
      <c r="C8" s="3479"/>
      <c r="D8" s="3479"/>
    </row>
    <row r="9" spans="1:4" ht="33.75" customHeight="1">
      <c r="A9" s="34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9"/>
      <c r="C9" s="3479"/>
      <c r="D9" s="3479"/>
    </row>
    <row r="10" spans="1:4">
      <c r="A10" s="3479" t="str">
        <f>IF(项目基本情况!B8="抵押","4.估价师所知悉的法定优先受偿款情况为：","——")</f>
        <v>4.估价师所知悉的法定优先受偿款情况为：</v>
      </c>
      <c r="B10" s="3479"/>
      <c r="C10" s="3479"/>
      <c r="D10" s="3479"/>
    </row>
    <row r="11" spans="1:4" ht="37.5" customHeight="1">
      <c r="A11" s="34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1"/>
      <c r="C11" s="3481"/>
      <c r="D11" s="3481"/>
    </row>
    <row r="12" spans="1:4" ht="168" customHeight="1">
      <c r="A12" s="3482" t="s">
        <v>1860</v>
      </c>
      <c r="B12" s="3482"/>
      <c r="C12" s="3482"/>
      <c r="D12" s="3482"/>
    </row>
    <row r="13" spans="1:4">
      <c r="A13" s="3480" t="s">
        <v>2463</v>
      </c>
      <c r="B13" s="3480"/>
      <c r="C13" s="3480"/>
      <c r="D13" s="3480"/>
    </row>
    <row r="14" spans="1:4">
      <c r="A14" s="3481" t="str">
        <f>IF(项目基本情况!B8="抵押","综上，"&amp;结果表!K47,"——")</f>
        <v>综上，本次评估不存在估价师知悉的法定优先受偿款</v>
      </c>
      <c r="B14" s="3481"/>
      <c r="C14" s="3481"/>
      <c r="D14" s="3481"/>
    </row>
    <row r="15" spans="1:4" ht="58.5" customHeight="1">
      <c r="A15" s="34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9"/>
      <c r="C15" s="3479"/>
      <c r="D15" s="3479"/>
    </row>
    <row r="16" spans="1:4" ht="70.5" customHeight="1">
      <c r="A16" s="34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9"/>
      <c r="C16" s="3479"/>
      <c r="D16" s="3479"/>
    </row>
    <row r="17" spans="1:4">
      <c r="A17" s="3479" t="s">
        <v>2419</v>
      </c>
      <c r="B17" s="3479"/>
      <c r="C17" s="3479"/>
      <c r="D17" s="3479"/>
    </row>
    <row r="18" spans="1:4">
      <c r="A18" s="3479" t="s">
        <v>2411</v>
      </c>
      <c r="B18" s="3479"/>
      <c r="C18" s="3479"/>
      <c r="D18" s="3479"/>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79" t="s">
        <v>2416</v>
      </c>
      <c r="B23" s="3479"/>
      <c r="C23" s="3479"/>
      <c r="D23" s="3479"/>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91" t="s">
        <v>53</v>
      </c>
      <c r="B15" s="3492" t="s">
        <v>826</v>
      </c>
      <c r="C15" s="3488"/>
    </row>
    <row r="16" spans="1:7" ht="14.25">
      <c r="A16" s="3491"/>
      <c r="B16" s="3489" t="s">
        <v>54</v>
      </c>
      <c r="C16" s="1119" t="s">
        <v>53</v>
      </c>
    </row>
    <row r="17" spans="1:3" ht="14.25">
      <c r="A17" s="3491"/>
      <c r="B17" s="3489"/>
      <c r="C17" s="1119" t="s">
        <v>55</v>
      </c>
    </row>
    <row r="18" spans="1:3" ht="14.25">
      <c r="A18" s="3491"/>
      <c r="B18" s="3489"/>
      <c r="C18" s="1119" t="s">
        <v>56</v>
      </c>
    </row>
    <row r="19" spans="1:3" ht="14.25">
      <c r="A19" s="3491"/>
      <c r="B19" s="3487" t="s">
        <v>57</v>
      </c>
      <c r="C19" s="3488"/>
    </row>
    <row r="20" spans="1:3" ht="14.25">
      <c r="A20" s="1120" t="s">
        <v>58</v>
      </c>
      <c r="B20" s="1121"/>
      <c r="C20" s="1122"/>
    </row>
    <row r="21" spans="1:3" ht="14.25">
      <c r="A21" s="3490" t="s">
        <v>59</v>
      </c>
      <c r="B21" s="3487" t="s">
        <v>60</v>
      </c>
      <c r="C21" s="3488"/>
    </row>
    <row r="22" spans="1:3" ht="14.25">
      <c r="A22" s="3490"/>
      <c r="B22" s="3487" t="s">
        <v>61</v>
      </c>
      <c r="C22" s="3488"/>
    </row>
    <row r="23" spans="1:3" ht="14.25">
      <c r="A23" s="3490"/>
      <c r="B23" s="3487" t="s">
        <v>62</v>
      </c>
      <c r="C23" s="3488"/>
    </row>
    <row r="24" spans="1:3" ht="14.25">
      <c r="A24" s="3490"/>
      <c r="B24" s="3493" t="s">
        <v>63</v>
      </c>
      <c r="C24" s="1123" t="s">
        <v>817</v>
      </c>
    </row>
    <row r="25" spans="1:3" ht="14.25">
      <c r="A25" s="3490"/>
      <c r="B25" s="3494"/>
      <c r="C25" s="1123" t="s">
        <v>818</v>
      </c>
    </row>
    <row r="26" spans="1:3" ht="14.25">
      <c r="A26" s="3490"/>
      <c r="B26" s="3494"/>
      <c r="C26" s="1123" t="s">
        <v>819</v>
      </c>
    </row>
    <row r="27" spans="1:3" ht="14.25">
      <c r="A27" s="3490"/>
      <c r="B27" s="3494"/>
      <c r="C27" s="1123" t="s">
        <v>820</v>
      </c>
    </row>
    <row r="28" spans="1:3" ht="14.25">
      <c r="A28" s="3490"/>
      <c r="B28" s="3494"/>
      <c r="C28" s="1123" t="s">
        <v>821</v>
      </c>
    </row>
    <row r="29" spans="1:3" ht="14.25">
      <c r="A29" s="3490"/>
      <c r="B29" s="3494"/>
      <c r="C29" s="1123" t="s">
        <v>822</v>
      </c>
    </row>
    <row r="30" spans="1:3" ht="14.25">
      <c r="A30" s="3490"/>
      <c r="B30" s="3494"/>
      <c r="C30" s="1123" t="s">
        <v>823</v>
      </c>
    </row>
    <row r="31" spans="1:3" ht="14.25">
      <c r="A31" s="3490"/>
      <c r="B31" s="3494"/>
      <c r="C31" s="1123" t="s">
        <v>824</v>
      </c>
    </row>
    <row r="32" spans="1:3" ht="14.25">
      <c r="A32" s="3490"/>
      <c r="B32" s="3494"/>
      <c r="C32" s="1123" t="s">
        <v>1446</v>
      </c>
    </row>
    <row r="33" spans="1:3" ht="14.25">
      <c r="A33" s="3490"/>
      <c r="B33" s="3484" t="s">
        <v>1452</v>
      </c>
      <c r="C33" s="1123" t="s">
        <v>1447</v>
      </c>
    </row>
    <row r="34" spans="1:3" ht="14.25">
      <c r="A34" s="3490"/>
      <c r="B34" s="3485"/>
      <c r="C34" s="1128" t="s">
        <v>1448</v>
      </c>
    </row>
    <row r="35" spans="1:3" ht="14.25">
      <c r="A35" s="3490"/>
      <c r="B35" s="3485"/>
      <c r="C35" s="1129" t="s">
        <v>1449</v>
      </c>
    </row>
    <row r="36" spans="1:3" ht="14.25">
      <c r="A36" s="3490"/>
      <c r="B36" s="3485"/>
      <c r="C36" s="1129" t="s">
        <v>1450</v>
      </c>
    </row>
    <row r="37" spans="1:3" ht="14.25">
      <c r="A37" s="3490"/>
      <c r="B37" s="3486"/>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1703</v>
      </c>
      <c r="B2" s="2936">
        <f ca="1">TODAY()</f>
        <v>44819</v>
      </c>
      <c r="C2" s="2937" t="s">
        <v>1704</v>
      </c>
      <c r="D2" s="2937"/>
      <c r="E2" s="2934"/>
      <c r="F2" s="2934"/>
      <c r="G2" s="2934"/>
    </row>
    <row r="3" spans="1:7" ht="20.25" customHeight="1">
      <c r="A3" s="2958" t="s">
        <v>1705</v>
      </c>
      <c r="B3" s="2939" t="s">
        <v>1706</v>
      </c>
      <c r="C3" s="2940" t="s">
        <v>1707</v>
      </c>
      <c r="D3" s="2959" t="s">
        <v>1708</v>
      </c>
      <c r="E3" s="2939" t="s">
        <v>1709</v>
      </c>
      <c r="F3" s="2939" t="s">
        <v>1707</v>
      </c>
      <c r="G3" s="2934"/>
    </row>
    <row r="4" spans="1:7" ht="20.25" customHeight="1">
      <c r="A4" s="2939" t="s">
        <v>1710</v>
      </c>
      <c r="B4" s="2939">
        <f ca="1">IF(C4&lt;B2,"已过期",1119970066)</f>
        <v>1119970066</v>
      </c>
      <c r="C4" s="2942">
        <v>44876</v>
      </c>
      <c r="D4" s="2950" t="s">
        <v>1710</v>
      </c>
      <c r="E4" s="2939">
        <f ca="1">IF(F4&lt;B2,"已过期",96010014)</f>
        <v>96010014</v>
      </c>
      <c r="F4" s="2941">
        <v>47118</v>
      </c>
      <c r="G4" s="2934"/>
    </row>
    <row r="5" spans="1:7" ht="20.25" customHeight="1">
      <c r="A5" s="2939" t="s">
        <v>1711</v>
      </c>
      <c r="B5" s="2939">
        <f ca="1">IF(C5&lt;B2,"已过期",1119970111)</f>
        <v>1119970111</v>
      </c>
      <c r="C5" s="2942">
        <v>44876</v>
      </c>
      <c r="D5" s="2950" t="s">
        <v>1711</v>
      </c>
      <c r="E5" s="2939">
        <f ca="1">IF(F5&lt;B2,"已过期",94010078)</f>
        <v>94010078</v>
      </c>
      <c r="F5" s="2941">
        <v>46387</v>
      </c>
      <c r="G5" s="2934"/>
    </row>
    <row r="6" spans="1:7" ht="20.25" customHeight="1">
      <c r="A6" s="2939" t="s">
        <v>1712</v>
      </c>
      <c r="B6" s="2939">
        <f ca="1">IF(C6&lt;B2,"已过期",1120050019)</f>
        <v>1120050019</v>
      </c>
      <c r="C6" s="2942">
        <v>45410</v>
      </c>
      <c r="D6" s="2950" t="s">
        <v>1712</v>
      </c>
      <c r="E6" s="2939">
        <f ca="1">IF(F6&lt;B2,"已过期",2002110030)</f>
        <v>2002110030</v>
      </c>
      <c r="F6" s="2941">
        <v>46387</v>
      </c>
      <c r="G6" s="2934"/>
    </row>
    <row r="7" spans="1:7" ht="20.25" customHeight="1">
      <c r="A7" s="2939" t="s">
        <v>1713</v>
      </c>
      <c r="B7" s="2939">
        <f ca="1">IF(C7&lt;B2,"已过期",1120000080)</f>
        <v>1120000080</v>
      </c>
      <c r="C7" s="2942">
        <v>44876</v>
      </c>
      <c r="D7" s="2950" t="s">
        <v>1713</v>
      </c>
      <c r="E7" s="2939">
        <f ca="1">IF(F7&lt;B2,"已过期",2000110082)</f>
        <v>2000110082</v>
      </c>
      <c r="F7" s="2941">
        <v>46387</v>
      </c>
      <c r="G7" s="2934"/>
    </row>
    <row r="8" spans="1:7" ht="20.25" customHeight="1">
      <c r="A8" s="2939" t="s">
        <v>1714</v>
      </c>
      <c r="B8" s="2939">
        <f ca="1">IF(C8&lt;B2,"已过期",1419970001)</f>
        <v>1419970001</v>
      </c>
      <c r="C8" s="2942">
        <v>44899</v>
      </c>
      <c r="D8" s="2950" t="s">
        <v>1714</v>
      </c>
      <c r="E8" s="2939">
        <f ca="1">IF(F8&lt;B2,"已过期",2002110125)</f>
        <v>2002110125</v>
      </c>
      <c r="F8" s="2941">
        <v>47118</v>
      </c>
      <c r="G8" s="2934"/>
    </row>
    <row r="9" spans="1:7" ht="20.25" customHeight="1">
      <c r="A9" s="2939" t="s">
        <v>1715</v>
      </c>
      <c r="B9" s="2939">
        <f ca="1">IF(C9&lt;B2,"已过期",1120060040)</f>
        <v>1120060040</v>
      </c>
      <c r="C9" s="2942">
        <v>45592</v>
      </c>
      <c r="D9" s="2950" t="s">
        <v>1715</v>
      </c>
      <c r="E9" s="2939">
        <f ca="1">IF(F9&lt;B2,"已过期",2004110096)</f>
        <v>2004110096</v>
      </c>
      <c r="F9" s="2941">
        <v>47118</v>
      </c>
      <c r="G9" s="2934"/>
    </row>
    <row r="10" spans="1:7" ht="20.25" customHeight="1">
      <c r="A10" s="2939" t="s">
        <v>1716</v>
      </c>
      <c r="B10" s="2939" t="str">
        <f ca="1">IF(C10&lt;B2,"已过期",1120100036)</f>
        <v>已过期</v>
      </c>
      <c r="C10" s="2942">
        <v>44675</v>
      </c>
      <c r="D10" s="2950" t="s">
        <v>1716</v>
      </c>
      <c r="E10" s="2939">
        <f ca="1">IF(F10&lt;B2,"已过期",2010110070)</f>
        <v>2010110070</v>
      </c>
      <c r="F10" s="2941">
        <v>47907</v>
      </c>
      <c r="G10" s="2934"/>
    </row>
    <row r="11" spans="1:7" ht="20.25" customHeight="1">
      <c r="A11" s="2939" t="s">
        <v>1717</v>
      </c>
      <c r="B11" s="2939">
        <f ca="1">IF(C11&lt;B2,"已过期",1120070131)</f>
        <v>1120070131</v>
      </c>
      <c r="C11" s="2942">
        <v>44849</v>
      </c>
      <c r="D11" s="2950" t="s">
        <v>1717</v>
      </c>
      <c r="E11" s="2939">
        <f ca="1">IF(F11&lt;B2,"已过期",2014110011)</f>
        <v>2014110011</v>
      </c>
      <c r="F11" s="2941">
        <v>49302</v>
      </c>
      <c r="G11" s="2934"/>
    </row>
    <row r="12" spans="1:7" ht="20.25" customHeight="1">
      <c r="A12" s="2939" t="s">
        <v>2678</v>
      </c>
      <c r="B12" s="2939">
        <f ca="1">IF(C12&lt;B2,"已过期",1120040230)</f>
        <v>1120040230</v>
      </c>
      <c r="C12" s="2942">
        <v>44864</v>
      </c>
      <c r="D12" s="2950" t="s">
        <v>2679</v>
      </c>
      <c r="E12" s="2939">
        <f ca="1">IF(F12&lt;B2,"已过期",98030020)</f>
        <v>98030020</v>
      </c>
      <c r="F12" s="2941">
        <v>47118</v>
      </c>
      <c r="G12" s="2934"/>
    </row>
    <row r="13" spans="1:7" ht="20.25" customHeight="1">
      <c r="A13" s="2939"/>
      <c r="B13" s="2939"/>
      <c r="C13" s="2942"/>
      <c r="D13" s="2950" t="s">
        <v>1718</v>
      </c>
      <c r="E13" s="2939">
        <f ca="1">IF(F13&lt;B2,"已过期",2011110090)</f>
        <v>2011110090</v>
      </c>
      <c r="F13" s="2941">
        <v>48302</v>
      </c>
      <c r="G13" s="2934"/>
    </row>
    <row r="14" spans="1:7" ht="20.25" customHeight="1">
      <c r="A14" s="2939" t="s">
        <v>1719</v>
      </c>
      <c r="B14" s="2939" t="str">
        <f ca="1">IF(C14&lt;B2,"已过期",1120020033)</f>
        <v>已过期</v>
      </c>
      <c r="C14" s="2942">
        <v>44339</v>
      </c>
      <c r="D14" s="2950" t="s">
        <v>1719</v>
      </c>
      <c r="E14" s="2939">
        <f ca="1">IF(F14&lt;B2,"已过期",2000110137)</f>
        <v>2000110137</v>
      </c>
      <c r="F14" s="2941">
        <v>46387</v>
      </c>
      <c r="G14" s="2934"/>
    </row>
    <row r="15" spans="1:7" ht="20.25" customHeight="1">
      <c r="A15" s="2939" t="s">
        <v>2691</v>
      </c>
      <c r="B15" s="2939">
        <f ca="1">IF(C15&lt;B2,"已过期",1119980106)</f>
        <v>1119980106</v>
      </c>
      <c r="C15" s="2942">
        <v>44969</v>
      </c>
      <c r="D15" s="2950"/>
      <c r="E15" s="2939"/>
      <c r="F15" s="2939"/>
      <c r="G15" s="2934"/>
    </row>
    <row r="16" spans="1:7" ht="20.25" customHeight="1">
      <c r="A16" s="2938" t="s">
        <v>2892</v>
      </c>
      <c r="B16" s="2938">
        <v>1120210056</v>
      </c>
      <c r="C16" s="2942">
        <v>45410</v>
      </c>
      <c r="D16" s="2950"/>
      <c r="E16" s="2939"/>
      <c r="F16" s="2939"/>
      <c r="G16" s="2934"/>
    </row>
    <row r="17" spans="1:7" s="2750" customFormat="1" ht="20.25" customHeight="1">
      <c r="A17" s="2938" t="s">
        <v>1845</v>
      </c>
      <c r="B17" s="2938" t="s">
        <v>1845</v>
      </c>
      <c r="C17" s="2942"/>
      <c r="D17" s="2951" t="s">
        <v>1845</v>
      </c>
      <c r="E17" s="2939" t="s">
        <v>1845</v>
      </c>
      <c r="F17" s="2941"/>
      <c r="G17" s="2943"/>
    </row>
    <row r="18" spans="1:7" ht="20.25" customHeight="1">
      <c r="A18" s="3498" t="s">
        <v>1720</v>
      </c>
      <c r="B18" s="3499"/>
      <c r="C18" s="3499"/>
      <c r="D18" s="3499"/>
      <c r="E18" s="3499"/>
      <c r="F18" s="3499"/>
      <c r="G18" s="2943"/>
    </row>
    <row r="19" spans="1:7" ht="20.25" customHeight="1">
      <c r="A19" s="3495" t="s">
        <v>1721</v>
      </c>
      <c r="B19" s="3495"/>
      <c r="C19" s="3496"/>
      <c r="D19" s="3497" t="s">
        <v>1722</v>
      </c>
      <c r="E19" s="3495"/>
      <c r="F19" s="3495"/>
      <c r="G19" s="2943"/>
    </row>
    <row r="20" spans="1:7" s="2748" customFormat="1" ht="20.25" customHeight="1">
      <c r="A20" s="2944" t="s">
        <v>1723</v>
      </c>
      <c r="B20" s="2945" t="s">
        <v>1724</v>
      </c>
      <c r="C20" s="2952" t="s">
        <v>1725</v>
      </c>
      <c r="D20" s="2950" t="s">
        <v>1723</v>
      </c>
      <c r="E20" s="2945" t="s">
        <v>1724</v>
      </c>
      <c r="F20" s="2945" t="s">
        <v>1725</v>
      </c>
      <c r="G20" s="2935"/>
    </row>
    <row r="21" spans="1:7" s="2748" customFormat="1" ht="20.25" customHeight="1">
      <c r="A21" s="2946" t="s">
        <v>1726</v>
      </c>
      <c r="B21" s="2946" t="s">
        <v>1727</v>
      </c>
      <c r="C21" s="2953">
        <v>44820</v>
      </c>
      <c r="D21" s="2955" t="s">
        <v>1728</v>
      </c>
      <c r="E21" s="2946" t="s">
        <v>2893</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1" t="s">
        <v>2655</v>
      </c>
      <c r="C18" s="1449"/>
    </row>
    <row r="19" spans="1:3">
      <c r="A19" s="8" t="s">
        <v>120</v>
      </c>
      <c r="B19" s="2711" t="s">
        <v>2662</v>
      </c>
      <c r="C19" s="1449"/>
    </row>
    <row r="20" spans="1:3">
      <c r="A20" s="8" t="s">
        <v>121</v>
      </c>
      <c r="B20" s="2711" t="s">
        <v>2704</v>
      </c>
      <c r="C20" s="1449"/>
    </row>
    <row r="21" spans="1:3">
      <c r="A21" s="8" t="s">
        <v>122</v>
      </c>
      <c r="B21" s="8" t="s">
        <v>2884</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500"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c r="D53" s="1641"/>
      <c r="E53" s="1641"/>
    </row>
    <row r="54" spans="1:5">
      <c r="A54" s="3500"/>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500"/>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500"/>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500"/>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2022-09-15T09:04:48Z</dcterms:modified>
</cp:coreProperties>
</file>