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2120" windowHeight="753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17" i="69" l="1"/>
  <c r="C16" i="69" l="1"/>
  <c r="B16" i="6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G7" i="65"/>
  <c r="G5" i="65"/>
  <c r="E7" i="65"/>
  <c r="H7" i="65"/>
  <c r="D7" i="65"/>
  <c r="H6" i="65"/>
  <c r="H5" i="65"/>
  <c r="D6" i="65"/>
  <c r="D4" i="65"/>
  <c r="D5" i="65"/>
  <c r="D8" i="65"/>
  <c r="E4" i="65"/>
  <c r="E6" i="65"/>
  <c r="E8" i="65"/>
  <c r="E5" i="65"/>
  <c r="G4" i="65"/>
  <c r="G6" i="65"/>
  <c r="H8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2" i="65"/>
  <c r="E20" i="43"/>
  <c r="G3" i="65"/>
  <c r="G1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M1" i="60" s="1"/>
  <c r="F47" i="63"/>
  <c r="F45" i="63"/>
  <c r="F43" i="63"/>
  <c r="D43" i="63" s="1"/>
  <c r="J48" i="63"/>
  <c r="I48" i="63" s="1"/>
  <c r="J46" i="63"/>
  <c r="I46" i="63" s="1"/>
  <c r="J44" i="63"/>
  <c r="I44" i="63" s="1"/>
  <c r="F42" i="63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D42" i="63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 s="1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M5" i="43"/>
  <c r="M9" i="43"/>
  <c r="C6" i="43" s="1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F70" i="43" l="1"/>
  <c r="F81" i="43"/>
  <c r="H72" i="43"/>
  <c r="H73" i="43"/>
  <c r="H77" i="43"/>
  <c r="H76" i="43"/>
  <c r="H75" i="43"/>
  <c r="H74" i="43"/>
  <c r="H78" i="43"/>
  <c r="H71" i="43"/>
  <c r="H70" i="43"/>
  <c r="D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H83" i="43" l="1"/>
  <c r="H82" i="43"/>
  <c r="H87" i="43"/>
  <c r="H85" i="43"/>
  <c r="H84" i="43"/>
  <c r="H86" i="43"/>
  <c r="H81" i="43"/>
  <c r="H88" i="43"/>
  <c r="C35" i="43"/>
  <c r="G35" i="43" s="1"/>
  <c r="C33" i="43"/>
  <c r="E33" i="43" s="1"/>
  <c r="C36" i="43"/>
  <c r="G36" i="43" s="1"/>
  <c r="C34" i="43"/>
  <c r="G34" i="43" s="1"/>
  <c r="I34" i="43" s="1"/>
  <c r="C37" i="43"/>
  <c r="C39" i="43"/>
  <c r="C38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5" i="43" l="1"/>
  <c r="E36" i="43"/>
  <c r="E39" i="43"/>
  <c r="G39" i="43"/>
  <c r="E38" i="43"/>
  <c r="G38" i="43"/>
  <c r="I38" i="43" s="1"/>
  <c r="E37" i="43"/>
  <c r="G37" i="43"/>
  <c r="I37" i="43" s="1"/>
  <c r="C30" i="43"/>
  <c r="E34" i="43"/>
  <c r="I35" i="43"/>
  <c r="G33" i="43"/>
  <c r="I33" i="43" s="1"/>
  <c r="E29" i="43"/>
  <c r="I39" i="43"/>
  <c r="I36" i="43"/>
  <c r="C48" i="39"/>
  <c r="B3" i="39" s="1"/>
  <c r="C26" i="43" l="1"/>
  <c r="B2" i="43" s="1"/>
  <c r="E30" i="43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2" i="63"/>
  <c r="B81" i="63" l="1"/>
  <c r="D12" i="63"/>
  <c r="C11" i="63" s="1"/>
  <c r="C18" i="63" l="1"/>
  <c r="C22" i="63" s="1"/>
  <c r="B5" i="63" s="1"/>
  <c r="F7" i="59" s="1"/>
  <c r="C19" i="63"/>
  <c r="E19" i="63" s="1"/>
  <c r="E18" i="63" l="1"/>
  <c r="B3" i="63"/>
  <c r="F6" i="59" s="1"/>
  <c r="F5" i="59" s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<sst xmlns="http://schemas.openxmlformats.org/spreadsheetml/2006/main" count="3945" uniqueCount="1785">
  <si>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</si>
  <si>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</si>
  <si>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</si>
  <si>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</si>
  <si>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</si>
  <si>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</si>
  <si>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</si>
  <si>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</si>
  <si>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</si>
  <si>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</si>
  <si>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</si>
  <si>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</si>
  <si>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</si>
  <si>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</si>
  <si>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</si>
  <si>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</si>
  <si>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</si>
  <si>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</si>
  <si>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</si>
  <si>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</si>
  <si>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</si>
  <si>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</si>
  <si>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</si>
  <si>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</si>
  <si>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</si>
  <si>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</si>
  <si>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</si>
  <si>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</si>
  <si>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</si>
  <si>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</si>
  <si>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</si>
  <si>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</si>
  <si>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</si>
  <si>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</si>
  <si>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</si>
  <si>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</si>
  <si>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</si>
  <si>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</si>
  <si>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</si>
  <si>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</si>
  <si>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</si>
  <si>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</si>
  <si>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</si>
  <si>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</si>
  <si>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</si>
  <si>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</si>
  <si>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</si>
  <si>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</si>
  <si>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</si>
  <si>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</si>
  <si>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</si>
  <si>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</si>
  <si>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</si>
  <si>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</si>
  <si>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</si>
  <si>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</si>
  <si>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</si>
  <si>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</si>
  <si>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</si>
  <si>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</si>
  <si>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</si>
  <si>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</si>
  <si>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</si>
  <si>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</si>
  <si>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</si>
  <si>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</si>
  <si>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</si>
  <si>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</si>
  <si>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</si>
  <si>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</si>
  <si>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</si>
  <si>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</si>
  <si>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</si>
  <si>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</si>
  <si>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</si>
  <si>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</si>
  <si>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</si>
  <si>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</si>
  <si>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</si>
  <si>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</si>
  <si>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</si>
  <si>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</si>
  <si>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</si>
  <si>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</si>
  <si>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</si>
  <si>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</si>
  <si>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</si>
  <si>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</si>
  <si>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</si>
  <si>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</si>
  <si>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</si>
  <si>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</si>
  <si>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</si>
  <si>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</si>
  <si>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</si>
  <si>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</si>
  <si>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</si>
  <si>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</si>
  <si>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</si>
  <si>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</si>
  <si>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</si>
  <si>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</si>
  <si>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</si>
  <si>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</si>
  <si>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</si>
  <si>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</si>
  <si>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</si>
  <si>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</si>
  <si>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</si>
  <si>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</si>
  <si>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</si>
  <si>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</si>
  <si>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</si>
  <si>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</si>
  <si>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</si>
  <si>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</si>
  <si>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</si>
  <si>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</si>
  <si>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</si>
  <si>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</si>
  <si>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</si>
  <si>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</si>
  <si>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</si>
  <si>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</si>
  <si>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</si>
  <si>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</si>
  <si>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</si>
  <si>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</si>
  <si>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</si>
  <si>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</si>
  <si>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</si>
  <si>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</si>
  <si>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</si>
  <si>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</si>
  <si>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</si>
  <si>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</si>
  <si>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</si>
  <si>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</si>
  <si>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</si>
  <si>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</si>
  <si>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</si>
  <si>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</si>
  <si>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</si>
  <si>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</si>
  <si>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</si>
  <si>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</si>
  <si>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</si>
  <si>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</si>
  <si>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</si>
  <si>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</si>
  <si>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</si>
  <si>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</si>
  <si>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</si>
  <si>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</si>
  <si>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</si>
  <si>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</si>
  <si>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</si>
  <si>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</si>
  <si>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</si>
  <si>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</si>
  <si>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</si>
  <si>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</si>
  <si>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</si>
  <si>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</si>
  <si>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</si>
  <si>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</si>
  <si>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</si>
  <si>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</si>
  <si>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</si>
  <si>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</si>
  <si>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</si>
  <si>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</si>
  <si>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</si>
  <si>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</si>
  <si>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</si>
  <si>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</si>
  <si>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</si>
  <si>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</si>
  <si>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</si>
  <si>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</si>
  <si>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</si>
  <si>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</si>
  <si>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</si>
  <si>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</si>
  <si>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</si>
  <si>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</si>
  <si>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</si>
  <si>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</si>
  <si>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</si>
  <si>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</si>
  <si>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</si>
  <si>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</si>
  <si>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</si>
  <si>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</si>
  <si>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</si>
  <si>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</si>
  <si>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</si>
  <si>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</si>
  <si>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</si>
  <si>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</si>
  <si>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</si>
  <si>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</si>
  <si>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</si>
  <si>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</si>
  <si>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</si>
  <si>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</si>
  <si>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</si>
  <si>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</si>
  <si>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</si>
  <si>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</si>
  <si>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</si>
  <si>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</si>
  <si>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</si>
  <si>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</si>
  <si>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</si>
  <si>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</si>
  <si>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</si>
  <si>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</si>
  <si>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</si>
  <si>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</si>
  <si>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</si>
  <si>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</si>
  <si>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</si>
  <si>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</si>
  <si>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</si>
  <si>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</si>
  <si>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</si>
  <si>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</si>
  <si>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</si>
  <si>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</si>
  <si>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</si>
  <si>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</si>
  <si>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</si>
  <si>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</si>
  <si>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</si>
  <si>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</si>
  <si>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</si>
  <si>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</si>
  <si>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</si>
  <si>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</si>
  <si>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</si>
  <si>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</si>
  <si>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</si>
  <si>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</si>
  <si>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</si>
  <si>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</si>
  <si>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</si>
  <si>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</si>
  <si>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</si>
  <si>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</si>
  <si>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</si>
  <si>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</si>
  <si>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</si>
  <si>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</si>
  <si>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</si>
  <si>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</si>
  <si>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</si>
  <si>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</si>
  <si>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</si>
  <si>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</si>
  <si>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</si>
  <si>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</si>
  <si>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</si>
  <si>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</si>
  <si>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</si>
  <si>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</si>
  <si>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</si>
  <si>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</si>
  <si>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</si>
  <si>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</si>
  <si>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</si>
  <si>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</si>
  <si>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</si>
  <si>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</si>
  <si>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</si>
  <si>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</si>
  <si>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</si>
  <si>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</si>
  <si>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</si>
  <si>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</si>
  <si>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</si>
  <si>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</si>
  <si>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</si>
  <si>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</si>
  <si>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</si>
  <si>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</si>
  <si>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</si>
  <si>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</si>
  <si>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</si>
  <si>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</si>
  <si>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</si>
  <si>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</si>
  <si>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</si>
  <si>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</si>
  <si>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</si>
  <si>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</si>
  <si>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</si>
  <si>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</si>
  <si>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</si>
  <si>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</si>
  <si>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</si>
  <si>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</si>
  <si>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</si>
  <si>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</si>
  <si>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</si>
  <si>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</si>
  <si>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</si>
  <si>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</si>
  <si>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</si>
  <si>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</si>
  <si>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</si>
  <si>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</si>
  <si>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</si>
  <si>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</si>
  <si>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</si>
  <si>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</si>
  <si>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</si>
  <si>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</si>
  <si>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</si>
  <si>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</si>
  <si>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</si>
  <si>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</si>
  <si>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</si>
  <si>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</si>
  <si>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</si>
  <si>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</si>
  <si>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</si>
  <si>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</si>
  <si>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</si>
  <si>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</si>
  <si>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</si>
  <si>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</si>
  <si>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</si>
  <si>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</si>
  <si>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</si>
  <si>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</si>
  <si>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</si>
  <si>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</si>
  <si>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</si>
  <si>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</si>
  <si>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</si>
  <si>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</si>
  <si>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</si>
  <si>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</si>
  <si>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</si>
  <si>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</si>
  <si>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</si>
  <si>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</si>
  <si>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</si>
  <si>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</si>
  <si>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</si>
  <si>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</si>
  <si>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</si>
  <si>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</si>
  <si>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</si>
  <si>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</si>
  <si>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</si>
  <si>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</si>
  <si>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</si>
  <si>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</si>
  <si>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</si>
  <si>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</si>
  <si>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</si>
  <si>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</si>
  <si>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</si>
  <si>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</si>
  <si>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</si>
  <si>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</si>
  <si>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</si>
  <si>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</si>
  <si>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</si>
  <si>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</si>
  <si>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</si>
  <si>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</si>
  <si>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</si>
  <si>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</si>
  <si>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</si>
  <si>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</si>
  <si>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</si>
  <si>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</si>
  <si>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</si>
  <si>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</si>
  <si>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</si>
  <si>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</si>
  <si>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</si>
  <si>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</si>
  <si>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</si>
  <si>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</si>
  <si>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</si>
  <si>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</si>
  <si>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</si>
  <si>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</si>
  <si>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</si>
  <si>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</si>
  <si>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</si>
  <si>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</si>
  <si>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</si>
  <si>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</si>
  <si>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</si>
  <si>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</si>
  <si>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</si>
  <si>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</si>
  <si>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</si>
  <si>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</si>
  <si>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</si>
  <si>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</si>
  <si>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</si>
  <si>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</si>
  <si>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</si>
  <si>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</si>
  <si>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</si>
  <si>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</si>
  <si>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</si>
  <si>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</si>
  <si>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</si>
  <si>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</si>
  <si>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</si>
  <si>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</si>
  <si>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</si>
  <si>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</si>
  <si>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</si>
  <si>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</si>
  <si>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</si>
  <si>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</si>
  <si>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</si>
  <si>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</si>
  <si>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</si>
  <si>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</si>
  <si>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</si>
  <si>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</si>
  <si>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</si>
  <si>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</si>
  <si>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</si>
  <si>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</si>
  <si>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</si>
  <si>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</si>
  <si>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</si>
  <si>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</si>
  <si>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</si>
  <si>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</si>
  <si>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</si>
  <si>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</si>
  <si>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</si>
  <si>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</si>
  <si>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</si>
  <si>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</si>
  <si>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</si>
  <si>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</si>
  <si>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</si>
  <si>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</si>
  <si>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</si>
  <si>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</si>
  <si>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</si>
  <si>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</si>
  <si>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</si>
  <si>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</si>
  <si>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</si>
  <si>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</si>
  <si>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</si>
  <si>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</si>
  <si>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</si>
  <si>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</si>
  <si>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</si>
  <si>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</si>
  <si>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</si>
  <si>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</si>
  <si>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</si>
  <si>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</si>
  <si>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</si>
  <si>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</si>
  <si>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</si>
  <si>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</si>
  <si>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</si>
  <si>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</si>
  <si>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</si>
  <si>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</si>
  <si>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</si>
  <si>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</si>
  <si>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</si>
  <si>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</si>
  <si>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</si>
  <si>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</si>
  <si>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</si>
  <si>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</si>
  <si>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</si>
  <si>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</si>
  <si>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</si>
  <si>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</si>
  <si>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</si>
  <si>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</si>
  <si>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</si>
  <si>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</si>
  <si>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</si>
  <si>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</si>
  <si>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</si>
  <si>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</si>
  <si>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</si>
  <si>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</si>
  <si>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</si>
  <si>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</si>
  <si>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</si>
  <si>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</si>
  <si>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</si>
  <si>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</si>
  <si>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</si>
  <si>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</si>
  <si>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</si>
  <si>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</si>
  <si>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</si>
  <si>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</si>
  <si>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</si>
  <si>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</si>
  <si>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</si>
  <si>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</si>
  <si>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</si>
  <si>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</si>
  <si>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</si>
  <si>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</si>
  <si>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</si>
  <si>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</si>
  <si>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</si>
  <si>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</si>
  <si>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</si>
  <si>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</si>
  <si>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</si>
  <si>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</si>
  <si>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</si>
  <si>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</si>
  <si>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</si>
  <si>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</si>
  <si>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</si>
  <si>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</si>
  <si>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</si>
  <si>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</si>
  <si>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</si>
  <si>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</si>
  <si>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</si>
  <si>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</si>
  <si>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</si>
  <si>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</si>
  <si>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</si>
  <si>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</si>
  <si>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</si>
  <si>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</si>
  <si>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</si>
  <si>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</si>
  <si>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</si>
  <si>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</si>
  <si>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</si>
  <si>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</si>
  <si>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</si>
  <si>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</si>
  <si>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</si>
  <si>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</si>
  <si>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</si>
  <si>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</si>
  <si>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</si>
  <si>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</si>
  <si>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</si>
  <si>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</si>
  <si>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</si>
  <si>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</si>
  <si>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</si>
  <si>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</si>
  <si>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</si>
  <si>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</si>
  <si>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</si>
  <si>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</si>
  <si>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</si>
  <si>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</si>
  <si>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</si>
  <si>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</si>
  <si>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</si>
  <si>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</si>
  <si>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</si>
  <si>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</si>
  <si>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</si>
  <si>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</si>
  <si>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</si>
  <si>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</si>
  <si>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</si>
  <si>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</si>
  <si>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</si>
  <si>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</si>
  <si>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</si>
  <si>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</si>
  <si>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</si>
  <si>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</si>
  <si>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</si>
  <si>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</si>
  <si>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</si>
  <si>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</si>
  <si>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</si>
  <si>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</si>
  <si>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</si>
  <si>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</si>
  <si>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</si>
  <si>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</si>
  <si>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</si>
  <si>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</si>
  <si>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</si>
  <si>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</si>
  <si>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</si>
  <si>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</si>
  <si>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</si>
  <si>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</si>
  <si>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</si>
  <si>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</si>
  <si>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</si>
  <si>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</si>
  <si>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</si>
  <si>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</si>
  <si>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</si>
  <si>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</si>
  <si>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</si>
  <si>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</si>
  <si>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</si>
  <si>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</si>
  <si>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</si>
  <si>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</si>
  <si>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</si>
  <si>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</si>
  <si>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</si>
  <si>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</si>
  <si>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</si>
  <si>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</si>
  <si>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</si>
  <si>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</si>
  <si>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</si>
  <si>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</si>
  <si>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</si>
  <si>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</si>
  <si>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</si>
  <si>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</si>
  <si>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</si>
  <si>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</si>
  <si>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</si>
  <si>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</si>
  <si>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</si>
  <si>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</si>
  <si>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</si>
  <si>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</si>
  <si>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</si>
  <si>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</si>
  <si>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</si>
  <si>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</si>
  <si>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</si>
  <si>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</si>
  <si>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</si>
  <si>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</si>
  <si>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</si>
  <si>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</si>
  <si>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</si>
  <si>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</si>
  <si>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</si>
  <si>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</si>
  <si>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</si>
  <si>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</si>
  <si>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</si>
  <si>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</si>
  <si>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</si>
  <si>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</si>
  <si>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</si>
  <si>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</si>
  <si>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</si>
  <si>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</si>
  <si>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</si>
  <si>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</si>
  <si>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</si>
  <si>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</si>
  <si>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</si>
  <si>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</si>
  <si>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</si>
  <si>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</si>
  <si>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</si>
  <si>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</si>
  <si>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</si>
  <si>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</si>
  <si>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</si>
  <si>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</si>
  <si>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</si>
  <si>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</si>
  <si>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</si>
  <si>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</si>
  <si>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</si>
  <si>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</si>
  <si>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</si>
  <si>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</si>
  <si>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</si>
  <si>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</si>
  <si>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</si>
  <si>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</si>
  <si>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</si>
  <si>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</si>
  <si>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</si>
  <si>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</si>
  <si>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</si>
  <si>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</si>
  <si>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</si>
  <si>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</si>
  <si>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</si>
  <si>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</si>
  <si>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</si>
  <si>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</si>
  <si>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</si>
  <si>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</si>
  <si>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</si>
  <si>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</si>
  <si>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</si>
  <si>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</si>
  <si>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</si>
  <si>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</si>
  <si>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</si>
  <si>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</si>
  <si>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</si>
  <si>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</si>
  <si>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</si>
  <si>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</si>
  <si>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</si>
  <si>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</si>
  <si>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</si>
  <si>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</si>
  <si>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</si>
  <si>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</si>
  <si>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</si>
  <si>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</si>
  <si>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</si>
  <si>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</si>
  <si>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</si>
  <si>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</si>
  <si>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</si>
  <si>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</si>
  <si>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</si>
  <si>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</si>
  <si>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</si>
  <si>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</si>
  <si>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</si>
  <si>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</si>
  <si>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</si>
  <si>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</si>
  <si>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</si>
  <si>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</si>
  <si>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</si>
  <si>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</si>
  <si>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</si>
  <si>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</si>
  <si>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</si>
  <si>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</si>
  <si>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</si>
  <si>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</si>
  <si>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</si>
  <si>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</si>
  <si>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</si>
  <si>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</si>
  <si>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</si>
  <si>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</si>
  <si>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</si>
  <si>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</si>
  <si>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</si>
  <si>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</si>
  <si>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</si>
  <si>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</si>
  <si>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</si>
  <si>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</si>
  <si>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</si>
  <si>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</si>
  <si>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</si>
  <si>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</si>
  <si>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</si>
  <si>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</si>
  <si>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</si>
  <si>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</si>
  <si>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</si>
  <si>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</si>
  <si>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</si>
  <si>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</si>
  <si>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</si>
  <si>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</si>
  <si>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</si>
  <si>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</si>
  <si>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</si>
  <si>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</si>
  <si>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</si>
  <si>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</si>
  <si>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</si>
  <si>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</si>
  <si>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</si>
  <si>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</si>
  <si>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</si>
  <si>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</si>
  <si>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</si>
  <si>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</si>
  <si>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</si>
  <si>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</si>
  <si>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</si>
  <si>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</si>
  <si>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</si>
  <si>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</si>
  <si>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</si>
  <si>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</si>
  <si>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</si>
  <si>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</si>
  <si>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</si>
  <si>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</si>
  <si>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</si>
  <si>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</si>
  <si>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</si>
  <si>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</si>
  <si>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</si>
  <si>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</si>
  <si>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</si>
  <si>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</si>
  <si>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</si>
  <si>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</si>
  <si>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</si>
  <si>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</si>
  <si>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</si>
  <si>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</si>
  <si>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</si>
  <si>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</si>
  <si>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</si>
  <si>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</si>
  <si>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</si>
  <si>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</si>
  <si>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</si>
  <si>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</si>
  <si>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</si>
  <si>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</si>
  <si>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</si>
  <si>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</si>
  <si>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</si>
  <si>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</si>
  <si>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</si>
  <si>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</si>
  <si>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</si>
  <si>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</si>
  <si>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</si>
  <si>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</si>
  <si>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</si>
  <si>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</si>
  <si>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</si>
  <si>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</si>
  <si>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</si>
  <si>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</si>
  <si>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</si>
  <si>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</si>
  <si>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</si>
  <si>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</si>
  <si>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</si>
  <si>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</si>
  <si>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</si>
  <si>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</si>
  <si>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</si>
  <si>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</si>
  <si>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</si>
  <si>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</si>
  <si>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</si>
  <si>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</si>
  <si>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</si>
  <si>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</si>
  <si>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</si>
  <si>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</si>
  <si>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</si>
  <si>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</si>
  <si>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</si>
  <si>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</si>
  <si>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</si>
  <si>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</si>
  <si>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</si>
  <si>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</si>
  <si>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</si>
  <si>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</si>
  <si>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</si>
  <si>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</si>
  <si>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</si>
  <si>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</si>
  <si>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</si>
  <si>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</si>
  <si>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</si>
  <si>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</si>
  <si>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</si>
  <si>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</si>
  <si>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</si>
  <si>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</si>
  <si>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</si>
  <si>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</si>
  <si>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</si>
  <si>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</si>
  <si>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</si>
  <si>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</si>
  <si>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</si>
  <si>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</si>
  <si>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</si>
  <si>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</si>
  <si>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</si>
  <si>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</si>
  <si>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</si>
  <si>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</si>
  <si>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</si>
  <si>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</si>
  <si>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</si>
  <si>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</si>
  <si>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</si>
  <si>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</si>
  <si>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</si>
  <si>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</si>
  <si>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</si>
  <si>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</si>
  <si>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</si>
  <si>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</si>
  <si>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</si>
  <si>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</si>
  <si>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</si>
  <si>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</si>
  <si>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</si>
  <si>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</si>
  <si>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</si>
  <si>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</si>
  <si>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</si>
  <si>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</si>
  <si>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</si>
  <si>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</si>
  <si>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</si>
  <si>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</si>
  <si>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</si>
  <si>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</si>
  <si>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</si>
  <si>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</si>
  <si>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</si>
  <si>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</si>
  <si>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</si>
  <si>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</si>
  <si>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</si>
  <si>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</si>
  <si>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</si>
  <si>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</si>
  <si>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</si>
  <si>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</si>
  <si>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</si>
  <si>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</si>
  <si>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</si>
  <si>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</si>
  <si>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</si>
  <si>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</si>
  <si>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</si>
  <si>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</si>
  <si>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</si>
  <si>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</si>
  <si>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</si>
  <si>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</si>
  <si>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</si>
  <si>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</si>
  <si>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</si>
  <si>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</si>
  <si>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</si>
  <si>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</si>
  <si>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</si>
  <si>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</si>
  <si>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</si>
  <si>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</si>
  <si>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</si>
  <si>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</si>
  <si>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</si>
  <si>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</si>
  <si>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</si>
  <si>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</si>
  <si>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</si>
  <si>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</si>
  <si>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</si>
  <si>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</si>
  <si>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</si>
  <si>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</si>
  <si>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</si>
  <si>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</si>
  <si>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</si>
  <si>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</si>
  <si>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</si>
  <si>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</si>
  <si>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</si>
  <si>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</si>
  <si>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</si>
  <si>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</si>
  <si>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</si>
  <si>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</si>
  <si>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</si>
  <si>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</si>
  <si>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</si>
  <si>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</si>
  <si>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</si>
  <si>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</si>
  <si>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</si>
  <si>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</si>
  <si>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</si>
  <si>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</si>
  <si>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</si>
  <si>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</si>
  <si>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</si>
  <si>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</si>
  <si>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</si>
  <si>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</si>
  <si>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</si>
  <si>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</si>
  <si>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</si>
  <si>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</si>
  <si>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</si>
  <si>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</si>
  <si>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</si>
  <si>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</si>
  <si>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</si>
  <si>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</si>
  <si>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</si>
  <si>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</si>
  <si>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</si>
  <si>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</si>
  <si>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</si>
  <si>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</si>
  <si>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</si>
  <si>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</si>
  <si>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</si>
  <si>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</si>
  <si>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</si>
  <si>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</si>
  <si>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</si>
  <si>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</si>
  <si>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</si>
  <si>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</si>
  <si>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</si>
  <si>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</si>
  <si>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</si>
  <si>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</si>
  <si>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</si>
  <si>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</si>
  <si>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</si>
  <si>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</si>
  <si>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</si>
  <si>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</si>
  <si>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</si>
  <si>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</si>
  <si>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</si>
  <si>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</si>
  <si>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</si>
  <si>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</si>
  <si>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</si>
  <si>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</si>
  <si>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</si>
  <si>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</si>
  <si>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</si>
  <si>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</si>
  <si>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</si>
  <si>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</si>
  <si>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</si>
  <si>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</si>
  <si>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</si>
  <si>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</si>
  <si>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</si>
  <si>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</si>
  <si>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</si>
  <si>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</si>
  <si>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</si>
  <si>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</si>
  <si>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</si>
  <si>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</si>
  <si>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</si>
  <si>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</si>
  <si>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</si>
  <si>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</si>
  <si>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</si>
  <si>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</si>
  <si>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</si>
  <si>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</si>
  <si>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</si>
  <si>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</si>
  <si>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</si>
  <si>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</si>
  <si>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</si>
  <si>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</si>
  <si>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</si>
  <si>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</si>
  <si>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</si>
  <si>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</si>
  <si>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</si>
  <si>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</si>
  <si>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</si>
  <si>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</si>
  <si>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</si>
  <si>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</si>
  <si>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</si>
  <si>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</si>
  <si>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</si>
  <si>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</si>
  <si>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</si>
  <si>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</si>
  <si>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</si>
  <si>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</si>
  <si>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</si>
  <si>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</si>
  <si>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</si>
  <si>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</si>
  <si>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</si>
  <si>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</si>
  <si>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</si>
  <si>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</si>
  <si>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</si>
  <si>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</si>
  <si>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</si>
  <si>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</si>
  <si>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</si>
  <si>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</si>
  <si>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</si>
  <si>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</si>
  <si>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</si>
  <si>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</si>
  <si>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</si>
  <si>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</si>
  <si>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</si>
  <si>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</si>
  <si>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</si>
  <si>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</si>
  <si>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</si>
  <si>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</si>
  <si>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</si>
  <si>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</si>
  <si>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</si>
  <si>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</si>
  <si>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</si>
  <si>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</si>
  <si>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</si>
  <si>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</si>
  <si>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</si>
  <si>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</si>
  <si>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</si>
  <si>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</si>
  <si>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</si>
  <si>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</si>
  <si>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</si>
  <si>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</si>
  <si>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</si>
  <si>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</si>
  <si>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</si>
  <si>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</si>
  <si>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</si>
  <si>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</si>
  <si>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</si>
  <si>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</si>
  <si>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</si>
  <si>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</si>
  <si>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</si>
  <si>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</si>
  <si>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</si>
  <si>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</si>
  <si>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</si>
  <si>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</si>
  <si>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</si>
  <si>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</si>
  <si>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</si>
  <si>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</si>
  <si>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</si>
  <si>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</si>
  <si>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</si>
  <si>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</si>
  <si>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</si>
  <si>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</si>
  <si>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</si>
  <si>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</si>
  <si>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</si>
  <si>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</si>
  <si>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</si>
  <si>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</si>
  <si>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</si>
  <si>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</si>
  <si>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</si>
  <si>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</si>
  <si>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</si>
  <si>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</si>
  <si>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</si>
  <si>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</si>
  <si>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</si>
  <si>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</si>
  <si>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</si>
  <si>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</si>
  <si>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</si>
  <si>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</si>
  <si>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</si>
  <si>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</si>
  <si>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</si>
  <si>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</si>
  <si>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</si>
  <si>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</si>
  <si>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</si>
  <si>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</si>
  <si>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</si>
  <si>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</si>
  <si>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</si>
  <si>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</si>
  <si>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</si>
  <si>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</si>
  <si>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</si>
  <si>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</si>
  <si>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</si>
  <si>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</si>
  <si>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</si>
  <si>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</si>
  <si>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</si>
  <si>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</si>
  <si>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</si>
  <si>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</si>
  <si>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</si>
  <si>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</si>
  <si>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</si>
  <si>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</si>
  <si>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</si>
  <si>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</si>
  <si>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</si>
  <si>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</si>
  <si>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</si>
  <si>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</si>
  <si>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</si>
  <si>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</si>
  <si>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</si>
  <si>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</si>
  <si>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</si>
  <si>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</si>
  <si>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</si>
  <si>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</si>
  <si>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</si>
  <si>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</si>
  <si>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</si>
  <si>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</si>
  <si>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</si>
  <si>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</si>
  <si>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</si>
  <si>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</si>
  <si>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</si>
  <si>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</si>
  <si>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</si>
  <si>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</si>
  <si>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</si>
  <si>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</si>
  <si>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</si>
  <si>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</si>
  <si>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</si>
  <si>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</si>
  <si>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</si>
  <si>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</si>
  <si>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</si>
  <si>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</si>
  <si>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</si>
  <si>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</si>
  <si>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</si>
  <si>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</si>
  <si>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</si>
  <si>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</si>
  <si>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</si>
  <si>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</si>
  <si>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</si>
  <si>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</si>
  <si>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</si>
  <si>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</si>
  <si>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</si>
  <si>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</si>
  <si>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</si>
  <si>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</si>
  <si>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</si>
  <si>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</si>
  <si>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</si>
  <si>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</si>
  <si>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</si>
  <si>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</si>
  <si>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</si>
  <si>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</si>
  <si>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</si>
  <si>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</si>
  <si>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</si>
  <si>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</si>
  <si>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</si>
  <si>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</si>
  <si>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</si>
  <si>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</si>
  <si>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</si>
  <si>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</si>
  <si>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</si>
  <si>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</si>
  <si>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</si>
  <si>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</si>
  <si>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</si>
  <si>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</si>
  <si>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</si>
  <si>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</si>
  <si>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</si>
  <si>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</si>
  <si>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</si>
  <si>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</si>
  <si>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</si>
  <si>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</si>
  <si>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</si>
  <si>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</si>
  <si>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</si>
  <si>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</si>
  <si>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</si>
  <si>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</si>
  <si>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</si>
  <si>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</si>
  <si>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</si>
  <si>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</si>
  <si>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</si>
  <si>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</si>
  <si>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</si>
  <si>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</si>
  <si>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</si>
  <si>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</si>
  <si>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</si>
  <si>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</si>
  <si>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</si>
  <si>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</si>
  <si>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</si>
  <si>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</si>
  <si>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</si>
  <si>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</si>
  <si>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</si>
  <si>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</si>
  <si>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</si>
  <si>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</si>
  <si>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</si>
  <si>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</si>
  <si>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</si>
  <si>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</si>
  <si>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</si>
  <si>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</si>
  <si>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</si>
  <si>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</si>
  <si>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</si>
  <si>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</si>
  <si>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</si>
  <si>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</si>
  <si>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</si>
  <si>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</si>
  <si>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</si>
  <si>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</si>
  <si>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</si>
  <si>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</si>
  <si>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</si>
  <si>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</si>
  <si>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</si>
  <si>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</si>
  <si>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</si>
  <si>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</si>
  <si>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</si>
  <si>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</si>
  <si>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</si>
  <si>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</si>
  <si>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</si>
  <si>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</si>
  <si>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</si>
  <si>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</si>
  <si>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</si>
  <si>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</si>
  <si>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</si>
  <si>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</si>
  <si>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</si>
  <si>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</si>
  <si>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</si>
  <si>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</si>
  <si>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</si>
  <si>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</si>
  <si>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</si>
  <si>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</si>
  <si>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</si>
  <si>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</si>
  <si>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</si>
  <si>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</si>
  <si>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</si>
  <si>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</si>
  <si>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</si>
  <si>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</si>
  <si>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</si>
  <si>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</si>
  <si>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</si>
  <si>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</si>
  <si>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</si>
  <si>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</si>
  <si>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</si>
  <si>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</si>
  <si>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</si>
  <si>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</si>
  <si>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</si>
  <si>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</si>
  <si>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</si>
  <si>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</si>
  <si>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</si>
  <si>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</si>
  <si>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</si>
  <si>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</si>
  <si>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</si>
  <si>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</si>
  <si>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</si>
  <si>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</si>
  <si>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</si>
  <si>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</si>
  <si>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</si>
  <si>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</si>
  <si>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</si>
  <si>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</si>
  <si>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</si>
  <si>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</si>
  <si>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</si>
  <si>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</si>
  <si>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</si>
  <si>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</si>
  <si>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</si>
  <si>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</si>
  <si>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</si>
  <si>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</si>
  <si>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</si>
  <si>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</si>
  <si>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</si>
  <si>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</si>
  <si>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</si>
  <si>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</si>
  <si>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</si>
  <si>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</si>
  <si>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</si>
  <si>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</si>
  <si>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</si>
  <si>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</si>
  <si>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</si>
  <si>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</si>
  <si>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</si>
  <si>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</si>
  <si>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</si>
  <si>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</si>
  <si>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</si>
  <si>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</si>
  <si>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</si>
  <si>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</si>
  <si>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</si>
  <si>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</si>
  <si>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</si>
  <si>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</si>
  <si>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</si>
  <si>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</si>
  <si>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</si>
  <si>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</si>
  <si>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</si>
  <si>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</si>
  <si>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</si>
  <si>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</si>
  <si>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</si>
  <si>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</si>
  <si>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</si>
  <si>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</si>
  <si>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</si>
  <si>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</si>
  <si>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</si>
  <si>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</si>
  <si>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</si>
  <si>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</si>
  <si>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</si>
  <si>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</si>
  <si>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</si>
  <si>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</si>
  <si>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</si>
  <si>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</si>
  <si>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</si>
  <si>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</si>
  <si>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</si>
  <si>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</si>
  <si>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</si>
  <si>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</si>
  <si>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</si>
  <si>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</si>
  <si>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</si>
  <si>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</si>
  <si>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</si>
  <si>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</si>
  <si>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</si>
  <si>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</si>
  <si>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</si>
  <si>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</si>
  <si>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</si>
  <si>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</si>
  <si>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</si>
  <si>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</si>
  <si>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</si>
  <si>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</si>
  <si>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</si>
  <si>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</si>
  <si>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</si>
  <si>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</si>
  <si>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</si>
  <si>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</si>
  <si>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</si>
  <si>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</si>
  <si>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</si>
  <si>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</si>
  <si>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</si>
  <si>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</si>
  <si>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</si>
  <si>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</si>
  <si>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</si>
  <si>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</si>
  <si>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</si>
  <si>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</si>
  <si>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</si>
  <si>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</si>
  <si>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</si>
  <si>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</si>
  <si>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</si>
  <si>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</si>
  <si>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</si>
  <si>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</si>
  <si>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</si>
  <si>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</si>
  <si>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</si>
  <si>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</si>
  <si>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</si>
  <si>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</si>
  <si>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</si>
  <si>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</si>
  <si>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</si>
  <si>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</si>
  <si>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</si>
  <si>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</si>
  <si>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</si>
  <si>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</si>
  <si>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</si>
  <si>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</si>
  <si>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</si>
  <si>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</si>
  <si>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</si>
  <si>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</si>
  <si>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</si>
  <si>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</si>
  <si>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</si>
  <si>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</si>
  <si>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</si>
  <si>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</si>
  <si>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</si>
  <si>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</si>
  <si>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</si>
  <si>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</si>
  <si>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</si>
  <si>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</si>
  <si>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</si>
  <si>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</si>
  <si>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</si>
  <si>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</si>
  <si>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</si>
  <si>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</si>
  <si>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</si>
  <si>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</si>
  <si>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</si>
  <si>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</si>
  <si>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</si>
  <si>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</si>
  <si>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</si>
  <si>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</si>
  <si>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</si>
  <si>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</si>
  <si>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</si>
  <si>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</si>
  <si>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</si>
  <si>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</si>
  <si>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</si>
  <si>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</si>
  <si>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</si>
  <si>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</si>
  <si>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</si>
  <si>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</si>
  <si>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</si>
  <si>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</si>
  <si>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</si>
  <si>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</si>
  <si>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</si>
  <si>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</si>
  <si>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</si>
  <si>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</si>
  <si>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</si>
  <si>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</si>
  <si>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</si>
  <si>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</si>
  <si>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</si>
  <si>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</si>
  <si>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</si>
  <si>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</si>
  <si>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</si>
  <si>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</si>
  <si>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</si>
  <si>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</si>
  <si>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</si>
  <si>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</si>
  <si>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</si>
  <si>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</si>
  <si>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</si>
  <si>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</si>
  <si>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</si>
  <si>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</si>
  <si>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</si>
  <si>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</si>
  <si>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</si>
  <si>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</si>
  <si>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</si>
  <si>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</si>
  <si>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</si>
  <si>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</si>
  <si>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</si>
  <si>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</si>
  <si>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</si>
  <si>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</si>
  <si>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</si>
  <si>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</si>
  <si>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</si>
  <si>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</si>
  <si>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</si>
  <si>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</si>
  <si>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</si>
  <si>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</si>
  <si>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</si>
  <si>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</si>
  <si>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</si>
  <si>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</si>
  <si>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</si>
  <si>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</si>
  <si>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</si>
  <si>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</si>
  <si>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</si>
  <si>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</si>
  <si>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</si>
  <si>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</si>
  <si>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</si>
  <si>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</si>
  <si>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</si>
  <si>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</si>
  <si>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</si>
  <si>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</si>
  <si>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</si>
  <si>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</si>
  <si>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</si>
  <si>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</si>
  <si>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</si>
  <si>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</si>
  <si>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</si>
  <si>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</si>
  <si>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</si>
  <si>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</si>
  <si>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</si>
  <si>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</si>
  <si>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</si>
  <si>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</si>
  <si>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</si>
  <si>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</si>
  <si>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</si>
  <si>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</si>
  <si>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</si>
  <si>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</si>
  <si>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</si>
  <si>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</si>
  <si>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</si>
  <si>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</si>
  <si>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</si>
  <si>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</si>
  <si>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</si>
  <si>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</si>
  <si>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</si>
  <si>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</si>
  <si>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</si>
  <si>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</si>
  <si>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</si>
  <si>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</si>
  <si>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</si>
  <si>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</si>
  <si>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</si>
  <si>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</si>
  <si>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</si>
  <si>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</si>
  <si>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</si>
  <si>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</si>
  <si>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</si>
  <si>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</si>
  <si>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</si>
  <si>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</si>
  <si>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</si>
  <si>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</si>
  <si>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</si>
  <si>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</si>
  <si>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</si>
  <si>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</si>
  <si>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</si>
  <si>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</si>
  <si>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</si>
  <si>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</si>
  <si>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</si>
  <si>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</si>
  <si>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</si>
  <si>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</si>
  <si>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</si>
  <si>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</si>
  <si>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</si>
  <si>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</si>
  <si>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</si>
  <si>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</si>
  <si>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</si>
  <si>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</si>
  <si>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</si>
  <si>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</si>
  <si>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</si>
  <si>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</si>
  <si>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</si>
  <si>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</si>
  <si>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</si>
  <si>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</si>
  <si>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</si>
  <si>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</si>
  <si>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</si>
  <si>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</si>
  <si>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</si>
  <si>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</si>
  <si>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</si>
  <si>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</si>
  <si>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</si>
  <si>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</si>
  <si>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</si>
  <si>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</si>
  <si>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</si>
  <si>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</si>
  <si>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</si>
  <si>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</si>
  <si>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</si>
  <si>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</si>
  <si>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</si>
  <si>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</si>
  <si>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</si>
  <si>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</si>
  <si>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</si>
  <si>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</si>
  <si>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</si>
  <si>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</si>
  <si>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</si>
  <si>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</si>
  <si>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</si>
  <si>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</si>
  <si>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</si>
  <si>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</si>
  <si>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</si>
  <si>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</si>
  <si>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</si>
  <si>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</si>
  <si>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</si>
  <si>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</si>
  <si>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</si>
  <si>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</si>
  <si>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</si>
  <si>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</si>
  <si>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</si>
  <si>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</si>
  <si>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</si>
  <si>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</si>
  <si>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</si>
  <si>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</si>
  <si>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</si>
  <si>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</si>
  <si>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</si>
  <si>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</si>
  <si>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</si>
  <si>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</si>
  <si>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</si>
  <si>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</si>
  <si>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</si>
  <si>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</si>
  <si>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</si>
  <si>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土地面积</t>
    <phoneticPr fontId="108" type="noConversion"/>
  </si>
  <si>
    <t>扣毛地价</t>
  </si>
  <si>
    <t>地上</t>
  </si>
  <si>
    <t>砖混</t>
  </si>
  <si>
    <t>出让合同建筑面积</t>
    <phoneticPr fontId="108" type="noConversion"/>
  </si>
  <si>
    <t>实际建筑面积</t>
    <phoneticPr fontId="108" type="noConversion"/>
  </si>
  <si>
    <t>土地面积</t>
    <phoneticPr fontId="108" type="noConversion"/>
  </si>
  <si>
    <t>设定容积率</t>
  </si>
  <si>
    <t>较差</t>
  </si>
  <si>
    <t>较好</t>
  </si>
  <si>
    <t>好</t>
  </si>
  <si>
    <t>Ⅲ—01</t>
  </si>
  <si>
    <t>工业用地</t>
  </si>
  <si>
    <t>市区</t>
  </si>
  <si>
    <t>五通一平</t>
  </si>
  <si>
    <t>四环路内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</si>
</sst>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75" fillId="0" borderId="0" xfId="0" applyFont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4" t="s">
        <v>168</v>
      </c>
      <c r="B15" s="666" t="s">
        <v>253</v>
      </c>
    </row>
    <row r="16" spans="1:7" ht="13.5">
      <c r="A16" s="1755"/>
      <c r="B16" s="667" t="s">
        <v>169</v>
      </c>
    </row>
    <row r="17" spans="1:2" ht="13.5">
      <c r="A17" s="180" t="s">
        <v>170</v>
      </c>
      <c r="B17" s="668"/>
    </row>
    <row r="18" spans="1:2" ht="13.5">
      <c r="A18" s="1753" t="s">
        <v>171</v>
      </c>
      <c r="B18" s="666" t="s">
        <v>1402</v>
      </c>
    </row>
    <row r="19" spans="1:2" ht="13.5">
      <c r="A19" s="1753"/>
      <c r="B19" s="666" t="s">
        <v>1403</v>
      </c>
    </row>
    <row r="20" spans="1:2" ht="13.5">
      <c r="A20" s="1753"/>
      <c r="B20" s="666" t="s">
        <v>1404</v>
      </c>
    </row>
    <row r="21" spans="1:2" ht="13.5">
      <c r="A21" s="1753"/>
      <c r="B21" s="503" t="s">
        <v>172</v>
      </c>
    </row>
    <row r="22" spans="1:2" ht="13.5">
      <c r="A22" s="1753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803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3"/>
      <c r="B19" s="1803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3"/>
      <c r="B20" s="1803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3"/>
      <c r="B21" s="1803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3"/>
      <c r="B22" s="1803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3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3"/>
      <c r="B24" s="1803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3"/>
      <c r="B25" s="1803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3"/>
      <c r="B26" s="1803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3"/>
      <c r="B27" s="1803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3"/>
      <c r="B28" s="1803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3"/>
      <c r="B29" s="1803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3"/>
      <c r="B30" s="1803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3"/>
      <c r="B31" s="1803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3"/>
      <c r="B32" s="1803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3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3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3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3"/>
      <c r="B36" s="1803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3"/>
      <c r="B37" s="1803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3"/>
      <c r="B38" s="1803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3"/>
      <c r="B39" s="1803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3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3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3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3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3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3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3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3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3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3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3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3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3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3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3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3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3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3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3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3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3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3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3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3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3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3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3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3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3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3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3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3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3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3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3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3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3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3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3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3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3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3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3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3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3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3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3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3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3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3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1.8267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25" sqref="C25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3551</v>
      </c>
      <c r="I1" s="726" t="s">
        <v>1356</v>
      </c>
      <c r="J1" s="526">
        <f>主表!B6</f>
        <v>4815.75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工业</v>
      </c>
      <c r="F2" s="733" t="s">
        <v>689</v>
      </c>
      <c r="G2" s="735" t="str">
        <f>主表!B10</f>
        <v>三级</v>
      </c>
      <c r="H2" s="734" t="s">
        <v>1366</v>
      </c>
      <c r="I2" s="1352" t="s">
        <v>1771</v>
      </c>
      <c r="J2" s="736"/>
      <c r="AE2" s="731"/>
      <c r="AF2" s="731"/>
    </row>
    <row r="3" spans="1:36" ht="15.75">
      <c r="A3" s="687" t="s">
        <v>916</v>
      </c>
      <c r="B3" s="1439">
        <f>C18</f>
        <v>1289</v>
      </c>
      <c r="C3" s="732" t="s">
        <v>917</v>
      </c>
      <c r="D3" s="733" t="s">
        <v>256</v>
      </c>
      <c r="E3" s="737" t="s">
        <v>1781</v>
      </c>
      <c r="F3" s="1500" t="s">
        <v>1776</v>
      </c>
      <c r="G3" s="238">
        <f>IF(F3="容积率",主表!B8,主表!B9)</f>
        <v>1</v>
      </c>
      <c r="H3" s="738" t="s">
        <v>930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1581</v>
      </c>
      <c r="B4" s="633">
        <f>C20</f>
        <v>529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516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950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390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取值范围:340—440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1.3959999999999999</v>
      </c>
      <c r="D9" s="1638" t="s">
        <v>265</v>
      </c>
      <c r="E9" s="1639">
        <v>37257</v>
      </c>
      <c r="F9" s="1640">
        <f>ROUND(SUMIF(地价!B3:F3,E2,地价!B72:F72),0)</f>
        <v>101</v>
      </c>
      <c r="G9" s="1641" t="s">
        <v>266</v>
      </c>
      <c r="H9" s="1642">
        <f>主表!B4</f>
        <v>39285</v>
      </c>
      <c r="I9" s="1643">
        <f>ROUND(SUMPRODUCT((地价!A22:A72=YEAR(H9)&amp;"-"&amp;ROUNDUP(MONTH(H9)/3,0))*(地价!B3:F3=E2)*(地价!B22:F72)),0)</f>
        <v>141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0.97199999999999998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45.98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1</v>
      </c>
      <c r="D11" s="1532" t="s">
        <v>1782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</v>
      </c>
      <c r="E12" s="1523">
        <f>ROUNDDOWN(G3,1)</f>
        <v>1</v>
      </c>
      <c r="F12" s="1524">
        <f>IF(G3&lt;=10,SUMPRODUCT(('2002容积率修正'!A3:A102=E12)*('2002容积率修正'!B2:D2=E2)*('2002容积率修正'!B3:D102)),"——")</f>
        <v>0</v>
      </c>
      <c r="G12" s="1522">
        <f>ROUNDUP(G3,1)</f>
        <v>1</v>
      </c>
      <c r="H12" s="638">
        <f>IF(G3&lt;=10,SUMPRODUCT(('2002容积率修正'!A3:A102=G12)*('2002容积率修正'!B2:D2=E2)*('2002容积率修正'!B3:D102)),"——")</f>
        <v>0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</v>
      </c>
      <c r="E13" s="1523">
        <f>ROUNDDOWN(G3,1)</f>
        <v>1</v>
      </c>
      <c r="F13" s="1524">
        <f>IF(G3&lt;=10,SUMPRODUCT(('2002容积率修正'!A3:A102=E13)*('2002容积率修正'!E2:G2=E2)*('2002容积率修正'!E3:G102)),"——")</f>
        <v>0</v>
      </c>
      <c r="G13" s="1522">
        <f>ROUNDUP(G3,1)</f>
        <v>1</v>
      </c>
      <c r="H13" s="638">
        <f>IF(G3&lt;=10,SUMPRODUCT(('2002容积率修正'!A3:A102=G13)*('2002容积率修正'!E2:G2=E2)*('2002容积率修正'!E3:G102)),"——")</f>
        <v>0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1783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3" t="s">
        <v>1353</v>
      </c>
      <c r="B18" s="780" t="s">
        <v>1340</v>
      </c>
      <c r="C18" s="646">
        <f>ROUND(C7*C9*C10*C11*C15*C16,0)</f>
        <v>1289</v>
      </c>
      <c r="D18" s="647">
        <f>H1</f>
        <v>3551</v>
      </c>
      <c r="E18" s="648">
        <f>ROUND(C18*D18,0)</f>
        <v>4577239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4"/>
      <c r="B19" s="785" t="s">
        <v>1343</v>
      </c>
      <c r="C19" s="638">
        <f>ROUND(C7*C9*C10*C11*C15*C16*G3,0)</f>
        <v>1289</v>
      </c>
      <c r="D19" s="647">
        <f>J1</f>
        <v>4815.75</v>
      </c>
      <c r="E19" s="648">
        <f>ROUND(C19*D19,0)</f>
        <v>6207502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5" t="s">
        <v>1354</v>
      </c>
      <c r="B20" s="767" t="s">
        <v>1341</v>
      </c>
      <c r="C20" s="652">
        <f>ROUND(IF(G3&gt;=I3,C8*C9*C10*C15,C8*C9*C10*C15*G3),0)</f>
        <v>529</v>
      </c>
      <c r="D20" s="653">
        <f>H1</f>
        <v>3551</v>
      </c>
      <c r="E20" s="654">
        <f>ROUND(C20*D20,0)</f>
        <v>1878479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5"/>
      <c r="B21" s="790" t="s">
        <v>1342</v>
      </c>
      <c r="C21" s="655">
        <f>ROUND(IF(G3&lt;I3,C8*C9*C10*C15,C8*C9*C10*C15*G3),0)</f>
        <v>529</v>
      </c>
      <c r="D21" s="656">
        <f>J1</f>
        <v>4815.75</v>
      </c>
      <c r="E21" s="657">
        <f t="shared" ref="E21" si="0">ROUND(C21*D21,0)</f>
        <v>2547532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516</v>
      </c>
      <c r="D22" s="795" t="s">
        <v>1784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23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0.99550000000000005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 t="s">
        <v>1777</v>
      </c>
      <c r="D42" s="493">
        <f t="shared" ref="D42:D48" si="1">SUMIF($F$41:$J$41,C42,F42:J42)</f>
        <v>-2.2499999999999999E-2</v>
      </c>
      <c r="E42" s="253">
        <f>SUM(D42:D48)</f>
        <v>-4.4999999999999988E-3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 t="s">
        <v>15</v>
      </c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 t="s">
        <v>15</v>
      </c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 t="s">
        <v>15</v>
      </c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 t="s">
        <v>1778</v>
      </c>
      <c r="D46" s="493">
        <f t="shared" si="1"/>
        <v>7.4999999999999997E-3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 t="s">
        <v>15</v>
      </c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 t="s">
        <v>1779</v>
      </c>
      <c r="D48" s="493">
        <f t="shared" si="1"/>
        <v>1.0500000000000001E-2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0.85470000000000002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0.97919999999999996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0.99609999999999999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0.71750000000000003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工业</v>
      </c>
      <c r="L1" s="582" t="str">
        <f>'2002基准地价'!G2</f>
        <v>三级</v>
      </c>
      <c r="M1" s="583">
        <f>SUMPRODUCT((K3:K12=L1)*(L2:O2=K1)*(L3:O12))</f>
        <v>950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9" t="s">
        <v>1324</v>
      </c>
      <c r="B1" s="1816" t="s">
        <v>1325</v>
      </c>
      <c r="C1" s="1817"/>
      <c r="D1" s="1818"/>
      <c r="E1" s="1816" t="s">
        <v>1326</v>
      </c>
      <c r="F1" s="1817"/>
      <c r="G1" s="1818"/>
    </row>
    <row r="2" spans="1:7">
      <c r="A2" s="1820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A12" sqref="A12:XFD12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4" t="s">
        <v>1439</v>
      </c>
      <c r="E2" s="1828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5"/>
      <c r="E3" s="1829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5"/>
      <c r="E4" s="1829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工业</v>
      </c>
      <c r="C5" s="722"/>
      <c r="D5" s="1826"/>
      <c r="E5" s="1830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4" t="s">
        <v>1440</v>
      </c>
      <c r="E6" s="1828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5"/>
      <c r="E7" s="1829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6"/>
      <c r="E8" s="1830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3551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4815.75</v>
      </c>
      <c r="C10" s="722"/>
      <c r="D10" s="1824" t="s">
        <v>1418</v>
      </c>
      <c r="E10" s="1828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0.74</v>
      </c>
      <c r="C11" s="722"/>
      <c r="D11" s="1827"/>
      <c r="E11" s="1831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0.98409999999999997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5.8499999999999996E-2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45.98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3" t="s">
        <v>1353</v>
      </c>
      <c r="B27" s="780" t="s">
        <v>1340</v>
      </c>
      <c r="C27" s="638">
        <f>ROUND(C28/B11,0)</f>
        <v>0</v>
      </c>
      <c r="D27" s="647">
        <f>B9</f>
        <v>3551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4"/>
      <c r="B28" s="785" t="s">
        <v>1343</v>
      </c>
      <c r="C28" s="638">
        <f>IF(主表!B4&lt;DATE(2002,12,10),ROUND(C14*C21*C22+C15*B11+C18,0),0)</f>
        <v>0</v>
      </c>
      <c r="D28" s="647">
        <f>B10</f>
        <v>4815.75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5" t="s">
        <v>1466</v>
      </c>
      <c r="B29" s="767" t="s">
        <v>1467</v>
      </c>
      <c r="C29" s="652">
        <f>ROUND(C30/B11,0)</f>
        <v>0</v>
      </c>
      <c r="D29" s="653">
        <f>B9</f>
        <v>3551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4"/>
      <c r="B30" s="982" t="s">
        <v>1468</v>
      </c>
      <c r="C30" s="643">
        <f>IF(主表!B4&lt;DATE(2002,12,10),ROUND(C14*C21*C22+C15*B11,0),0)</f>
        <v>0</v>
      </c>
      <c r="D30" s="695">
        <f>B10</f>
        <v>4815.75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2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3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3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3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3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3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3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3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2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2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2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3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8" t="s">
        <v>91</v>
      </c>
      <c r="D4" s="1859"/>
      <c r="E4" s="1860" t="s">
        <v>92</v>
      </c>
      <c r="F4" s="1861"/>
      <c r="G4" s="1858" t="s">
        <v>93</v>
      </c>
      <c r="H4" s="1859"/>
      <c r="I4" s="1858" t="s">
        <v>94</v>
      </c>
      <c r="J4" s="1859"/>
      <c r="K4" s="142" t="s">
        <v>95</v>
      </c>
      <c r="L4" s="451"/>
      <c r="M4" s="452"/>
      <c r="N4" s="452"/>
      <c r="O4" s="452"/>
      <c r="P4" s="1862" t="s">
        <v>96</v>
      </c>
      <c r="Q4" s="1863"/>
      <c r="R4" s="1845" t="s">
        <v>92</v>
      </c>
      <c r="S4" s="1846"/>
      <c r="T4" s="1845" t="s">
        <v>93</v>
      </c>
      <c r="U4" s="1846"/>
      <c r="V4" s="1842" t="s">
        <v>94</v>
      </c>
      <c r="W4" s="1842"/>
      <c r="X4" s="201"/>
      <c r="Y4" s="1845" t="s">
        <v>96</v>
      </c>
      <c r="Z4" s="1846"/>
      <c r="AA4" s="1855" t="s">
        <v>92</v>
      </c>
      <c r="AB4" s="1856" t="s">
        <v>93</v>
      </c>
      <c r="AC4" s="1855" t="s">
        <v>94</v>
      </c>
    </row>
    <row r="5" spans="1:30" ht="15">
      <c r="A5" s="41"/>
      <c r="B5" s="42"/>
      <c r="C5" s="1870" t="s">
        <v>230</v>
      </c>
      <c r="D5" s="1871"/>
      <c r="E5" s="1868" t="s">
        <v>231</v>
      </c>
      <c r="F5" s="1869"/>
      <c r="G5" s="1870" t="s">
        <v>234</v>
      </c>
      <c r="H5" s="1871"/>
      <c r="I5" s="1870" t="s">
        <v>232</v>
      </c>
      <c r="J5" s="1871"/>
      <c r="K5" s="142"/>
      <c r="L5" s="451"/>
      <c r="M5" s="452"/>
      <c r="N5" s="452"/>
      <c r="O5" s="452"/>
      <c r="P5" s="1864"/>
      <c r="Q5" s="1865"/>
      <c r="R5" s="1847"/>
      <c r="S5" s="1848"/>
      <c r="T5" s="1847"/>
      <c r="U5" s="1848"/>
      <c r="V5" s="1842"/>
      <c r="W5" s="1842"/>
      <c r="X5" s="201"/>
      <c r="Y5" s="1847"/>
      <c r="Z5" s="1848"/>
      <c r="AA5" s="1856"/>
      <c r="AB5" s="1856"/>
      <c r="AC5" s="1856"/>
    </row>
    <row r="6" spans="1:30" ht="15.75" thickBot="1">
      <c r="A6" s="43"/>
      <c r="B6" s="44"/>
      <c r="C6" s="1872" t="s">
        <v>233</v>
      </c>
      <c r="D6" s="1873"/>
      <c r="E6" s="1874" t="s">
        <v>233</v>
      </c>
      <c r="F6" s="1875"/>
      <c r="G6" s="1872" t="s">
        <v>233</v>
      </c>
      <c r="H6" s="1873"/>
      <c r="I6" s="1872" t="s">
        <v>233</v>
      </c>
      <c r="J6" s="1873"/>
      <c r="K6" s="142" t="s">
        <v>97</v>
      </c>
      <c r="L6" s="451"/>
      <c r="M6" s="452"/>
      <c r="N6" s="452"/>
      <c r="O6" s="452"/>
      <c r="P6" s="1866"/>
      <c r="Q6" s="1867"/>
      <c r="R6" s="1847"/>
      <c r="S6" s="1848"/>
      <c r="T6" s="1849"/>
      <c r="U6" s="1850"/>
      <c r="V6" s="1842"/>
      <c r="W6" s="1842"/>
      <c r="X6" s="201"/>
      <c r="Y6" s="1849"/>
      <c r="Z6" s="1850"/>
      <c r="AA6" s="1857"/>
      <c r="AB6" s="1857"/>
      <c r="AC6" s="1857"/>
    </row>
    <row r="7" spans="1:30" s="22" customFormat="1" ht="15.75" thickBot="1">
      <c r="A7" s="45" t="s">
        <v>98</v>
      </c>
      <c r="B7" s="46"/>
      <c r="C7" s="1385">
        <f>主表!B4</f>
        <v>39285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3" t="s">
        <v>99</v>
      </c>
      <c r="Q7" s="185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3" t="s">
        <v>99</v>
      </c>
      <c r="Z7" s="184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3" t="s">
        <v>125</v>
      </c>
      <c r="Q8" s="184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3" t="s">
        <v>125</v>
      </c>
      <c r="Z8" s="184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工业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0.74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3"/>
      <c r="Q16" s="206"/>
      <c r="R16" s="207"/>
      <c r="S16" s="208"/>
      <c r="T16" s="207"/>
      <c r="U16" s="208"/>
      <c r="V16" s="207"/>
      <c r="W16" s="208"/>
      <c r="X16" s="201"/>
      <c r="Y16" s="1853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3"/>
      <c r="Q18" s="206"/>
      <c r="R18" s="207"/>
      <c r="S18" s="208"/>
      <c r="T18" s="207"/>
      <c r="U18" s="208"/>
      <c r="V18" s="207"/>
      <c r="W18" s="208"/>
      <c r="X18" s="201"/>
      <c r="Y18" s="1853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3"/>
      <c r="Q20" s="206"/>
      <c r="R20" s="207"/>
      <c r="S20" s="208"/>
      <c r="T20" s="207"/>
      <c r="U20" s="208"/>
      <c r="V20" s="207"/>
      <c r="W20" s="208"/>
      <c r="X20" s="201"/>
      <c r="Y20" s="1853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3"/>
      <c r="Q22" s="206"/>
      <c r="R22" s="207"/>
      <c r="S22" s="208"/>
      <c r="T22" s="207"/>
      <c r="U22" s="208"/>
      <c r="V22" s="207"/>
      <c r="W22" s="208"/>
      <c r="X22" s="201"/>
      <c r="Y22" s="185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3"/>
      <c r="Q24" s="235"/>
      <c r="R24" s="207"/>
      <c r="S24" s="208"/>
      <c r="T24" s="207"/>
      <c r="U24" s="208"/>
      <c r="V24" s="207"/>
      <c r="W24" s="208"/>
      <c r="X24" s="234"/>
      <c r="Y24" s="185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3"/>
      <c r="Q26" s="206"/>
      <c r="R26" s="207"/>
      <c r="S26" s="208"/>
      <c r="T26" s="207"/>
      <c r="U26" s="208"/>
      <c r="V26" s="207"/>
      <c r="W26" s="208"/>
      <c r="X26" s="201"/>
      <c r="Y26" s="185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3"/>
      <c r="Q28" s="18"/>
      <c r="R28" s="202"/>
      <c r="S28" s="203"/>
      <c r="T28" s="202"/>
      <c r="U28" s="203"/>
      <c r="V28" s="202"/>
      <c r="W28" s="203"/>
      <c r="X28" s="204"/>
      <c r="Y28" s="1853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3"/>
      <c r="Q30" s="500"/>
      <c r="R30" s="202"/>
      <c r="S30" s="203"/>
      <c r="T30" s="202"/>
      <c r="U30" s="203"/>
      <c r="V30" s="202"/>
      <c r="W30" s="203"/>
      <c r="X30" s="204"/>
      <c r="Y30" s="185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3"/>
      <c r="Q33" s="206"/>
      <c r="R33" s="207"/>
      <c r="S33" s="208"/>
      <c r="T33" s="207"/>
      <c r="U33" s="208"/>
      <c r="V33" s="207"/>
      <c r="W33" s="208"/>
      <c r="X33" s="201"/>
      <c r="Y33" s="185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4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5" t="str">
        <f>A46</f>
        <v>成交单价</v>
      </c>
      <c r="Q46" s="1835"/>
      <c r="R46" s="1842">
        <f>E46</f>
        <v>0</v>
      </c>
      <c r="S46" s="1842"/>
      <c r="T46" s="1842">
        <f>G46</f>
        <v>0</v>
      </c>
      <c r="U46" s="1842"/>
      <c r="V46" s="1842">
        <f>I46</f>
        <v>0</v>
      </c>
      <c r="W46" s="184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5" t="str">
        <f>A47</f>
        <v>比较价值（元/平方米）</v>
      </c>
      <c r="Q47" s="1835"/>
      <c r="R47" s="1836" t="e">
        <f>ROUND(PRODUCT(R46,AA7:AA45),0)</f>
        <v>#DIV/0!</v>
      </c>
      <c r="S47" s="1836"/>
      <c r="T47" s="1836" t="e">
        <f>ROUND(PRODUCT(T46,AB7:AB45),0)</f>
        <v>#DIV/0!</v>
      </c>
      <c r="U47" s="1836"/>
      <c r="V47" s="1836" t="e">
        <f>ROUND(PRODUCT(V46,AC7:AC45),0)</f>
        <v>#DIV/0!</v>
      </c>
      <c r="W47" s="183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7" t="str">
        <f>A48</f>
        <v>估价对象比较价值（单价内涵，元/平方米）</v>
      </c>
      <c r="Q48" s="1838"/>
      <c r="R48" s="1839" t="e">
        <f>ROUND(AVERAGE(R47:V47),0)</f>
        <v>#DIV/0!</v>
      </c>
      <c r="S48" s="1839"/>
      <c r="T48" s="1839"/>
      <c r="U48" s="1839"/>
      <c r="V48" s="1839"/>
      <c r="W48" s="183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2007-7-1</v>
      </c>
      <c r="D56" s="1688">
        <f>EDATE(C56,-3)</f>
        <v>39173</v>
      </c>
      <c r="E56" s="1688">
        <f t="shared" ref="E56:O56" si="15">EDATE(D56,-3)</f>
        <v>39083</v>
      </c>
      <c r="F56" s="1688">
        <f t="shared" si="15"/>
        <v>38991</v>
      </c>
      <c r="G56" s="1688">
        <f t="shared" si="15"/>
        <v>38899</v>
      </c>
      <c r="H56" s="1688">
        <f t="shared" si="15"/>
        <v>38808</v>
      </c>
      <c r="I56" s="1688">
        <f t="shared" si="15"/>
        <v>38718</v>
      </c>
      <c r="J56" s="1688">
        <f t="shared" si="15"/>
        <v>38626</v>
      </c>
      <c r="K56" s="1688">
        <f t="shared" si="15"/>
        <v>38534</v>
      </c>
      <c r="L56" s="1688">
        <f t="shared" si="15"/>
        <v>38443</v>
      </c>
      <c r="M56" s="1688">
        <f t="shared" si="15"/>
        <v>38353</v>
      </c>
      <c r="N56" s="1688">
        <f t="shared" si="15"/>
        <v>38261</v>
      </c>
      <c r="O56" s="1688">
        <f t="shared" si="15"/>
        <v>38169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2007-3</v>
      </c>
      <c r="D58" s="1687" t="str">
        <f t="shared" ref="D58:O58" si="16">YEAR(D56)&amp;"-"&amp;ROUNDUP(MONTH(D56)/3,0)</f>
        <v>2007-2</v>
      </c>
      <c r="E58" s="1687" t="str">
        <f t="shared" si="16"/>
        <v>2007-1</v>
      </c>
      <c r="F58" s="1687" t="str">
        <f t="shared" si="16"/>
        <v>2006-4</v>
      </c>
      <c r="G58" s="1687" t="str">
        <f t="shared" si="16"/>
        <v>2006-3</v>
      </c>
      <c r="H58" s="1687" t="str">
        <f t="shared" si="16"/>
        <v>2006-2</v>
      </c>
      <c r="I58" s="1687" t="str">
        <f t="shared" si="16"/>
        <v>2006-1</v>
      </c>
      <c r="J58" s="1687" t="str">
        <f t="shared" si="16"/>
        <v>2005-4</v>
      </c>
      <c r="K58" s="1687" t="str">
        <f t="shared" si="16"/>
        <v>2005-3</v>
      </c>
      <c r="L58" s="1687" t="str">
        <f t="shared" si="16"/>
        <v>2005-2</v>
      </c>
      <c r="M58" s="1687" t="str">
        <f t="shared" si="16"/>
        <v>2005-1</v>
      </c>
      <c r="N58" s="1687" t="str">
        <f t="shared" si="16"/>
        <v>2004-4</v>
      </c>
      <c r="O58" s="1687" t="str">
        <f t="shared" si="16"/>
        <v>2004-3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工业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43815</v>
      </c>
      <c r="D1" s="1000" t="str">
        <f>主表!A23</f>
        <v>建设期</v>
      </c>
      <c r="E1" s="1040">
        <f>主表!B23</f>
        <v>3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2.75E-2</v>
      </c>
      <c r="J1" s="1170">
        <f>IF(C1&gt;C14,0,MATCH(C1,C$14:C$59,-1))+IF(SUMIF(C14:C59,C1,D14:D59)=0,14,13)</f>
        <v>14</v>
      </c>
      <c r="K1" s="1170">
        <f ca="1"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39285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6.8400000000000002E-2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36</v>
      </c>
      <c r="K2" s="1170">
        <f ca="1">MATCH(E2,C4:C8,1)+IF(SUMIF(C4:C8,E2,D4:D8)=0,3,2)</f>
        <v>5</v>
      </c>
      <c r="L2" s="1170">
        <f>IF(C2&gt;M14,0,MATCH(C2,M$14:M$52,-1))+IF(SUMIF(M14:M52,C2,N14:N52)=0,14,13)</f>
        <v>35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7.0199999999999999E-2</v>
      </c>
      <c r="H3" s="1051" t="s">
        <v>1523</v>
      </c>
      <c r="I3" s="1052">
        <f ca="1">SUMIF(F4:F8,E3,H4:H8)/100</f>
        <v>4.6799999999999994E-2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6.03</v>
      </c>
      <c r="F4" s="1037">
        <v>0.5</v>
      </c>
      <c r="G4" s="1038">
        <f ca="1">INDIRECT("p"&amp;$L$1)</f>
        <v>1.3</v>
      </c>
      <c r="H4" s="1038">
        <f ca="1">INDIRECT("p"&amp;$L$2)</f>
        <v>2.88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6.84</v>
      </c>
      <c r="F5" s="1007">
        <v>1</v>
      </c>
      <c r="G5" s="1039">
        <f ca="1">INDIRECT("q"&amp;$L$1)</f>
        <v>1.5</v>
      </c>
      <c r="H5" s="1039">
        <f ca="1">INDIRECT("q"&amp;$L$2)</f>
        <v>3.33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7.02</v>
      </c>
      <c r="F6" s="1007">
        <v>2</v>
      </c>
      <c r="G6" s="1039">
        <f ca="1">INDIRECT("r"&amp;$L$1)</f>
        <v>2.1</v>
      </c>
      <c r="H6" s="1039">
        <f ca="1">INDIRECT("r"&amp;$L$2)</f>
        <v>3.96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7.2</v>
      </c>
      <c r="F7" s="1007">
        <v>3</v>
      </c>
      <c r="G7" s="1039">
        <f ca="1">INDIRECT("s"&amp;$L$1)</f>
        <v>2.75</v>
      </c>
      <c r="H7" s="1039">
        <f ca="1">INDIRECT("s"&amp;$L$2)</f>
        <v>4.68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7.38</v>
      </c>
      <c r="F8" s="1007">
        <v>5</v>
      </c>
      <c r="G8" s="1039">
        <f ca="1">INDIRECT("t"&amp;$L$1)</f>
        <v>0</v>
      </c>
      <c r="H8" s="1039">
        <f ca="1">INDIRECT("t"&amp;$L$2)</f>
        <v>5.22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4" t="s">
        <v>1657</v>
      </c>
      <c r="H2" s="1884"/>
      <c r="I2" s="1884"/>
      <c r="J2" s="1884"/>
      <c r="K2" s="1884"/>
      <c r="L2" s="1884"/>
      <c r="N2" s="1879" t="s">
        <v>1658</v>
      </c>
      <c r="O2" s="1879"/>
      <c r="P2" s="1879"/>
      <c r="Q2" s="1879"/>
      <c r="R2" s="1690"/>
      <c r="S2" s="1879" t="s">
        <v>1659</v>
      </c>
      <c r="T2" s="1879"/>
      <c r="U2" s="1879"/>
      <c r="V2" s="1879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80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7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7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8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6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7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7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8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6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7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7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8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1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2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2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3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6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7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7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8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6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7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7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8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6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7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7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8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6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7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7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8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6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7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7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8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6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7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7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8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6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7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7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8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6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7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7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8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6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7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7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8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6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7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7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8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6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7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7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8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25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23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8" sqref="C18"/>
    </sheetView>
  </sheetViews>
  <sheetFormatPr defaultRowHeight="13.5"/>
  <cols>
    <col min="3" max="3" width="16.25" customWidth="1"/>
    <col min="4" max="4" width="15.25" customWidth="1"/>
  </cols>
  <sheetData>
    <row r="1" spans="1:5">
      <c r="B1" s="1752" t="s">
        <v>1769</v>
      </c>
      <c r="C1" s="1752" t="s">
        <v>1773</v>
      </c>
      <c r="D1" s="1752" t="s">
        <v>1774</v>
      </c>
      <c r="E1" s="1752" t="s">
        <v>1775</v>
      </c>
    </row>
    <row r="2" spans="1:5">
      <c r="A2">
        <v>1</v>
      </c>
      <c r="B2">
        <v>6579.76</v>
      </c>
      <c r="C2">
        <v>2631.9</v>
      </c>
      <c r="D2">
        <v>3006.3</v>
      </c>
    </row>
    <row r="3" spans="1:5">
      <c r="A3">
        <v>2</v>
      </c>
      <c r="B3">
        <v>6574.99</v>
      </c>
      <c r="C3">
        <v>2629.99</v>
      </c>
    </row>
    <row r="4" spans="1:5">
      <c r="A4">
        <v>3</v>
      </c>
      <c r="B4">
        <v>6577.39</v>
      </c>
      <c r="C4">
        <v>2630.96</v>
      </c>
    </row>
    <row r="5" spans="1:5">
      <c r="A5">
        <v>4</v>
      </c>
      <c r="B5">
        <v>6562.01</v>
      </c>
      <c r="C5">
        <v>2624.8</v>
      </c>
    </row>
    <row r="6" spans="1:5">
      <c r="A6">
        <v>5</v>
      </c>
      <c r="B6">
        <v>6535.61</v>
      </c>
      <c r="C6">
        <v>2614.2399999999998</v>
      </c>
    </row>
    <row r="7" spans="1:5">
      <c r="A7">
        <v>6</v>
      </c>
      <c r="B7">
        <v>6587.58</v>
      </c>
      <c r="C7">
        <v>2635.03</v>
      </c>
    </row>
    <row r="8" spans="1:5">
      <c r="A8">
        <v>7</v>
      </c>
      <c r="B8">
        <v>6555.38</v>
      </c>
      <c r="C8">
        <v>2622.15</v>
      </c>
    </row>
    <row r="9" spans="1:5">
      <c r="A9">
        <v>8</v>
      </c>
      <c r="B9">
        <v>6576.45</v>
      </c>
      <c r="C9">
        <v>2630.58</v>
      </c>
    </row>
    <row r="10" spans="1:5">
      <c r="A10">
        <v>9</v>
      </c>
      <c r="B10">
        <v>6536.57</v>
      </c>
      <c r="C10">
        <v>2614.63</v>
      </c>
    </row>
    <row r="11" spans="1:5">
      <c r="A11">
        <v>10</v>
      </c>
      <c r="B11">
        <v>6470.98</v>
      </c>
      <c r="C11">
        <v>2588.39</v>
      </c>
    </row>
    <row r="12" spans="1:5">
      <c r="A12">
        <v>11</v>
      </c>
      <c r="B12">
        <v>5253.31</v>
      </c>
      <c r="C12">
        <v>2101.3200000000002</v>
      </c>
    </row>
    <row r="13" spans="1:5">
      <c r="A13">
        <v>12</v>
      </c>
      <c r="B13">
        <v>6536.96</v>
      </c>
      <c r="C13">
        <v>2615.98</v>
      </c>
    </row>
    <row r="14" spans="1:5">
      <c r="A14">
        <v>13</v>
      </c>
      <c r="B14">
        <v>6439.09</v>
      </c>
      <c r="C14">
        <v>2575.64</v>
      </c>
    </row>
    <row r="15" spans="1:5">
      <c r="A15">
        <v>14</v>
      </c>
      <c r="B15">
        <v>4724.46</v>
      </c>
      <c r="C15">
        <v>1889.78</v>
      </c>
    </row>
    <row r="16" spans="1:5">
      <c r="B16">
        <f>SUM(B2:B15)</f>
        <v>88510.540000000008</v>
      </c>
      <c r="C16">
        <f>SUM(C2:C15)</f>
        <v>35405.39</v>
      </c>
    </row>
    <row r="17" spans="3:3">
      <c r="C17" s="1752">
        <f>2.5+0.3</f>
        <v>2.8</v>
      </c>
    </row>
  </sheetData>
  <phoneticPr fontId="10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B15" sqref="B15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C20" sqref="C20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3551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4815.75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43815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1092.4012</v>
      </c>
      <c r="C11" s="1695">
        <f ca="1">结果表!B18</f>
        <v>3076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3551</v>
      </c>
      <c r="C14" s="1702">
        <f>主表!B6</f>
        <v>4815.75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topLeftCell="A13" zoomScaleNormal="100" zoomScaleSheetLayoutView="100" zoomScalePageLayoutView="80" workbookViewId="0">
      <selection activeCell="D17" sqref="D17:G17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6" t="s">
        <v>1368</v>
      </c>
      <c r="B2" s="1756"/>
      <c r="C2" s="1756"/>
      <c r="D2" s="1756"/>
      <c r="E2" s="1756"/>
      <c r="F2" s="1756"/>
      <c r="G2" s="1756"/>
      <c r="H2" s="665"/>
      <c r="I2" s="227"/>
      <c r="X2" s="221"/>
      <c r="AG2" s="189"/>
    </row>
    <row r="3" spans="1:33" ht="13.5">
      <c r="A3" s="1757" t="s">
        <v>1369</v>
      </c>
      <c r="B3" s="1758"/>
      <c r="C3" s="1759"/>
      <c r="D3" s="1760" t="s">
        <v>1370</v>
      </c>
      <c r="E3" s="1758"/>
      <c r="F3" s="1758"/>
      <c r="G3" s="1761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62" t="s">
        <v>1371</v>
      </c>
      <c r="E4" s="1763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4" t="s">
        <v>1375</v>
      </c>
      <c r="B5" s="1765">
        <f>主表!F5</f>
        <v>760</v>
      </c>
      <c r="C5" s="1766" t="s">
        <v>1376</v>
      </c>
      <c r="D5" s="1763" t="s">
        <v>1377</v>
      </c>
      <c r="E5" s="1767"/>
      <c r="F5" s="1336">
        <f>SUM(F6:F10)</f>
        <v>2900</v>
      </c>
      <c r="G5" s="1337" t="s">
        <v>1654</v>
      </c>
      <c r="H5" s="665"/>
      <c r="I5" s="227"/>
      <c r="X5" s="221"/>
      <c r="AG5" s="189"/>
    </row>
    <row r="6" spans="1:33" ht="27">
      <c r="A6" s="1764"/>
      <c r="B6" s="1765"/>
      <c r="C6" s="1766"/>
      <c r="D6" s="1768" t="s">
        <v>1398</v>
      </c>
      <c r="E6" s="1336" t="s">
        <v>1378</v>
      </c>
      <c r="F6" s="1336">
        <f>主表!F14</f>
        <v>2000</v>
      </c>
      <c r="G6" s="1337" t="s">
        <v>1379</v>
      </c>
      <c r="H6" s="665"/>
      <c r="I6" s="227"/>
      <c r="X6" s="221"/>
      <c r="AG6" s="189"/>
    </row>
    <row r="7" spans="1:33" ht="13.5">
      <c r="A7" s="1764"/>
      <c r="B7" s="1765"/>
      <c r="C7" s="1766"/>
      <c r="D7" s="1768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4"/>
      <c r="B8" s="1765"/>
      <c r="C8" s="1766"/>
      <c r="D8" s="1769" t="s">
        <v>1399</v>
      </c>
      <c r="E8" s="1770"/>
      <c r="F8" s="1336">
        <f>主表!F16</f>
        <v>150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4"/>
      <c r="B9" s="1765"/>
      <c r="C9" s="1766"/>
      <c r="D9" s="1769" t="s">
        <v>1400</v>
      </c>
      <c r="E9" s="1770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64"/>
      <c r="B10" s="1765"/>
      <c r="C10" s="1766"/>
      <c r="D10" s="1769" t="s">
        <v>1401</v>
      </c>
      <c r="E10" s="1770"/>
      <c r="F10" s="1336">
        <f>主表!F19</f>
        <v>250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15</v>
      </c>
      <c r="C11" s="1338" t="str">
        <f>"按前期开发成本的"&amp;TEXT(主表!G8,"0.0%")&amp;"计取"</f>
        <v>按前期开发成本的2.0%计取</v>
      </c>
      <c r="D11" s="1763" t="s">
        <v>1382</v>
      </c>
      <c r="E11" s="1767"/>
      <c r="F11" s="1336">
        <f>主表!F20</f>
        <v>58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52</v>
      </c>
      <c r="C12" s="1339" t="str">
        <f ca="1">"前期开发期为"&amp;主表!B24&amp;"年，贷款利率为"&amp;TEXT(主表!G9,"0.00%")&amp;"，"&amp;主表!H9</f>
        <v>前期开发期为1年，贷款利率为6.84%，计息期为1年，单利计息</v>
      </c>
      <c r="D12" s="1763" t="s">
        <v>1384</v>
      </c>
      <c r="E12" s="1767"/>
      <c r="F12" s="1336">
        <f ca="1">主表!F21</f>
        <v>213</v>
      </c>
      <c r="G12" s="1337" t="str">
        <f ca="1">"房屋建设期为"&amp;主表!B23&amp;"年，贷款利率为"&amp;TEXT(主表!G21,"0.00%")&amp;"，"&amp;主表!H21</f>
        <v>房屋建设期为3年，贷款利率为4.75%，计息期为3年，复利计息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271</v>
      </c>
      <c r="C13" s="1339" t="str">
        <f>"按前期开发成本及其管理费用的"&amp;TEXT(主表!G10,"0%")&amp;"计取"</f>
        <v>按前期开发成本及其管理费用的35%计取</v>
      </c>
      <c r="D13" s="1763" t="s">
        <v>1385</v>
      </c>
      <c r="E13" s="1767"/>
      <c r="F13" s="1336">
        <f>主表!F22</f>
        <v>1035</v>
      </c>
      <c r="G13" s="1337" t="str">
        <f>"按房屋建设成本及其管理费用的"&amp;TEXT(主表!G22,"0%")&amp;"计取"</f>
        <v>按房屋建设成本及其管理费用的35%计取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1098</v>
      </c>
      <c r="C14" s="1339" t="s">
        <v>1387</v>
      </c>
      <c r="D14" s="1763" t="s">
        <v>1386</v>
      </c>
      <c r="E14" s="1767"/>
      <c r="F14" s="1336">
        <f ca="1">F5+F11+F12+F13</f>
        <v>4206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5">
        <f ca="1">主表!F24</f>
        <v>5304</v>
      </c>
      <c r="C15" s="1771"/>
      <c r="D15" s="1769" t="s">
        <v>1389</v>
      </c>
      <c r="E15" s="1770"/>
      <c r="F15" s="1770"/>
      <c r="G15" s="1772"/>
      <c r="H15" s="665"/>
      <c r="I15" s="227"/>
      <c r="X15" s="221"/>
      <c r="AG15" s="189"/>
    </row>
    <row r="16" spans="1:33" ht="27.75" thickBot="1">
      <c r="A16" s="1332" t="s">
        <v>1390</v>
      </c>
      <c r="B16" s="1765">
        <f ca="1">主表!F25</f>
        <v>1883.4503999999999</v>
      </c>
      <c r="C16" s="1771"/>
      <c r="D16" s="1769" t="s">
        <v>1391</v>
      </c>
      <c r="E16" s="1770"/>
      <c r="F16" s="1770"/>
      <c r="G16" s="1772"/>
      <c r="H16" s="1341" t="str">
        <f ca="1">NUMBERSTRING(INT(B16*10000),2)&amp;"元整"</f>
        <v>壹仟捌佰捌拾叁万肆仟伍佰零肆元整</v>
      </c>
      <c r="I16" s="1342"/>
      <c r="X16" s="221"/>
      <c r="AG16" s="189"/>
    </row>
    <row r="17" spans="1:33" ht="13.5">
      <c r="A17" s="1332" t="s">
        <v>1392</v>
      </c>
      <c r="B17" s="1778">
        <f>主表!F33</f>
        <v>0.57999999999999996</v>
      </c>
      <c r="C17" s="1771"/>
      <c r="D17" s="1769" t="s">
        <v>1393</v>
      </c>
      <c r="E17" s="1770"/>
      <c r="F17" s="1770"/>
      <c r="G17" s="1772"/>
      <c r="H17" s="665"/>
      <c r="I17" s="227"/>
      <c r="X17" s="221"/>
      <c r="AG17" s="189"/>
    </row>
    <row r="18" spans="1:33" ht="27.75" thickBot="1">
      <c r="A18" s="1332" t="s">
        <v>1394</v>
      </c>
      <c r="B18" s="1765">
        <f ca="1">主表!F35</f>
        <v>3076</v>
      </c>
      <c r="C18" s="1771"/>
      <c r="D18" s="1769" t="s">
        <v>1395</v>
      </c>
      <c r="E18" s="1770"/>
      <c r="F18" s="1770"/>
      <c r="G18" s="1772"/>
      <c r="H18" s="663"/>
      <c r="I18" s="227"/>
      <c r="X18" s="221"/>
      <c r="AG18" s="189"/>
    </row>
    <row r="19" spans="1:33" ht="27.75" thickBot="1">
      <c r="A19" s="1340" t="s">
        <v>1396</v>
      </c>
      <c r="B19" s="1773">
        <f ca="1">主表!F36</f>
        <v>1092.4012</v>
      </c>
      <c r="C19" s="1774"/>
      <c r="D19" s="1775" t="s">
        <v>1397</v>
      </c>
      <c r="E19" s="1776"/>
      <c r="F19" s="1776"/>
      <c r="G19" s="1777"/>
      <c r="H19" s="1341" t="str">
        <f ca="1">NUMBERSTRING(INT(B19*10000),2)&amp;"元整"</f>
        <v>壹仟零玖拾贰万肆仟零壹拾贰元整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4" zoomScale="90" zoomScaleNormal="90" workbookViewId="0">
      <selection activeCell="D10" sqref="D10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4" t="s">
        <v>1288</v>
      </c>
      <c r="E2" s="1785"/>
      <c r="F2" s="1785"/>
      <c r="G2" s="1785"/>
      <c r="H2" s="1786"/>
      <c r="I2" s="1199"/>
      <c r="J2" s="1199"/>
      <c r="K2" s="1250"/>
      <c r="L2" s="1250"/>
      <c r="N2" s="516" t="s">
        <v>1161</v>
      </c>
      <c r="O2" s="487">
        <f>SUMPRODUCT((N6:N12=B20)*(O5:Q5=B21)*(O6:Q12))</f>
        <v>40</v>
      </c>
    </row>
    <row r="3" spans="1:18" ht="15.75" customHeight="1">
      <c r="A3" s="1200" t="s">
        <v>1279</v>
      </c>
      <c r="B3" s="518">
        <v>43815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26</v>
      </c>
    </row>
    <row r="4" spans="1:18" ht="15.75" customHeight="1">
      <c r="A4" s="1200" t="s">
        <v>1546</v>
      </c>
      <c r="B4" s="518">
        <v>39285</v>
      </c>
      <c r="C4" s="1198"/>
      <c r="D4" s="1206" t="s">
        <v>1289</v>
      </c>
      <c r="E4" s="1207" t="s">
        <v>1585</v>
      </c>
      <c r="F4" s="1208">
        <f ca="1">F5+F8+F9+F10</f>
        <v>1098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0.02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760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4815.75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1289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3551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529</v>
      </c>
      <c r="G7" s="1224"/>
      <c r="H7" s="1386" t="s">
        <v>1770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0.74</v>
      </c>
      <c r="C8" s="1198"/>
      <c r="D8" s="1227">
        <v>2</v>
      </c>
      <c r="E8" s="1228" t="s">
        <v>1237</v>
      </c>
      <c r="F8" s="1229">
        <f>ROUND(F5*G8,0)</f>
        <v>15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1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52</v>
      </c>
      <c r="G9" s="1231">
        <f ca="1">存贷款利率!G2</f>
        <v>6.8400000000000002E-2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271</v>
      </c>
      <c r="G10" s="521">
        <v>0.35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1780</v>
      </c>
      <c r="C11" s="1198"/>
      <c r="D11" s="1242" t="s">
        <v>1295</v>
      </c>
      <c r="E11" s="1243" t="s">
        <v>1587</v>
      </c>
      <c r="F11" s="1208">
        <f ca="1">F12+F20+F21+F22</f>
        <v>4206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2</v>
      </c>
      <c r="C12" s="1198"/>
      <c r="D12" s="1227">
        <v>1</v>
      </c>
      <c r="E12" s="1228" t="s">
        <v>1588</v>
      </c>
      <c r="F12" s="1229">
        <f>F13+F16+F17</f>
        <v>2900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2500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56070</v>
      </c>
      <c r="C14" s="1198"/>
      <c r="D14" s="1227" t="s">
        <v>1284</v>
      </c>
      <c r="E14" s="1228" t="s">
        <v>1244</v>
      </c>
      <c r="F14" s="522">
        <v>2000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45.98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150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250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0.97199999999999998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/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250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1772</v>
      </c>
      <c r="C20" s="1198"/>
      <c r="D20" s="1227">
        <v>2</v>
      </c>
      <c r="E20" s="1228" t="s">
        <v>1237</v>
      </c>
      <c r="F20" s="1229">
        <f>ROUND(F12*G20,0)</f>
        <v>58</v>
      </c>
      <c r="G20" s="664"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1152</v>
      </c>
      <c r="C21" s="1198"/>
      <c r="D21" s="1421">
        <v>3</v>
      </c>
      <c r="E21" s="1422" t="s">
        <v>1589</v>
      </c>
      <c r="F21" s="1423">
        <f ca="1">ROUND((F12+F20)*(POWER((1+G21),B23/2)-1),0)</f>
        <v>213</v>
      </c>
      <c r="G21" s="1424">
        <f ca="1">存贷款利率!G1</f>
        <v>4.7500000000000001E-2</v>
      </c>
      <c r="H21" s="1232" t="str">
        <f>"计息期为"&amp;B23&amp;"年，"&amp;"复利计息"</f>
        <v>计息期为3年，复利计息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1993</v>
      </c>
      <c r="C22" s="1198"/>
      <c r="D22" s="1236">
        <v>4</v>
      </c>
      <c r="E22" s="1237" t="s">
        <v>1590</v>
      </c>
      <c r="F22" s="1238">
        <f>ROUND((F12+F20)*G22,0)</f>
        <v>1035</v>
      </c>
      <c r="G22" s="521">
        <v>0.35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工业用途18%-28%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3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5304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1883.4503999999999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7" t="s">
        <v>1290</v>
      </c>
      <c r="E26" s="1788"/>
      <c r="F26" s="1788"/>
      <c r="G26" s="1788"/>
      <c r="H26" s="1789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0.36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9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0.45</v>
      </c>
      <c r="H31" s="1267"/>
      <c r="I31" s="1779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0.35</v>
      </c>
      <c r="H32" s="1267"/>
      <c r="I32" s="1779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0.57999999999999996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7" t="s">
        <v>1293</v>
      </c>
      <c r="E34" s="1788"/>
      <c r="F34" s="1788"/>
      <c r="G34" s="1788"/>
      <c r="H34" s="1789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3076</v>
      </c>
      <c r="G35" s="1780" t="s">
        <v>1267</v>
      </c>
      <c r="H35" s="1781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1092.4012</v>
      </c>
      <c r="G36" s="1782" t="s">
        <v>1269</v>
      </c>
      <c r="H36" s="1783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90" zoomScaleNormal="90" zoomScaleSheetLayoutView="89" workbookViewId="0">
      <selection activeCell="D8" sqref="D8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3551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工业</v>
      </c>
      <c r="F2" s="733" t="s">
        <v>914</v>
      </c>
      <c r="G2" s="735" t="str">
        <f>主表!B10</f>
        <v>三级</v>
      </c>
      <c r="H2" s="830" t="s">
        <v>915</v>
      </c>
      <c r="I2" s="684" t="str">
        <f>主表!B11</f>
        <v>Ⅲ—01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0.74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6610</v>
      </c>
      <c r="N3" s="441">
        <f>SUMPRODUCT(('2014因素修正幅度'!B29:B48=I2)*('2014因素修正幅度'!C3:F3=E2)*('2014因素修正幅度'!C29:F48))</f>
        <v>0.1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0"/>
      <c r="B4" s="1791"/>
      <c r="C4" s="1791"/>
      <c r="D4" s="1792"/>
      <c r="E4" s="1792"/>
      <c r="F4" s="1792"/>
      <c r="G4" s="1792"/>
      <c r="H4" s="1792"/>
      <c r="I4" s="1792"/>
      <c r="J4" s="179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6610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6610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4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5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5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5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5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4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6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7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4">
        <f>IF(E2="办公/综合",2,IF(E2="工业",2,IF(E2="住宅/居住",3,IF(E2="商业",IF(C8="不临58条商业街",2,3)))))</f>
        <v>2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5"/>
      <c r="B17" s="880" t="s">
        <v>930</v>
      </c>
      <c r="C17" s="1514">
        <f>SUMPRODUCT(('2014修正'!A2:A5=E2)*('2014修正'!B1:M1=G2)*('2014修正'!B2:M5))</f>
        <v>1.5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8.5999999999999993E-2</v>
      </c>
      <c r="N17" s="625">
        <f ca="1">ROUND($E$20*(1+N16),3)</f>
        <v>8.2000000000000003E-2</v>
      </c>
      <c r="O17" s="625">
        <f ca="1">ROUND($E$20*(1+O16),3)</f>
        <v>7.9000000000000001E-2</v>
      </c>
      <c r="P17" s="965">
        <f ca="1">ROUND($E$20*(1+P16),3)</f>
        <v>7.4999999999999997E-2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25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ROUND(SUMIF(地价!B3:F3,E2,地价!B24:F24),0)</f>
        <v>230</v>
      </c>
      <c r="G19" s="1508" t="s">
        <v>266</v>
      </c>
      <c r="H19" s="1349">
        <f>主表!B4</f>
        <v>39285</v>
      </c>
      <c r="I19" s="1633">
        <f>ROUND(SUMPRODUCT((地价!A9:A24=YEAR(H19)&amp;"-"&amp;ROUNDUP(MONTH(H19)/3,0))*(地价!B3:F3=E2)*(地价!B9:F24)),0)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0.99070000000000003</v>
      </c>
      <c r="D20" s="1509" t="s">
        <v>939</v>
      </c>
      <c r="E20" s="1510">
        <f ca="1">INDIRECT("'存贷款利率'!e"&amp;存贷款利率!$K$4)/100</f>
        <v>6.8400000000000002E-2</v>
      </c>
      <c r="F20" s="1507" t="s">
        <v>940</v>
      </c>
      <c r="G20" s="1511">
        <f ca="1">SUMIF(M15:P15,E2,M17:P17)</f>
        <v>7.4999999999999997E-2</v>
      </c>
      <c r="H20" s="1512" t="s">
        <v>1653</v>
      </c>
      <c r="I20" s="1054">
        <f>IF(H20="剩余土地使用年限",主表!B15,主表!B16)</f>
        <v>45.98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1.6306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1.6306</v>
      </c>
      <c r="E22" s="1519">
        <f>ROUNDDOWN(G3,1)</f>
        <v>0.7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1.7163999999999999</v>
      </c>
      <c r="G22" s="1518">
        <f>ROUNDUP(G3,1)</f>
        <v>0.79999999999999993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1.5019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2.5173999999999999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9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0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0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1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>
        <f>IF(E2="工业",SUMIF(L1:L12,G2,N1:N12),"——")</f>
        <v>0.1</v>
      </c>
      <c r="G81" s="494"/>
      <c r="H81" s="497">
        <f t="shared" ref="H81:H88" si="20">IFERROR($F$81*I81/2,"——")</f>
        <v>1.3000000000000001E-2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>
        <f t="shared" si="20"/>
        <v>1.6500000000000001E-2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>
        <f t="shared" si="20"/>
        <v>2.5000000000000005E-3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>
        <f t="shared" si="20"/>
        <v>2E-3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>
        <f t="shared" si="20"/>
        <v>3.0000000000000001E-3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>
        <f t="shared" si="20"/>
        <v>7.4999999999999997E-3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>
        <f t="shared" si="20"/>
        <v>2.5000000000000005E-3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>
        <f t="shared" si="20"/>
        <v>3.0000000000000001E-3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8" t="s">
        <v>1167</v>
      </c>
      <c r="B91" s="1798"/>
      <c r="C91" s="1798"/>
      <c r="D91" s="1798"/>
      <c r="E91" s="1798"/>
      <c r="F91" s="1798"/>
      <c r="G91" s="1798"/>
      <c r="H91" s="1798"/>
      <c r="I91" s="1798"/>
      <c r="J91" s="1798"/>
      <c r="K91" s="672"/>
      <c r="L91" s="672"/>
      <c r="M91" s="672"/>
      <c r="N91" s="672"/>
    </row>
    <row r="92" spans="1:37">
      <c r="A92" s="1803" t="s">
        <v>1168</v>
      </c>
      <c r="B92" s="1803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3"/>
      <c r="B93" s="1803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804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5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5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5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5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5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5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6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4" t="s">
        <v>1495</v>
      </c>
      <c r="B102" s="973" t="s">
        <v>1498</v>
      </c>
      <c r="C102" s="974">
        <f>$G$3</f>
        <v>0.74</v>
      </c>
      <c r="D102" s="974">
        <f t="shared" ref="D102:N102" si="25">$G$3</f>
        <v>0.74</v>
      </c>
      <c r="E102" s="974">
        <f t="shared" si="25"/>
        <v>0.74</v>
      </c>
      <c r="F102" s="974">
        <f t="shared" si="25"/>
        <v>0.74</v>
      </c>
      <c r="G102" s="974">
        <f t="shared" si="25"/>
        <v>0.74</v>
      </c>
      <c r="H102" s="974">
        <f t="shared" si="25"/>
        <v>0.74</v>
      </c>
      <c r="I102" s="974">
        <f t="shared" si="25"/>
        <v>0.74</v>
      </c>
      <c r="J102" s="974">
        <f t="shared" si="25"/>
        <v>0.74</v>
      </c>
      <c r="K102" s="974">
        <f t="shared" si="25"/>
        <v>0.74</v>
      </c>
      <c r="L102" s="974">
        <f t="shared" si="25"/>
        <v>0.74</v>
      </c>
      <c r="M102" s="974">
        <f t="shared" si="25"/>
        <v>0.74</v>
      </c>
      <c r="N102" s="974">
        <f t="shared" si="25"/>
        <v>0.74</v>
      </c>
    </row>
    <row r="103" spans="1:14" ht="12.75">
      <c r="A103" s="1805"/>
      <c r="B103" s="969">
        <v>1</v>
      </c>
      <c r="C103" s="970">
        <f>1.9362/C102</f>
        <v>2.6164864864864863</v>
      </c>
      <c r="D103" s="970">
        <f>1.9362/D102</f>
        <v>2.6164864864864863</v>
      </c>
      <c r="E103" s="970">
        <f>1.8629/E102</f>
        <v>2.5174324324324324</v>
      </c>
      <c r="F103" s="970">
        <f>1.8629/F102</f>
        <v>2.5174324324324324</v>
      </c>
      <c r="G103" s="970">
        <f>1.8629/G102</f>
        <v>2.5174324324324324</v>
      </c>
      <c r="H103" s="970">
        <f>1.8629/H102</f>
        <v>2.5174324324324324</v>
      </c>
      <c r="I103" s="970">
        <f>1.8629/I102</f>
        <v>2.5174324324324324</v>
      </c>
      <c r="J103" s="970">
        <f>1.942/J102</f>
        <v>2.6243243243243244</v>
      </c>
      <c r="K103" s="970">
        <f>1.942/K102</f>
        <v>2.6243243243243244</v>
      </c>
      <c r="L103" s="970">
        <f>1.942/L102</f>
        <v>2.6243243243243244</v>
      </c>
      <c r="M103" s="970">
        <f>1.942/M102</f>
        <v>2.6243243243243244</v>
      </c>
      <c r="N103" s="970">
        <f>1.942/N102</f>
        <v>2.6243243243243244</v>
      </c>
    </row>
    <row r="104" spans="1:14" ht="12.75">
      <c r="A104" s="1805"/>
      <c r="B104" s="969">
        <v>2</v>
      </c>
      <c r="C104" s="970">
        <f>1.4198/C102</f>
        <v>1.9186486486486487</v>
      </c>
      <c r="D104" s="970">
        <f>1.4198/D102</f>
        <v>1.9186486486486487</v>
      </c>
      <c r="E104" s="970">
        <f>1.3372/E102</f>
        <v>1.807027027027027</v>
      </c>
      <c r="F104" s="970">
        <f>1.3372/F102</f>
        <v>1.807027027027027</v>
      </c>
      <c r="G104" s="970">
        <f>1.3372/G102</f>
        <v>1.807027027027027</v>
      </c>
      <c r="H104" s="970">
        <f>1.3372/H102</f>
        <v>1.807027027027027</v>
      </c>
      <c r="I104" s="970">
        <f>1.3372/I102</f>
        <v>1.807027027027027</v>
      </c>
      <c r="J104" s="970">
        <f>1.2799/J102</f>
        <v>1.7295945945945947</v>
      </c>
      <c r="K104" s="970">
        <f>1.2799/K102</f>
        <v>1.7295945945945947</v>
      </c>
      <c r="L104" s="970">
        <f>1.2799/L102</f>
        <v>1.7295945945945947</v>
      </c>
      <c r="M104" s="970">
        <f>1.2799/M102</f>
        <v>1.7295945945945947</v>
      </c>
      <c r="N104" s="970">
        <f>1.2799/N102</f>
        <v>1.7295945945945947</v>
      </c>
    </row>
    <row r="105" spans="1:14" ht="12.75">
      <c r="A105" s="1805"/>
      <c r="B105" s="969">
        <v>3</v>
      </c>
      <c r="C105" s="970">
        <f>1.1594/C102</f>
        <v>1.5667567567567569</v>
      </c>
      <c r="D105" s="970">
        <f>1.1594/D102</f>
        <v>1.5667567567567569</v>
      </c>
      <c r="E105" s="970">
        <f>1.0788/E102</f>
        <v>1.4578378378378378</v>
      </c>
      <c r="F105" s="970">
        <f>1.0788/F102</f>
        <v>1.4578378378378378</v>
      </c>
      <c r="G105" s="970">
        <f>1.0788/G102</f>
        <v>1.4578378378378378</v>
      </c>
      <c r="H105" s="970">
        <f>1.0788/H102</f>
        <v>1.4578378378378378</v>
      </c>
      <c r="I105" s="970">
        <f>1.0788/I102</f>
        <v>1.4578378378378378</v>
      </c>
      <c r="J105" s="970">
        <f>1.0072/J102</f>
        <v>1.3610810810810812</v>
      </c>
      <c r="K105" s="970">
        <f>1.0072/K102</f>
        <v>1.3610810810810812</v>
      </c>
      <c r="L105" s="970">
        <f>1.0072/L102</f>
        <v>1.3610810810810812</v>
      </c>
      <c r="M105" s="970">
        <f>1.0072/M102</f>
        <v>1.3610810810810812</v>
      </c>
      <c r="N105" s="970">
        <f>1.0072/N102</f>
        <v>1.3610810810810812</v>
      </c>
    </row>
    <row r="106" spans="1:14" ht="12.75">
      <c r="A106" s="1805"/>
      <c r="B106" s="969">
        <v>4</v>
      </c>
      <c r="C106" s="970">
        <f>0.9622/C102</f>
        <v>1.3002702702702704</v>
      </c>
      <c r="D106" s="970">
        <f>0.9622/D102</f>
        <v>1.3002702702702704</v>
      </c>
      <c r="E106" s="970">
        <f>0.8656/E102</f>
        <v>1.1697297297297298</v>
      </c>
      <c r="F106" s="970">
        <f>0.8656/F102</f>
        <v>1.1697297297297298</v>
      </c>
      <c r="G106" s="970">
        <f>0.8656/G102</f>
        <v>1.1697297297297298</v>
      </c>
      <c r="H106" s="970">
        <f>0.8656/H102</f>
        <v>1.1697297297297298</v>
      </c>
      <c r="I106" s="970">
        <f>0.8656/I102</f>
        <v>1.1697297297297298</v>
      </c>
      <c r="J106" s="970">
        <f>0.7525/J102</f>
        <v>1.0168918918918919</v>
      </c>
      <c r="K106" s="970">
        <f>0.7525/K102</f>
        <v>1.0168918918918919</v>
      </c>
      <c r="L106" s="970">
        <f>0.7525/L102</f>
        <v>1.0168918918918919</v>
      </c>
      <c r="M106" s="970">
        <f>0.7525/M102</f>
        <v>1.0168918918918919</v>
      </c>
      <c r="N106" s="970">
        <f>0.7525/N102</f>
        <v>1.0168918918918919</v>
      </c>
    </row>
    <row r="107" spans="1:14" ht="12.75">
      <c r="A107" s="1805"/>
      <c r="B107" s="969">
        <v>5</v>
      </c>
      <c r="C107" s="970">
        <f>0.8417/C102</f>
        <v>1.1374324324324325</v>
      </c>
      <c r="D107" s="970">
        <f>0.8417/D102</f>
        <v>1.1374324324324325</v>
      </c>
      <c r="E107" s="970">
        <f>0.7371/E102</f>
        <v>0.99608108108108107</v>
      </c>
      <c r="F107" s="970">
        <f>0.7371/F102</f>
        <v>0.99608108108108107</v>
      </c>
      <c r="G107" s="970">
        <f>0.7371/G102</f>
        <v>0.99608108108108107</v>
      </c>
      <c r="H107" s="970">
        <f>0.7371/H102</f>
        <v>0.99608108108108107</v>
      </c>
      <c r="I107" s="970">
        <f>0.7371/I102</f>
        <v>0.99608108108108107</v>
      </c>
      <c r="J107" s="970">
        <f>0.5659/J102</f>
        <v>0.76472972972972963</v>
      </c>
      <c r="K107" s="970">
        <f>0.5659/K102</f>
        <v>0.76472972972972963</v>
      </c>
      <c r="L107" s="970">
        <f>0.5659/L102</f>
        <v>0.76472972972972963</v>
      </c>
      <c r="M107" s="970">
        <f>0.5659/M102</f>
        <v>0.76472972972972963</v>
      </c>
      <c r="N107" s="970">
        <f>0.5659/N102</f>
        <v>0.76472972972972963</v>
      </c>
    </row>
    <row r="108" spans="1:14" ht="12.75">
      <c r="A108" s="1805"/>
      <c r="B108" s="969">
        <v>6</v>
      </c>
      <c r="C108" s="970">
        <f>0.7608/C102</f>
        <v>1.0281081081081083</v>
      </c>
      <c r="D108" s="970">
        <f>0.7608/D102</f>
        <v>1.0281081081081083</v>
      </c>
      <c r="E108" s="970">
        <f>0.6482/E102</f>
        <v>0.87594594594594599</v>
      </c>
      <c r="F108" s="970">
        <f>0.6482/F102</f>
        <v>0.87594594594594599</v>
      </c>
      <c r="G108" s="970">
        <f>0.6482/G102</f>
        <v>0.87594594594594599</v>
      </c>
      <c r="H108" s="970">
        <f>0.6482/H102</f>
        <v>0.87594594594594599</v>
      </c>
      <c r="I108" s="970">
        <f>0.6482/I102</f>
        <v>0.87594594594594599</v>
      </c>
      <c r="J108" s="970">
        <f>0.4525/J102</f>
        <v>0.61148648648648651</v>
      </c>
      <c r="K108" s="970">
        <f>0.4525/K102</f>
        <v>0.61148648648648651</v>
      </c>
      <c r="L108" s="970">
        <f>0.4525/L102</f>
        <v>0.61148648648648651</v>
      </c>
      <c r="M108" s="970">
        <f>0.4525/M102</f>
        <v>0.61148648648648651</v>
      </c>
      <c r="N108" s="970">
        <f>0.4525/N102</f>
        <v>0.61148648648648651</v>
      </c>
    </row>
    <row r="109" spans="1:14" ht="12.75">
      <c r="A109" s="1805"/>
      <c r="B109" s="1807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6"/>
      <c r="B110" s="1808"/>
      <c r="C110" s="972">
        <f>(-0.163*(C109^2)-0.59*C109+7617)*(10^(-4))/C102</f>
        <v>1.0292225675675677</v>
      </c>
      <c r="D110" s="972">
        <f>(-0.163*(D109^2)-0.59*D109+7617)*(10^(-4))/D102</f>
        <v>1.0292225675675677</v>
      </c>
      <c r="E110" s="972">
        <f>(-0.161*(E109^2)-7.509*E109+6533)*(10^(-4))/E102</f>
        <v>0.8818013513513514</v>
      </c>
      <c r="F110" s="972">
        <f>(-0.161*(F109^2)-7.509*F109+6533)*(10^(-4))/F102</f>
        <v>0.8818013513513514</v>
      </c>
      <c r="G110" s="972">
        <f>(-0.161*(G109^2)-7.509*G109+6533)*(10^(-4))/G102</f>
        <v>0.8818013513513514</v>
      </c>
      <c r="H110" s="972">
        <f>(-0.161*(H109^2)-7.509*H109+6533)*(10^(-4))/H102</f>
        <v>0.8818013513513514</v>
      </c>
      <c r="I110" s="972">
        <f>(-0.161*(I109^2)-7.509*I109+6533)*(10^(-4))/I102</f>
        <v>0.8818013513513514</v>
      </c>
      <c r="J110" s="972">
        <f>(-0.214*(J109^2)-21.991*J109+4665)*(10^(-4))/J102</f>
        <v>0.62740472972972972</v>
      </c>
      <c r="K110" s="972">
        <f>(-0.214*(K109^2)-21.991*K109+4665)*(10^(-4))/K102</f>
        <v>0.62740472972972972</v>
      </c>
      <c r="L110" s="972">
        <f>(-0.214*(L109^2)-21.991*L109+4665)*(10^(-4))/L102</f>
        <v>0.62740472972972972</v>
      </c>
      <c r="M110" s="972">
        <f>(-0.214*(M109^2)-21.991*M109+4665)*(10^(-4))/M102</f>
        <v>0.62740472972972972</v>
      </c>
      <c r="N110" s="972">
        <f>(-0.214*(N109^2)-21.991*N109+4665)*(10^(-4))/N102</f>
        <v>0.62740472972972972</v>
      </c>
    </row>
    <row r="111" spans="1:14">
      <c r="A111" s="1802" t="s">
        <v>1183</v>
      </c>
      <c r="B111" s="1802"/>
      <c r="C111" s="1802"/>
      <c r="D111" s="1802"/>
      <c r="E111" s="1802"/>
      <c r="F111" s="1802"/>
      <c r="G111" s="1802"/>
      <c r="H111" s="1802"/>
      <c r="I111" s="1802"/>
      <c r="J111" s="1802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0.74</v>
      </c>
      <c r="C114" s="955" t="s">
        <v>1482</v>
      </c>
      <c r="D114" s="351">
        <f>SUMPRODUCT((A116:A119=F114)*(B115:M115=H114)*B116:M119)</f>
        <v>0.69540000000000002</v>
      </c>
      <c r="E114" s="735" t="s">
        <v>1168</v>
      </c>
      <c r="F114" s="956" t="str">
        <f>E2</f>
        <v>工业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0.92649999999999999</v>
      </c>
      <c r="C116" s="355">
        <f>B116</f>
        <v>0.92649999999999999</v>
      </c>
      <c r="D116" s="355">
        <f>ROUND(0.8331-0.0109*B114,4)</f>
        <v>0.82499999999999996</v>
      </c>
      <c r="E116" s="355">
        <f>D116</f>
        <v>0.82499999999999996</v>
      </c>
      <c r="F116" s="355">
        <f>E116</f>
        <v>0.82499999999999996</v>
      </c>
      <c r="G116" s="355">
        <f>F116</f>
        <v>0.82499999999999996</v>
      </c>
      <c r="H116" s="355">
        <f>G116</f>
        <v>0.82499999999999996</v>
      </c>
      <c r="I116" s="355">
        <f>ROUND(0.689-0.0155*B114,4)</f>
        <v>0.67749999999999999</v>
      </c>
      <c r="J116" s="355">
        <f t="shared" ref="J116:M119" si="27">I116</f>
        <v>0.67749999999999999</v>
      </c>
      <c r="K116" s="355">
        <f t="shared" si="27"/>
        <v>0.67749999999999999</v>
      </c>
      <c r="L116" s="355">
        <f t="shared" si="27"/>
        <v>0.67749999999999999</v>
      </c>
      <c r="M116" s="356">
        <f t="shared" si="27"/>
        <v>0.67749999999999999</v>
      </c>
    </row>
    <row r="117" spans="1:13" ht="12.75">
      <c r="A117" s="817" t="s">
        <v>1317</v>
      </c>
      <c r="B117" s="355">
        <f>ROUND(0.949-0.012*B114,4)</f>
        <v>0.94010000000000005</v>
      </c>
      <c r="C117" s="355">
        <f>B117</f>
        <v>0.94010000000000005</v>
      </c>
      <c r="D117" s="355">
        <f>ROUND(0.8567-0.013*B114,4)</f>
        <v>0.84709999999999996</v>
      </c>
      <c r="E117" s="355">
        <f t="shared" ref="E117:H118" si="28">D117</f>
        <v>0.84709999999999996</v>
      </c>
      <c r="F117" s="355">
        <f t="shared" si="28"/>
        <v>0.84709999999999996</v>
      </c>
      <c r="G117" s="355">
        <f t="shared" si="28"/>
        <v>0.84709999999999996</v>
      </c>
      <c r="H117" s="355">
        <f t="shared" si="28"/>
        <v>0.84709999999999996</v>
      </c>
      <c r="I117" s="355">
        <f>ROUND(0.7694-0.014*B114,4)</f>
        <v>0.75900000000000001</v>
      </c>
      <c r="J117" s="355">
        <f t="shared" si="27"/>
        <v>0.75900000000000001</v>
      </c>
      <c r="K117" s="355">
        <f t="shared" si="27"/>
        <v>0.75900000000000001</v>
      </c>
      <c r="L117" s="355">
        <f t="shared" si="27"/>
        <v>0.75900000000000001</v>
      </c>
      <c r="M117" s="356">
        <f t="shared" si="27"/>
        <v>0.75900000000000001</v>
      </c>
    </row>
    <row r="118" spans="1:13" ht="12.75">
      <c r="A118" s="817" t="s">
        <v>1318</v>
      </c>
      <c r="B118" s="355">
        <f>ROUND(0.8808-0.006*B114,4)</f>
        <v>0.87639999999999996</v>
      </c>
      <c r="C118" s="355">
        <f>B118</f>
        <v>0.87639999999999996</v>
      </c>
      <c r="D118" s="355">
        <f>ROUND(0.8748-0.008*B114,4)</f>
        <v>0.86890000000000001</v>
      </c>
      <c r="E118" s="355">
        <f t="shared" si="28"/>
        <v>0.86890000000000001</v>
      </c>
      <c r="F118" s="355">
        <f t="shared" si="28"/>
        <v>0.86890000000000001</v>
      </c>
      <c r="G118" s="355">
        <f t="shared" si="28"/>
        <v>0.86890000000000001</v>
      </c>
      <c r="H118" s="355">
        <f t="shared" si="28"/>
        <v>0.86890000000000001</v>
      </c>
      <c r="I118" s="355">
        <f>ROUND(0.7412-0.0095*B114,4)</f>
        <v>0.73419999999999996</v>
      </c>
      <c r="J118" s="355">
        <f t="shared" si="27"/>
        <v>0.73419999999999996</v>
      </c>
      <c r="K118" s="355">
        <f t="shared" si="27"/>
        <v>0.73419999999999996</v>
      </c>
      <c r="L118" s="355">
        <f t="shared" si="27"/>
        <v>0.73419999999999996</v>
      </c>
      <c r="M118" s="356">
        <f t="shared" si="27"/>
        <v>0.73419999999999996</v>
      </c>
    </row>
    <row r="119" spans="1:13" ht="13.5" thickBot="1">
      <c r="A119" s="818" t="s">
        <v>229</v>
      </c>
      <c r="B119" s="357">
        <f>ROUND(0.7275-0.01*B114,4)</f>
        <v>0.72009999999999996</v>
      </c>
      <c r="C119" s="357">
        <f>B119</f>
        <v>0.72009999999999996</v>
      </c>
      <c r="D119" s="357">
        <f>ROUND(0.7043-0.012*B114,4)</f>
        <v>0.69540000000000002</v>
      </c>
      <c r="E119" s="357">
        <f>D119</f>
        <v>0.69540000000000002</v>
      </c>
      <c r="F119" s="357">
        <f>E119</f>
        <v>0.69540000000000002</v>
      </c>
      <c r="G119" s="357">
        <f>ROUND(0.6299-0.0122*B114,4)</f>
        <v>0.62090000000000001</v>
      </c>
      <c r="H119" s="357">
        <f>G119</f>
        <v>0.62090000000000001</v>
      </c>
      <c r="I119" s="357">
        <f>ROUND(0.5667-0.0136*B114,4)</f>
        <v>0.55659999999999998</v>
      </c>
      <c r="J119" s="357">
        <f t="shared" si="27"/>
        <v>0.55659999999999998</v>
      </c>
      <c r="K119" s="357">
        <f t="shared" si="27"/>
        <v>0.55659999999999998</v>
      </c>
      <c r="L119" s="357">
        <f t="shared" si="27"/>
        <v>0.55659999999999998</v>
      </c>
      <c r="M119" s="358">
        <f t="shared" si="27"/>
        <v>0.55659999999999998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9" t="s">
        <v>990</v>
      </c>
      <c r="B1" s="1809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9" t="s">
        <v>292</v>
      </c>
      <c r="B1" s="1809"/>
      <c r="C1" s="1809"/>
      <c r="D1" s="1809"/>
      <c r="E1" s="1809"/>
      <c r="F1" s="180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0" t="s">
        <v>305</v>
      </c>
      <c r="B2" s="1810"/>
      <c r="C2" s="1810"/>
      <c r="D2" s="1810"/>
      <c r="E2" s="1810"/>
      <c r="F2" s="181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1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6610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2019-12-16T08:12:34Z</dcterms:modified>
</cp:coreProperties>
</file>